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UNNY\Documents\"/>
    </mc:Choice>
  </mc:AlternateContent>
  <bookViews>
    <workbookView xWindow="0" yWindow="0" windowWidth="23040" windowHeight="10596" activeTab="2"/>
  </bookViews>
  <sheets>
    <sheet name="Sheet1" sheetId="1" r:id="rId1"/>
    <sheet name="Sheet2" sheetId="2" r:id="rId2"/>
    <sheet name="Sheet3" sheetId="3" r:id="rId3"/>
  </sheets>
  <definedNames>
    <definedName name="_xlnm._FilterDatabase" localSheetId="0" hidden="1">Sheet1!$A$1:$P$1843</definedName>
    <definedName name="Slicer_gender">#N/A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680" i="1" l="1"/>
  <c r="A1769" i="1"/>
  <c r="K1806" i="1"/>
  <c r="A1827" i="1"/>
  <c r="I1778" i="1"/>
  <c r="L1785" i="1"/>
  <c r="D1842" i="1"/>
  <c r="H1786" i="1"/>
  <c r="D1798" i="1"/>
  <c r="N1832" i="1"/>
  <c r="F1797" i="1"/>
  <c r="L1745" i="1"/>
  <c r="B1796" i="1"/>
  <c r="K1764" i="1"/>
  <c r="A1804" i="1"/>
  <c r="D1835" i="1"/>
  <c r="G1807" i="1"/>
  <c r="E1827" i="1"/>
  <c r="C1810" i="1"/>
  <c r="H1823" i="1"/>
  <c r="A1782" i="1"/>
  <c r="J1738" i="1"/>
  <c r="O1793" i="1"/>
  <c r="A1816" i="1"/>
  <c r="J1792" i="1"/>
  <c r="H1799" i="1"/>
  <c r="P1840" i="1"/>
  <c r="O1776" i="1"/>
  <c r="B1717" i="1"/>
  <c r="M1777" i="1"/>
  <c r="A1761" i="1"/>
  <c r="G1758" i="1"/>
  <c r="D1790" i="1"/>
  <c r="I1816" i="1"/>
  <c r="J1793" i="1"/>
  <c r="D1766" i="1"/>
  <c r="D1817" i="1"/>
  <c r="L1784" i="1"/>
  <c r="M1771" i="1"/>
  <c r="G1770" i="1"/>
  <c r="H1785" i="1"/>
  <c r="E1836" i="1"/>
  <c r="O1832" i="1"/>
  <c r="D1749" i="1"/>
  <c r="M1805" i="1"/>
  <c r="B1797" i="1"/>
  <c r="J1744" i="1"/>
  <c r="D1739" i="1"/>
  <c r="E1817" i="1"/>
  <c r="A1766" i="1"/>
  <c r="E1803" i="1"/>
  <c r="I1785" i="1"/>
  <c r="P1828" i="1"/>
  <c r="A1763" i="1"/>
  <c r="P1792" i="1"/>
  <c r="D1765" i="1"/>
  <c r="O1804" i="1"/>
  <c r="E1782" i="1"/>
  <c r="I1835" i="1"/>
  <c r="K1841" i="1"/>
  <c r="K1746" i="1"/>
  <c r="L1766" i="1"/>
  <c r="M1703" i="1"/>
  <c r="L1816" i="1"/>
  <c r="P1804" i="1"/>
  <c r="K1783" i="1"/>
  <c r="D1808" i="1"/>
  <c r="G1772" i="1"/>
  <c r="G1812" i="1"/>
  <c r="N1828" i="1"/>
  <c r="N1823" i="1"/>
  <c r="H1831" i="1"/>
  <c r="N1826" i="1"/>
  <c r="A1820" i="1"/>
  <c r="A1773" i="1"/>
  <c r="J1814" i="1"/>
  <c r="O1771" i="1"/>
  <c r="O1787" i="1"/>
  <c r="O1754" i="1"/>
  <c r="B1823" i="1"/>
  <c r="N1835" i="1"/>
  <c r="L1801" i="1"/>
  <c r="M1843" i="1"/>
  <c r="N1812" i="1"/>
  <c r="J1799" i="1"/>
  <c r="M1841" i="1"/>
  <c r="I1819" i="1"/>
  <c r="M1780" i="1"/>
  <c r="F1823" i="1"/>
  <c r="O1813" i="1"/>
  <c r="K1777" i="1"/>
  <c r="G1814" i="1"/>
  <c r="J1788" i="1"/>
  <c r="N1782" i="1"/>
  <c r="M1804" i="1"/>
  <c r="O1773" i="1"/>
  <c r="M1806" i="1"/>
  <c r="D1777" i="1"/>
  <c r="D1772" i="1"/>
  <c r="O1753" i="1"/>
  <c r="P1776" i="1"/>
  <c r="I1825" i="1"/>
  <c r="F1833" i="1"/>
  <c r="H1801" i="1"/>
  <c r="N1784" i="1"/>
  <c r="B1741" i="1"/>
  <c r="N1821" i="1"/>
  <c r="M1829" i="1"/>
  <c r="L1770" i="1"/>
  <c r="B1761" i="1"/>
  <c r="K1799" i="1"/>
  <c r="E1727" i="1"/>
  <c r="D1719" i="1"/>
  <c r="J1716" i="1"/>
  <c r="M1730" i="1"/>
  <c r="A1728" i="1"/>
  <c r="I1674" i="1"/>
  <c r="E1672" i="1"/>
  <c r="I1697" i="1"/>
  <c r="H1717" i="1"/>
  <c r="D1699" i="1"/>
  <c r="L1750" i="1"/>
  <c r="D1695" i="1"/>
  <c r="F1708" i="1"/>
  <c r="H1811" i="1"/>
  <c r="G1824" i="1"/>
  <c r="L1763" i="1"/>
  <c r="I1786" i="1"/>
  <c r="B1817" i="1"/>
  <c r="C1842" i="1"/>
  <c r="P1807" i="1"/>
  <c r="G1827" i="1"/>
  <c r="J1772" i="1"/>
  <c r="A1778" i="1"/>
  <c r="N1833" i="1"/>
  <c r="O1842" i="1"/>
  <c r="B1840" i="1"/>
  <c r="H1841" i="1"/>
  <c r="L1775" i="1"/>
  <c r="H1758" i="1"/>
  <c r="D1744" i="1"/>
  <c r="C1770" i="1"/>
  <c r="C1765" i="1"/>
  <c r="G1790" i="1"/>
  <c r="J1746" i="1"/>
  <c r="M1779" i="1"/>
  <c r="K1780" i="1"/>
  <c r="B1596" i="1"/>
  <c r="I1759" i="1"/>
  <c r="F1813" i="1"/>
  <c r="L1761" i="1"/>
  <c r="E1825" i="1"/>
  <c r="L1776" i="1"/>
  <c r="H1800" i="1"/>
  <c r="K1716" i="1"/>
  <c r="G1773" i="1"/>
  <c r="I1764" i="1"/>
  <c r="E1741" i="1"/>
  <c r="E1738" i="1"/>
  <c r="A1830" i="1"/>
  <c r="D1805" i="1"/>
  <c r="O1834" i="1"/>
  <c r="E1814" i="1"/>
  <c r="E1841" i="1"/>
  <c r="P1841" i="1"/>
  <c r="E1805" i="1"/>
  <c r="A1754" i="1"/>
  <c r="L1808" i="1"/>
  <c r="M1784" i="1"/>
  <c r="N1839" i="1"/>
  <c r="A1818" i="1"/>
  <c r="L1778" i="1"/>
  <c r="M1773" i="1"/>
  <c r="I1686" i="1"/>
  <c r="E1684" i="1"/>
  <c r="P1836" i="1"/>
  <c r="A1772" i="1"/>
  <c r="D1840" i="1"/>
  <c r="K1765" i="1"/>
  <c r="H1788" i="1"/>
  <c r="K1704" i="1"/>
  <c r="G1808" i="1"/>
  <c r="I1812" i="1"/>
  <c r="N1811" i="1"/>
  <c r="G1797" i="1"/>
  <c r="L1813" i="1"/>
  <c r="C1798" i="1"/>
  <c r="J1773" i="1"/>
  <c r="F1827" i="1"/>
  <c r="C1761" i="1"/>
  <c r="D1815" i="1"/>
  <c r="G1820" i="1"/>
  <c r="G1810" i="1"/>
  <c r="K1807" i="1"/>
  <c r="K1796" i="1"/>
  <c r="J1831" i="1"/>
  <c r="N1764" i="1"/>
  <c r="J1795" i="1"/>
  <c r="M1809" i="1"/>
  <c r="I1807" i="1"/>
  <c r="I1791" i="1"/>
  <c r="M1801" i="1"/>
  <c r="G1788" i="1"/>
  <c r="I1756" i="1"/>
  <c r="N1797" i="1"/>
  <c r="M1734" i="1"/>
  <c r="E1806" i="1"/>
  <c r="J1807" i="1"/>
  <c r="N1740" i="1"/>
  <c r="F1811" i="1"/>
  <c r="N1842" i="1"/>
  <c r="P1782" i="1"/>
  <c r="N1836" i="1"/>
  <c r="D1789" i="1"/>
  <c r="L1826" i="1"/>
  <c r="B936" i="1"/>
  <c r="L1795" i="1"/>
  <c r="J1750" i="1"/>
  <c r="D1839" i="1"/>
  <c r="H1766" i="1"/>
  <c r="I1798" i="1"/>
  <c r="K1787" i="1"/>
  <c r="M1762" i="1"/>
  <c r="F1821" i="1"/>
  <c r="N1770" i="1"/>
  <c r="F1796" i="1"/>
  <c r="C1780" i="1"/>
  <c r="D1825" i="1"/>
  <c r="P1791" i="1"/>
  <c r="B1830" i="1"/>
  <c r="B1779" i="1"/>
  <c r="K1804" i="1"/>
  <c r="E1766" i="1"/>
  <c r="C1704" i="1"/>
  <c r="H1806" i="1"/>
  <c r="E1753" i="1"/>
  <c r="D1838" i="1"/>
  <c r="A1833" i="1"/>
  <c r="C1689" i="1"/>
  <c r="A1842" i="1"/>
  <c r="L1798" i="1"/>
  <c r="O1809" i="1"/>
  <c r="F1816" i="1"/>
  <c r="G1730" i="1"/>
  <c r="A1843" i="1"/>
  <c r="O1695" i="1"/>
  <c r="L1807" i="1"/>
  <c r="F1699" i="1"/>
  <c r="O1756" i="1"/>
  <c r="F1695" i="1"/>
  <c r="O1752" i="1"/>
  <c r="M1798" i="1"/>
  <c r="B1801" i="1"/>
  <c r="N1814" i="1"/>
  <c r="H1839" i="1"/>
  <c r="C1787" i="1"/>
  <c r="F1824" i="1"/>
  <c r="D1793" i="1"/>
  <c r="E1786" i="1"/>
  <c r="H1756" i="1"/>
  <c r="B1752" i="1"/>
  <c r="I1755" i="1"/>
  <c r="F1801" i="1"/>
  <c r="L1749" i="1"/>
  <c r="H1832" i="1"/>
  <c r="N1754" i="1"/>
  <c r="O1782" i="1"/>
  <c r="I1773" i="1"/>
  <c r="F1721" i="1"/>
  <c r="L1718" i="1"/>
  <c r="B96" i="1"/>
  <c r="I1767" i="1"/>
  <c r="E1813" i="1"/>
  <c r="A1762" i="1"/>
  <c r="C1785" i="1"/>
  <c r="I1813" i="1"/>
  <c r="B1798" i="1"/>
  <c r="G1753" i="1"/>
  <c r="B822" i="1"/>
  <c r="D1786" i="1"/>
  <c r="F1783" i="1"/>
  <c r="I1771" i="1"/>
  <c r="K1745" i="1"/>
  <c r="J1841" i="1"/>
  <c r="G1766" i="1"/>
  <c r="M1838" i="1"/>
  <c r="F1793" i="1"/>
  <c r="L1741" i="1"/>
  <c r="L1796" i="1"/>
  <c r="O1803" i="1"/>
  <c r="E1822" i="1"/>
  <c r="H1760" i="1"/>
  <c r="P1824" i="1"/>
  <c r="A1759" i="1"/>
  <c r="O1836" i="1"/>
  <c r="D1753" i="1"/>
  <c r="J1811" i="1"/>
  <c r="N1744" i="1"/>
  <c r="F1725" i="1"/>
  <c r="O1837" i="1"/>
  <c r="I1750" i="1"/>
  <c r="F1841" i="1"/>
  <c r="H1796" i="1"/>
  <c r="K1712" i="1"/>
  <c r="N1799" i="1"/>
  <c r="E1779" i="1"/>
  <c r="D1827" i="1"/>
  <c r="K1758" i="1"/>
  <c r="J1827" i="1"/>
  <c r="N1760" i="1"/>
  <c r="I1839" i="1"/>
  <c r="C1840" i="1"/>
  <c r="H1787" i="1"/>
  <c r="G1836" i="1"/>
  <c r="K1840" i="1"/>
  <c r="I1787" i="1"/>
  <c r="H1716" i="1"/>
  <c r="P1813" i="1"/>
  <c r="J1839" i="1"/>
  <c r="J1775" i="1"/>
  <c r="F1843" i="1"/>
  <c r="G1829" i="1"/>
  <c r="A1828" i="1"/>
  <c r="M1794" i="1"/>
  <c r="E1839" i="1"/>
  <c r="C1809" i="1"/>
  <c r="A1777" i="1"/>
  <c r="L1769" i="1"/>
  <c r="I1805" i="1"/>
  <c r="J1762" i="1"/>
  <c r="B1739" i="1"/>
  <c r="M1788" i="1"/>
  <c r="M1759" i="1"/>
  <c r="O1769" i="1"/>
  <c r="O1790" i="1"/>
  <c r="L1814" i="1"/>
  <c r="B1835" i="1"/>
  <c r="J1786" i="1"/>
  <c r="L1819" i="1"/>
  <c r="E1815" i="1"/>
  <c r="J1770" i="1"/>
  <c r="H1819" i="1"/>
  <c r="O1788" i="1"/>
  <c r="L1758" i="1"/>
  <c r="L1772" i="1"/>
  <c r="B1775" i="1"/>
  <c r="L1839" i="1"/>
  <c r="B1783" i="1"/>
  <c r="L1809" i="1"/>
  <c r="N1790" i="1"/>
  <c r="L1811" i="1"/>
  <c r="E1762" i="1"/>
  <c r="D1836" i="1"/>
  <c r="K1761" i="1"/>
  <c r="D1800" i="1"/>
  <c r="E1763" i="1"/>
  <c r="H1789" i="1"/>
  <c r="O1745" i="1"/>
  <c r="O1838" i="1"/>
  <c r="H1795" i="1"/>
  <c r="A1734" i="1"/>
  <c r="P1816" i="1"/>
  <c r="G1813" i="1"/>
  <c r="J1802" i="1"/>
  <c r="O1810" i="1"/>
  <c r="E1745" i="1"/>
  <c r="N1722" i="1"/>
  <c r="J1836" i="1"/>
  <c r="F1734" i="1"/>
  <c r="J1791" i="1"/>
  <c r="N1736" i="1"/>
  <c r="I1765" i="1"/>
  <c r="L1678" i="1"/>
  <c r="L1735" i="1"/>
  <c r="P1657" i="1"/>
  <c r="E1731" i="1"/>
  <c r="P1653" i="1"/>
  <c r="E1707" i="1"/>
  <c r="F1817" i="1"/>
  <c r="C1754" i="1"/>
  <c r="J1735" i="1"/>
  <c r="K1817" i="1"/>
  <c r="F1765" i="1"/>
  <c r="F1789" i="1"/>
  <c r="L1737" i="1"/>
  <c r="F1832" i="1"/>
  <c r="D1797" i="1"/>
  <c r="C1781" i="1"/>
  <c r="A1829" i="1"/>
  <c r="D1784" i="1"/>
  <c r="E1785" i="1"/>
  <c r="M1828" i="1"/>
  <c r="C1769" i="1"/>
  <c r="D1727" i="1"/>
  <c r="J1826" i="1"/>
  <c r="P1777" i="1"/>
  <c r="J1813" i="1"/>
  <c r="I1794" i="1"/>
  <c r="I1828" i="1"/>
  <c r="P1832" i="1"/>
  <c r="A1767" i="1"/>
  <c r="G1815" i="1"/>
  <c r="E1735" i="1"/>
  <c r="B777" i="1"/>
  <c r="P1722" i="1"/>
  <c r="H1804" i="1"/>
  <c r="K1720" i="1"/>
  <c r="C1823" i="1"/>
  <c r="L1834" i="1"/>
  <c r="J1796" i="1"/>
  <c r="G1832" i="1"/>
  <c r="C1817" i="1"/>
  <c r="O1823" i="1"/>
  <c r="M1835" i="1"/>
  <c r="N1769" i="1"/>
  <c r="O1824" i="1"/>
  <c r="D1741" i="1"/>
  <c r="H1820" i="1"/>
  <c r="H1737" i="1"/>
  <c r="G1840" i="1"/>
  <c r="N1825" i="1"/>
  <c r="N1843" i="1"/>
  <c r="O1835" i="1"/>
  <c r="C1796" i="1"/>
  <c r="E1832" i="1"/>
  <c r="C1791" i="1"/>
  <c r="A1808" i="1"/>
  <c r="H1768" i="1"/>
  <c r="F1799" i="1"/>
  <c r="A1840" i="1"/>
  <c r="K1766" i="1"/>
  <c r="I1827" i="1"/>
  <c r="N1806" i="1"/>
  <c r="P1803" i="1"/>
  <c r="N1794" i="1"/>
  <c r="K1821" i="1"/>
  <c r="L1780" i="1"/>
  <c r="B1820" i="1"/>
  <c r="C1811" i="1"/>
  <c r="P1778" i="1"/>
  <c r="A1812" i="1"/>
  <c r="F1722" i="1"/>
  <c r="N1748" i="1"/>
  <c r="G1767" i="1"/>
  <c r="E1783" i="1"/>
  <c r="N1840" i="1"/>
  <c r="B1782" i="1"/>
  <c r="P1839" i="1"/>
  <c r="H1837" i="1"/>
  <c r="P1806" i="1"/>
  <c r="J1782" i="1"/>
  <c r="J1812" i="1"/>
  <c r="E1796" i="1"/>
  <c r="M1833" i="1"/>
  <c r="D1843" i="1"/>
  <c r="F1770" i="1"/>
  <c r="F1782" i="1"/>
  <c r="A1768" i="1"/>
  <c r="O1748" i="1"/>
  <c r="I1739" i="1"/>
  <c r="M1799" i="1"/>
  <c r="I1832" i="1"/>
  <c r="B1611" i="1"/>
  <c r="E1810" i="1"/>
  <c r="C1843" i="1"/>
  <c r="N1761" i="1"/>
  <c r="B1786" i="1"/>
  <c r="O1760" i="1"/>
  <c r="O1801" i="1"/>
  <c r="J1754" i="1"/>
  <c r="F1800" i="1"/>
  <c r="K1835" i="1"/>
  <c r="K1832" i="1"/>
  <c r="A1791" i="1"/>
  <c r="A1760" i="1"/>
  <c r="P1843" i="1"/>
  <c r="M1770" i="1"/>
  <c r="F1776" i="1"/>
  <c r="P1730" i="1"/>
  <c r="N1795" i="1"/>
  <c r="G1774" i="1"/>
  <c r="C1795" i="1"/>
  <c r="N1786" i="1"/>
  <c r="M1811" i="1"/>
  <c r="L1790" i="1"/>
  <c r="B1811" i="1"/>
  <c r="B1772" i="1"/>
  <c r="A1709" i="1"/>
  <c r="P1826" i="1"/>
  <c r="B1735" i="1"/>
  <c r="J1838" i="1"/>
  <c r="I1836" i="1"/>
  <c r="P1742" i="1"/>
  <c r="A1749" i="1"/>
  <c r="B1819" i="1"/>
  <c r="L1724" i="1"/>
  <c r="O1791" i="1"/>
  <c r="L1736" i="1"/>
  <c r="D1752" i="1"/>
  <c r="G1695" i="1"/>
  <c r="P1753" i="1"/>
  <c r="P1698" i="1"/>
  <c r="L1833" i="1"/>
  <c r="P1694" i="1"/>
  <c r="N1768" i="1"/>
  <c r="C1812" i="1"/>
  <c r="K1828" i="1"/>
  <c r="P1764" i="1"/>
  <c r="D1804" i="1"/>
  <c r="E1767" i="1"/>
  <c r="E1808" i="1"/>
  <c r="B1788" i="1"/>
  <c r="H1836" i="1"/>
  <c r="F1769" i="1"/>
  <c r="P1787" i="1"/>
  <c r="G1811" i="1"/>
  <c r="M1796" i="1"/>
  <c r="D1792" i="1"/>
  <c r="F1768" i="1"/>
  <c r="G1804" i="1"/>
  <c r="H1827" i="1"/>
  <c r="E1743" i="1"/>
  <c r="H1792" i="1"/>
  <c r="K1708" i="1"/>
  <c r="K1836" i="1"/>
  <c r="E1826" i="1"/>
  <c r="E1784" i="1"/>
  <c r="I1820" i="1"/>
  <c r="F1787" i="1"/>
  <c r="H1830" i="1"/>
  <c r="A1803" i="1"/>
  <c r="O1818" i="1"/>
  <c r="F1750" i="1"/>
  <c r="D1795" i="1"/>
  <c r="F1718" i="1"/>
  <c r="N1801" i="1"/>
  <c r="H1828" i="1"/>
  <c r="M1748" i="1"/>
  <c r="N1831" i="1"/>
  <c r="F1790" i="1"/>
  <c r="I1809" i="1"/>
  <c r="B1755" i="1"/>
  <c r="N1820" i="1"/>
  <c r="K1754" i="1"/>
  <c r="J1815" i="1"/>
  <c r="H1805" i="1"/>
  <c r="B1838" i="1"/>
  <c r="D1796" i="1"/>
  <c r="B1821" i="1"/>
  <c r="M1830" i="1"/>
  <c r="F1753" i="1"/>
  <c r="I1751" i="1"/>
  <c r="M1816" i="1"/>
  <c r="F1840" i="1"/>
  <c r="C1800" i="1"/>
  <c r="H1818" i="1"/>
  <c r="P1838" i="1"/>
  <c r="M1831" i="1"/>
  <c r="P1802" i="1"/>
  <c r="B1770" i="1"/>
  <c r="G1793" i="1"/>
  <c r="J1800" i="1"/>
  <c r="C1767" i="1"/>
  <c r="N1793" i="1"/>
  <c r="I1777" i="1"/>
  <c r="I1753" i="1"/>
  <c r="J1719" i="1"/>
  <c r="H1794" i="1"/>
  <c r="P1814" i="1"/>
  <c r="I1782" i="1"/>
  <c r="A1836" i="1"/>
  <c r="J1821" i="1"/>
  <c r="C1759" i="1"/>
  <c r="M1836" i="1"/>
  <c r="F1757" i="1"/>
  <c r="L1773" i="1"/>
  <c r="E1828" i="1"/>
  <c r="N1772" i="1"/>
  <c r="H1821" i="1"/>
  <c r="G1801" i="1"/>
  <c r="D1743" i="1"/>
  <c r="C1768" i="1"/>
  <c r="B1832" i="1"/>
  <c r="J1797" i="1"/>
  <c r="M1772" i="1"/>
  <c r="A1786" i="1"/>
  <c r="J1742" i="1"/>
  <c r="C1829" i="1"/>
  <c r="P1831" i="1"/>
  <c r="K1767" i="1"/>
  <c r="B1826" i="1"/>
  <c r="L1762" i="1"/>
  <c r="G1777" i="1"/>
  <c r="J1834" i="1"/>
  <c r="E1747" i="1"/>
  <c r="C1807" i="1"/>
  <c r="G1781" i="1"/>
  <c r="E1740" i="1"/>
  <c r="N1803" i="1"/>
  <c r="K1784" i="1"/>
  <c r="E1793" i="1"/>
  <c r="G1757" i="1"/>
  <c r="I1823" i="1"/>
  <c r="B1792" i="1"/>
  <c r="F1835" i="1"/>
  <c r="I1804" i="1"/>
  <c r="F1791" i="1"/>
  <c r="D1826" i="1"/>
  <c r="F1802" i="1"/>
  <c r="F1831" i="1"/>
  <c r="O1767" i="1"/>
  <c r="A1751" i="1"/>
  <c r="K1681" i="1"/>
  <c r="D1822" i="1"/>
  <c r="G1831" i="1"/>
  <c r="K1824" i="1"/>
  <c r="J1730" i="1"/>
  <c r="I1790" i="1"/>
  <c r="M1705" i="1"/>
  <c r="I1842" i="1"/>
  <c r="B1746" i="1"/>
  <c r="K1800" i="1"/>
  <c r="D1750" i="1"/>
  <c r="L1759" i="1"/>
  <c r="M1683" i="1"/>
  <c r="N1749" i="1"/>
  <c r="D1812" i="1"/>
  <c r="H1778" i="1"/>
  <c r="H1824" i="1"/>
  <c r="N1742" i="1"/>
  <c r="P1801" i="1"/>
  <c r="E1791" i="1"/>
  <c r="E1830" i="1"/>
  <c r="C1804" i="1"/>
  <c r="C1835" i="1"/>
  <c r="K1814" i="1"/>
  <c r="A1835" i="1"/>
  <c r="E1801" i="1"/>
  <c r="N1730" i="1"/>
  <c r="D1803" i="1"/>
  <c r="J1761" i="1"/>
  <c r="M1834" i="1"/>
  <c r="P1771" i="1"/>
  <c r="P1819" i="1"/>
  <c r="K1833" i="1"/>
  <c r="K1762" i="1"/>
  <c r="F1807" i="1"/>
  <c r="L1835" i="1"/>
  <c r="D1813" i="1"/>
  <c r="O1839" i="1"/>
  <c r="I1829" i="1"/>
  <c r="C1818" i="1"/>
  <c r="G1838" i="1"/>
  <c r="M1820" i="1"/>
  <c r="I1743" i="1"/>
  <c r="M1817" i="1"/>
  <c r="F1836" i="1"/>
  <c r="B1834" i="1"/>
  <c r="F1822" i="1"/>
  <c r="H1764" i="1"/>
  <c r="J1803" i="1"/>
  <c r="N1817" i="1"/>
  <c r="H1775" i="1"/>
  <c r="F1785" i="1"/>
  <c r="I1797" i="1"/>
  <c r="O1780" i="1"/>
  <c r="G1802" i="1"/>
  <c r="J1801" i="1"/>
  <c r="D1778" i="1"/>
  <c r="K1819" i="1"/>
  <c r="D1782" i="1"/>
  <c r="P1797" i="1"/>
  <c r="C1786" i="1"/>
  <c r="H1826" i="1"/>
  <c r="A1799" i="1"/>
  <c r="B1828" i="1"/>
  <c r="J1778" i="1"/>
  <c r="C1806" i="1"/>
  <c r="A1817" i="1"/>
  <c r="J1817" i="1"/>
  <c r="M1754" i="1"/>
  <c r="I1817" i="1"/>
  <c r="A1790" i="1"/>
  <c r="B1816" i="1"/>
  <c r="N1798" i="1"/>
  <c r="P1759" i="1"/>
  <c r="P1725" i="1"/>
  <c r="M1797" i="1"/>
  <c r="G1842" i="1"/>
  <c r="J1829" i="1"/>
  <c r="L1768" i="1"/>
  <c r="O1833" i="1"/>
  <c r="M1778" i="1"/>
  <c r="O1805" i="1"/>
  <c r="I1792" i="1"/>
  <c r="A1822" i="1"/>
  <c r="O1807" i="1"/>
  <c r="K1755" i="1"/>
  <c r="E1776" i="1"/>
  <c r="D1816" i="1"/>
  <c r="M1786" i="1"/>
  <c r="G1761" i="1"/>
  <c r="E1754" i="1"/>
  <c r="D1723" i="1"/>
  <c r="J1720" i="1"/>
  <c r="D1841" i="1"/>
  <c r="G1821" i="1"/>
  <c r="B1181" i="1"/>
  <c r="I1763" i="1"/>
  <c r="L1792" i="1"/>
  <c r="A1792" i="1"/>
  <c r="H1790" i="1"/>
  <c r="O1774" i="1"/>
  <c r="A1806" i="1"/>
  <c r="G1843" i="1"/>
  <c r="P1775" i="1"/>
  <c r="M1827" i="1"/>
  <c r="C1751" i="1"/>
  <c r="L1830" i="1"/>
  <c r="H1770" i="1"/>
  <c r="I1831" i="1"/>
  <c r="J1824" i="1"/>
  <c r="A1826" i="1"/>
  <c r="P1785" i="1"/>
  <c r="F1794" i="1"/>
  <c r="L1838" i="1"/>
  <c r="C1827" i="1"/>
  <c r="L1794" i="1"/>
  <c r="B1815" i="1"/>
  <c r="N1818" i="1"/>
  <c r="B1809" i="1"/>
  <c r="K1803" i="1"/>
  <c r="H1720" i="1"/>
  <c r="B1763" i="1"/>
  <c r="K1741" i="1"/>
  <c r="M1793" i="1"/>
  <c r="B1822" i="1"/>
  <c r="L1782" i="1"/>
  <c r="G1754" i="1"/>
  <c r="G1765" i="1"/>
  <c r="J1729" i="1"/>
  <c r="I1776" i="1"/>
  <c r="O1740" i="1"/>
  <c r="J1731" i="1"/>
  <c r="B1636" i="1"/>
  <c r="C1697" i="1"/>
  <c r="G1657" i="1"/>
  <c r="C1693" i="1"/>
  <c r="K1829" i="1"/>
  <c r="C1669" i="1"/>
  <c r="H1813" i="1"/>
  <c r="I1738" i="1"/>
  <c r="H1730" i="1"/>
  <c r="M1814" i="1"/>
  <c r="F1804" i="1"/>
  <c r="P1815" i="1"/>
  <c r="J1759" i="1"/>
  <c r="F1839" i="1"/>
  <c r="J1816" i="1"/>
  <c r="F1803" i="1"/>
  <c r="G1826" i="1"/>
  <c r="J1794" i="1"/>
  <c r="D1794" i="1"/>
  <c r="K1823" i="1"/>
  <c r="M1792" i="1"/>
  <c r="C1760" i="1"/>
  <c r="E1755" i="1"/>
  <c r="B1813" i="1"/>
  <c r="A1795" i="1"/>
  <c r="F1815" i="1"/>
  <c r="K1772" i="1"/>
  <c r="F1810" i="1"/>
  <c r="L1810" i="1"/>
  <c r="B1831" i="1"/>
  <c r="K1830" i="1"/>
  <c r="B1795" i="1"/>
  <c r="H1834" i="1"/>
  <c r="A1807" i="1"/>
  <c r="M1787" i="1"/>
  <c r="G1791" i="1"/>
  <c r="D1787" i="1"/>
  <c r="F1741" i="1"/>
  <c r="P1755" i="1"/>
  <c r="P1721" i="1"/>
  <c r="K1842" i="1"/>
  <c r="P1783" i="1"/>
  <c r="J1820" i="1"/>
  <c r="P1786" i="1"/>
  <c r="K1802" i="1"/>
  <c r="A1823" i="1"/>
  <c r="H1814" i="1"/>
  <c r="P1834" i="1"/>
  <c r="O1811" i="1"/>
  <c r="P1790" i="1"/>
  <c r="H1781" i="1"/>
  <c r="P1829" i="1"/>
  <c r="E1759" i="1"/>
  <c r="N1789" i="1"/>
  <c r="I1808" i="1"/>
  <c r="L1764" i="1"/>
  <c r="C1814" i="1"/>
  <c r="E1831" i="1"/>
  <c r="F1798" i="1"/>
  <c r="B1769" i="1"/>
  <c r="M1775" i="1"/>
  <c r="E1775" i="1"/>
  <c r="G1799" i="1"/>
  <c r="L1787" i="1"/>
  <c r="L1817" i="1"/>
  <c r="O1772" i="1"/>
  <c r="O1800" i="1"/>
  <c r="A1776" i="1"/>
  <c r="O1770" i="1"/>
  <c r="E1834" i="1"/>
  <c r="G1792" i="1"/>
  <c r="D1771" i="1"/>
  <c r="J1818" i="1"/>
  <c r="I1806" i="1"/>
  <c r="A1800" i="1"/>
  <c r="P1760" i="1"/>
  <c r="L1824" i="1"/>
  <c r="D1773" i="1"/>
  <c r="L1841" i="1"/>
  <c r="N1783" i="1"/>
  <c r="N1776" i="1"/>
  <c r="D1829" i="1"/>
  <c r="A1821" i="1"/>
  <c r="N1810" i="1"/>
  <c r="N1753" i="1"/>
  <c r="K1747" i="1"/>
  <c r="I1781" i="1"/>
  <c r="L1802" i="1"/>
  <c r="L1800" i="1"/>
  <c r="C1820" i="1"/>
  <c r="G1789" i="1"/>
  <c r="K1820" i="1"/>
  <c r="O1820" i="1"/>
  <c r="D1737" i="1"/>
  <c r="D1832" i="1"/>
  <c r="K1757" i="1"/>
  <c r="E1840" i="1"/>
  <c r="E1751" i="1"/>
  <c r="F1819" i="1"/>
  <c r="G1778" i="1"/>
  <c r="I1690" i="1"/>
  <c r="C1813" i="1"/>
  <c r="H1744" i="1"/>
  <c r="E1807" i="1"/>
  <c r="K1838" i="1"/>
  <c r="B1803" i="1"/>
  <c r="L1821" i="1"/>
  <c r="J1774" i="1"/>
  <c r="G1839" i="1"/>
  <c r="G1837" i="1"/>
  <c r="D1830" i="1"/>
  <c r="E1812" i="1"/>
  <c r="F1829" i="1"/>
  <c r="P1784" i="1"/>
  <c r="N1752" i="1"/>
  <c r="I1775" i="1"/>
  <c r="E1723" i="1"/>
  <c r="C1685" i="1"/>
  <c r="J1825" i="1"/>
  <c r="P1808" i="1"/>
  <c r="A1744" i="1"/>
  <c r="C1734" i="1"/>
  <c r="O1751" i="1"/>
  <c r="C1710" i="1"/>
  <c r="F1740" i="1"/>
  <c r="H1735" i="1"/>
  <c r="P1734" i="1"/>
  <c r="A1681" i="1"/>
  <c r="D1721" i="1"/>
  <c r="L1647" i="1"/>
  <c r="D1717" i="1"/>
  <c r="N1642" i="1"/>
  <c r="A1813" i="1"/>
  <c r="L1840" i="1"/>
  <c r="L1793" i="1"/>
  <c r="P1710" i="1"/>
  <c r="I1799" i="1"/>
  <c r="B1842" i="1"/>
  <c r="C1837" i="1"/>
  <c r="H1822" i="1"/>
  <c r="E1821" i="1"/>
  <c r="N1792" i="1"/>
  <c r="L1804" i="1"/>
  <c r="E1778" i="1"/>
  <c r="N1807" i="1"/>
  <c r="A1838" i="1"/>
  <c r="I1803" i="1"/>
  <c r="O1821" i="1"/>
  <c r="B1843" i="1"/>
  <c r="C1792" i="1"/>
  <c r="I1757" i="1"/>
  <c r="H1777" i="1"/>
  <c r="B1824" i="1"/>
  <c r="M1821" i="1"/>
  <c r="B1790" i="1"/>
  <c r="F1760" i="1"/>
  <c r="B1754" i="1"/>
  <c r="P1746" i="1"/>
  <c r="F1743" i="1"/>
  <c r="H1763" i="1"/>
  <c r="I1707" i="1"/>
  <c r="A1774" i="1"/>
  <c r="D1709" i="1"/>
  <c r="O1739" i="1"/>
  <c r="F1825" i="1"/>
  <c r="P1812" i="1"/>
  <c r="P1788" i="1"/>
  <c r="K1677" i="1"/>
  <c r="D1751" i="1"/>
  <c r="P1793" i="1"/>
  <c r="G1809" i="1"/>
  <c r="M1743" i="1"/>
  <c r="H1728" i="1"/>
  <c r="H1693" i="1"/>
  <c r="K1693" i="1"/>
  <c r="K1695" i="1"/>
  <c r="K1689" i="1"/>
  <c r="K1691" i="1"/>
  <c r="P1726" i="1"/>
  <c r="F1784" i="1"/>
  <c r="J1769" i="1"/>
  <c r="J1809" i="1"/>
  <c r="M1755" i="1"/>
  <c r="K1792" i="1"/>
  <c r="E1730" i="1"/>
  <c r="A1802" i="1"/>
  <c r="B1789" i="1"/>
  <c r="J1806" i="1"/>
  <c r="N1682" i="1"/>
  <c r="A1837" i="1"/>
  <c r="D1747" i="1"/>
  <c r="J1828" i="1"/>
  <c r="K1834" i="1"/>
  <c r="A1755" i="1"/>
  <c r="P1736" i="1"/>
  <c r="A1733" i="1"/>
  <c r="N1751" i="1"/>
  <c r="L1748" i="1"/>
  <c r="P1727" i="1"/>
  <c r="D1725" i="1"/>
  <c r="J1832" i="1"/>
  <c r="K1643" i="1"/>
  <c r="N1683" i="1"/>
  <c r="O1786" i="1"/>
  <c r="D1775" i="1"/>
  <c r="B1734" i="1"/>
  <c r="M1740" i="1"/>
  <c r="E1764" i="1"/>
  <c r="G1782" i="1"/>
  <c r="F1749" i="1"/>
  <c r="B1829" i="1"/>
  <c r="D1811" i="1"/>
  <c r="E1819" i="1"/>
  <c r="E1789" i="1"/>
  <c r="F1731" i="1"/>
  <c r="I1815" i="1"/>
  <c r="F1755" i="1"/>
  <c r="A1815" i="1"/>
  <c r="O1687" i="1"/>
  <c r="A1811" i="1"/>
  <c r="O1679" i="1"/>
  <c r="I1800" i="1"/>
  <c r="O1671" i="1"/>
  <c r="L1702" i="1"/>
  <c r="I1736" i="1"/>
  <c r="H1759" i="1"/>
  <c r="P1768" i="1"/>
  <c r="K1742" i="1"/>
  <c r="K1785" i="1"/>
  <c r="P1645" i="1"/>
  <c r="N1805" i="1"/>
  <c r="M1701" i="1"/>
  <c r="I1688" i="1"/>
  <c r="P1670" i="1"/>
  <c r="A1798" i="1"/>
  <c r="E1679" i="1"/>
  <c r="N1781" i="1"/>
  <c r="E1652" i="1"/>
  <c r="N1690" i="1"/>
  <c r="C1705" i="1"/>
  <c r="A1727" i="1"/>
  <c r="O1755" i="1"/>
  <c r="C1715" i="1"/>
  <c r="E1769" i="1"/>
  <c r="J1783" i="1"/>
  <c r="K1672" i="1"/>
  <c r="C1762" i="1"/>
  <c r="A1644" i="1"/>
  <c r="H1700" i="1"/>
  <c r="P1706" i="1"/>
  <c r="A1785" i="1"/>
  <c r="D1651" i="1"/>
  <c r="E1781" i="1"/>
  <c r="H1798" i="1"/>
  <c r="G1729" i="1"/>
  <c r="M1717" i="1"/>
  <c r="F1686" i="1"/>
  <c r="J1753" i="1"/>
  <c r="C1727" i="1"/>
  <c r="I1826" i="1"/>
  <c r="C1772" i="1"/>
  <c r="P1662" i="1"/>
  <c r="B1773" i="1"/>
  <c r="P1654" i="1"/>
  <c r="J1663" i="1"/>
  <c r="L1842" i="1"/>
  <c r="N1829" i="1"/>
  <c r="B891" i="1"/>
  <c r="I1818" i="1"/>
  <c r="C1838" i="1"/>
  <c r="M1761" i="1"/>
  <c r="E1809" i="1"/>
  <c r="O1766" i="1"/>
  <c r="P1796" i="1"/>
  <c r="P1711" i="1"/>
  <c r="N1827" i="1"/>
  <c r="H1765" i="1"/>
  <c r="E1820" i="1"/>
  <c r="H1803" i="1"/>
  <c r="I1725" i="1"/>
  <c r="A1692" i="1"/>
  <c r="A1746" i="1"/>
  <c r="E1818" i="1"/>
  <c r="G1771" i="1"/>
  <c r="F1809" i="1"/>
  <c r="B1751" i="1"/>
  <c r="B1784" i="1"/>
  <c r="B1703" i="1"/>
  <c r="J1787" i="1"/>
  <c r="H1709" i="1"/>
  <c r="L1753" i="1"/>
  <c r="B1705" i="1"/>
  <c r="L1828" i="1"/>
  <c r="J1843" i="1"/>
  <c r="E1719" i="1"/>
  <c r="C1681" i="1"/>
  <c r="G1779" i="1"/>
  <c r="K1816" i="1"/>
  <c r="F1786" i="1"/>
  <c r="D1779" i="1"/>
  <c r="E1692" i="1"/>
  <c r="H1668" i="1"/>
  <c r="O1762" i="1"/>
  <c r="I1675" i="1"/>
  <c r="C1748" i="1"/>
  <c r="C1670" i="1"/>
  <c r="K1732" i="1"/>
  <c r="H1793" i="1"/>
  <c r="H1750" i="1"/>
  <c r="M1807" i="1"/>
  <c r="E1838" i="1"/>
  <c r="E1823" i="1"/>
  <c r="L1701" i="1"/>
  <c r="B1781" i="1"/>
  <c r="C1732" i="1"/>
  <c r="G1714" i="1"/>
  <c r="K1731" i="1"/>
  <c r="E1746" i="1"/>
  <c r="I1720" i="1"/>
  <c r="G1740" i="1"/>
  <c r="K1798" i="1"/>
  <c r="I1788" i="1"/>
  <c r="G1743" i="1"/>
  <c r="F1837" i="1"/>
  <c r="F1763" i="1"/>
  <c r="N1819" i="1"/>
  <c r="A1832" i="1"/>
  <c r="A1756" i="1"/>
  <c r="K1737" i="1"/>
  <c r="P1739" i="1"/>
  <c r="G1720" i="1"/>
  <c r="P1735" i="1"/>
  <c r="K1694" i="1"/>
  <c r="L1827" i="1"/>
  <c r="J1680" i="1"/>
  <c r="A1765" i="1"/>
  <c r="E1794" i="1"/>
  <c r="C1755" i="1"/>
  <c r="G1755" i="1"/>
  <c r="N1808" i="1"/>
  <c r="C1744" i="1"/>
  <c r="L1799" i="1"/>
  <c r="O1721" i="1"/>
  <c r="M1722" i="1"/>
  <c r="B1753" i="1"/>
  <c r="P1723" i="1"/>
  <c r="G1687" i="1"/>
  <c r="P1719" i="1"/>
  <c r="G1679" i="1"/>
  <c r="P1715" i="1"/>
  <c r="G1671" i="1"/>
  <c r="C1750" i="1"/>
  <c r="D1733" i="1"/>
  <c r="K1763" i="1"/>
  <c r="B1113" i="1"/>
  <c r="F1775" i="1"/>
  <c r="E1737" i="1"/>
  <c r="P1714" i="1"/>
  <c r="H1776" i="1"/>
  <c r="H1699" i="1"/>
  <c r="F1657" i="1"/>
  <c r="P1680" i="1"/>
  <c r="M1724" i="1"/>
  <c r="G1634" i="1"/>
  <c r="B1716" i="1"/>
  <c r="L1639" i="1"/>
  <c r="L1742" i="1"/>
  <c r="G1680" i="1"/>
  <c r="G1716" i="1"/>
  <c r="E1788" i="1"/>
  <c r="K1839" i="1"/>
  <c r="G1726" i="1"/>
  <c r="H1774" i="1"/>
  <c r="B1740" i="1"/>
  <c r="J1732" i="1"/>
  <c r="C1643" i="1"/>
  <c r="O1668" i="1"/>
  <c r="N1702" i="1"/>
  <c r="M1764" i="1"/>
  <c r="I1833" i="1"/>
  <c r="A1740" i="1"/>
  <c r="K1795" i="1"/>
  <c r="G1749" i="1"/>
  <c r="N1800" i="1"/>
  <c r="G1702" i="1"/>
  <c r="A1758" i="1"/>
  <c r="M1763" i="1"/>
  <c r="D1770" i="1"/>
  <c r="E1797" i="1"/>
  <c r="H1782" i="1"/>
  <c r="F1814" i="1"/>
  <c r="J1766" i="1"/>
  <c r="K1779" i="1"/>
  <c r="G1722" i="1"/>
  <c r="G1794" i="1"/>
  <c r="B1825" i="1"/>
  <c r="O1840" i="1"/>
  <c r="F1754" i="1"/>
  <c r="O1806" i="1"/>
  <c r="F1792" i="1"/>
  <c r="H1740" i="1"/>
  <c r="P1661" i="1"/>
  <c r="D1819" i="1"/>
  <c r="D1701" i="1"/>
  <c r="P1809" i="1"/>
  <c r="D1685" i="1"/>
  <c r="N1816" i="1"/>
  <c r="K1782" i="1"/>
  <c r="C1773" i="1"/>
  <c r="F1764" i="1"/>
  <c r="M1756" i="1"/>
  <c r="H1835" i="1"/>
  <c r="D1711" i="1"/>
  <c r="F1806" i="1"/>
  <c r="F1727" i="1"/>
  <c r="E1724" i="1"/>
  <c r="L1711" i="1"/>
  <c r="D1755" i="1"/>
  <c r="H1753" i="1"/>
  <c r="G1817" i="1"/>
  <c r="G1828" i="1"/>
  <c r="J1823" i="1"/>
  <c r="N1838" i="1"/>
  <c r="G1783" i="1"/>
  <c r="O1794" i="1"/>
  <c r="I1760" i="1"/>
  <c r="D1724" i="1"/>
  <c r="K1697" i="1"/>
  <c r="K1699" i="1"/>
  <c r="J1830" i="1"/>
  <c r="B1764" i="1"/>
  <c r="E1843" i="1"/>
  <c r="G1731" i="1"/>
  <c r="K1786" i="1"/>
  <c r="A1819" i="1"/>
  <c r="I1723" i="1"/>
  <c r="B1758" i="1"/>
  <c r="F1795" i="1"/>
  <c r="M1812" i="1"/>
  <c r="D1831" i="1"/>
  <c r="F1778" i="1"/>
  <c r="O1714" i="1"/>
  <c r="K1723" i="1"/>
  <c r="M1718" i="1"/>
  <c r="O1741" i="1"/>
  <c r="M1714" i="1"/>
  <c r="F1732" i="1"/>
  <c r="O1737" i="1"/>
  <c r="F1724" i="1"/>
  <c r="G1721" i="1"/>
  <c r="J1837" i="1"/>
  <c r="G1732" i="1"/>
  <c r="H1712" i="1"/>
  <c r="O1796" i="1"/>
  <c r="J1726" i="1"/>
  <c r="J1777" i="1"/>
  <c r="N1757" i="1"/>
  <c r="K1789" i="1"/>
  <c r="M1710" i="1"/>
  <c r="P1761" i="1"/>
  <c r="G1728" i="1"/>
  <c r="P1749" i="1"/>
  <c r="M1713" i="1"/>
  <c r="I1713" i="1"/>
  <c r="L1707" i="1"/>
  <c r="F1780" i="1"/>
  <c r="A1789" i="1"/>
  <c r="C1793" i="1"/>
  <c r="K1790" i="1"/>
  <c r="N1765" i="1"/>
  <c r="C1665" i="1"/>
  <c r="M1800" i="1"/>
  <c r="N1733" i="1"/>
  <c r="L1716" i="1"/>
  <c r="K1599" i="1"/>
  <c r="A1721" i="1"/>
  <c r="B1736" i="1"/>
  <c r="D1690" i="1"/>
  <c r="N1658" i="1"/>
  <c r="M1670" i="1"/>
  <c r="J1704" i="1"/>
  <c r="E1798" i="1"/>
  <c r="D1776" i="1"/>
  <c r="E1816" i="1"/>
  <c r="B1760" i="1"/>
  <c r="I1740" i="1"/>
  <c r="P1770" i="1"/>
  <c r="E1734" i="1"/>
  <c r="F1720" i="1"/>
  <c r="F1735" i="1"/>
  <c r="H1624" i="1"/>
  <c r="N1712" i="1"/>
  <c r="M1712" i="1"/>
  <c r="L1806" i="1"/>
  <c r="M1757" i="1"/>
  <c r="D1810" i="1"/>
  <c r="L1825" i="1"/>
  <c r="C1802" i="1"/>
  <c r="F1774" i="1"/>
  <c r="L1820" i="1"/>
  <c r="N1813" i="1"/>
  <c r="O1816" i="1"/>
  <c r="N1726" i="1"/>
  <c r="N1791" i="1"/>
  <c r="I1834" i="1"/>
  <c r="P1825" i="1"/>
  <c r="A1764" i="1"/>
  <c r="J1709" i="1"/>
  <c r="O1743" i="1"/>
  <c r="M1758" i="1"/>
  <c r="P1794" i="1"/>
  <c r="C1724" i="1"/>
  <c r="L1757" i="1"/>
  <c r="I1784" i="1"/>
  <c r="I1666" i="1"/>
  <c r="K1702" i="1"/>
  <c r="D1809" i="1"/>
  <c r="M1767" i="1"/>
  <c r="K1775" i="1"/>
  <c r="C1752" i="1"/>
  <c r="J1804" i="1"/>
  <c r="M1824" i="1"/>
  <c r="N1755" i="1"/>
  <c r="P1750" i="1"/>
  <c r="F1713" i="1"/>
  <c r="L1710" i="1"/>
  <c r="B1800" i="1"/>
  <c r="K1822" i="1"/>
  <c r="O1715" i="1"/>
  <c r="P1823" i="1"/>
  <c r="K1781" i="1"/>
  <c r="L1781" i="1"/>
  <c r="L1789" i="1"/>
  <c r="M1766" i="1"/>
  <c r="B1833" i="1"/>
  <c r="M1753" i="1"/>
  <c r="N1759" i="1"/>
  <c r="P1747" i="1"/>
  <c r="P1713" i="1"/>
  <c r="F1746" i="1"/>
  <c r="D1705" i="1"/>
  <c r="O1785" i="1"/>
  <c r="N1711" i="1"/>
  <c r="M1769" i="1"/>
  <c r="K1706" i="1"/>
  <c r="C1758" i="1"/>
  <c r="C1700" i="1"/>
  <c r="J1734" i="1"/>
  <c r="H1802" i="1"/>
  <c r="F1737" i="1"/>
  <c r="F1747" i="1"/>
  <c r="J1822" i="1"/>
  <c r="H1708" i="1"/>
  <c r="G1819" i="1"/>
  <c r="P1781" i="1"/>
  <c r="O1778" i="1"/>
  <c r="K1709" i="1"/>
  <c r="E1777" i="1"/>
  <c r="L1705" i="1"/>
  <c r="D1780" i="1"/>
  <c r="K1701" i="1"/>
  <c r="N1771" i="1"/>
  <c r="J1697" i="1"/>
  <c r="B1807" i="1"/>
  <c r="A1783" i="1"/>
  <c r="J1765" i="1"/>
  <c r="M1760" i="1"/>
  <c r="P1817" i="1"/>
  <c r="K1748" i="1"/>
  <c r="G1768" i="1"/>
  <c r="G1725" i="1"/>
  <c r="P1729" i="1"/>
  <c r="M1669" i="1"/>
  <c r="J1727" i="1"/>
  <c r="B1632" i="1"/>
  <c r="G1780" i="1"/>
  <c r="B1713" i="1"/>
  <c r="L1760" i="1"/>
  <c r="P1695" i="1"/>
  <c r="F1788" i="1"/>
  <c r="O1712" i="1"/>
  <c r="A1757" i="1"/>
  <c r="I1744" i="1"/>
  <c r="G1681" i="1"/>
  <c r="D1754" i="1"/>
  <c r="L1631" i="1"/>
  <c r="I1769" i="1"/>
  <c r="F1680" i="1"/>
  <c r="I1838" i="1"/>
  <c r="D1673" i="1"/>
  <c r="H1690" i="1"/>
  <c r="J1702" i="1"/>
  <c r="J1659" i="1"/>
  <c r="O1724" i="1"/>
  <c r="G1700" i="1"/>
  <c r="F1820" i="1"/>
  <c r="I1678" i="1"/>
  <c r="G1710" i="1"/>
  <c r="F1759" i="1"/>
  <c r="G1705" i="1"/>
  <c r="E1795" i="1"/>
  <c r="A1648" i="1"/>
  <c r="N1773" i="1"/>
  <c r="O1700" i="1"/>
  <c r="P1767" i="1"/>
  <c r="O1684" i="1"/>
  <c r="I1692" i="1"/>
  <c r="J1688" i="1"/>
  <c r="M1737" i="1"/>
  <c r="P1717" i="1"/>
  <c r="C1673" i="1"/>
  <c r="J1692" i="1"/>
  <c r="D1713" i="1"/>
  <c r="L1720" i="1"/>
  <c r="K1738" i="1"/>
  <c r="G1717" i="1"/>
  <c r="L1688" i="1"/>
  <c r="I1710" i="1"/>
  <c r="H1682" i="1"/>
  <c r="G1823" i="1"/>
  <c r="K1818" i="1"/>
  <c r="L1818" i="1"/>
  <c r="C1822" i="1"/>
  <c r="K1810" i="1"/>
  <c r="J1805" i="1"/>
  <c r="M1783" i="1"/>
  <c r="I1822" i="1"/>
  <c r="L1832" i="1"/>
  <c r="D1820" i="1"/>
  <c r="O1828" i="1"/>
  <c r="P1779" i="1"/>
  <c r="D1818" i="1"/>
  <c r="I1824" i="1"/>
  <c r="O1822" i="1"/>
  <c r="I1766" i="1"/>
  <c r="L1765" i="1"/>
  <c r="N1735" i="1"/>
  <c r="M1839" i="1"/>
  <c r="A1729" i="1"/>
  <c r="I1741" i="1"/>
  <c r="J1707" i="1"/>
  <c r="C1701" i="1"/>
  <c r="G1661" i="1"/>
  <c r="N1834" i="1"/>
  <c r="H1725" i="1"/>
  <c r="A1784" i="1"/>
  <c r="N1746" i="1"/>
  <c r="O1815" i="1"/>
  <c r="P1752" i="1"/>
  <c r="E1768" i="1"/>
  <c r="M1795" i="1"/>
  <c r="H1829" i="1"/>
  <c r="C1832" i="1"/>
  <c r="O1738" i="1"/>
  <c r="C1784" i="1"/>
  <c r="M1732" i="1"/>
  <c r="H1780" i="1"/>
  <c r="B1808" i="1"/>
  <c r="H1797" i="1"/>
  <c r="J1840" i="1"/>
  <c r="B1776" i="1"/>
  <c r="H1810" i="1"/>
  <c r="G1763" i="1"/>
  <c r="G1759" i="1"/>
  <c r="O1750" i="1"/>
  <c r="M1747" i="1"/>
  <c r="M1726" i="1"/>
  <c r="A1724" i="1"/>
  <c r="H1721" i="1"/>
  <c r="G1676" i="1"/>
  <c r="B1723" i="1"/>
  <c r="D1663" i="1"/>
  <c r="B1715" i="1"/>
  <c r="F1658" i="1"/>
  <c r="C1790" i="1"/>
  <c r="E1824" i="1"/>
  <c r="A1794" i="1"/>
  <c r="H1752" i="1"/>
  <c r="I1745" i="1"/>
  <c r="J1711" i="1"/>
  <c r="C1839" i="1"/>
  <c r="F1826" i="1"/>
  <c r="A1717" i="1"/>
  <c r="M1686" i="1"/>
  <c r="H1754" i="1"/>
  <c r="P1692" i="1"/>
  <c r="G1747" i="1"/>
  <c r="B1687" i="1"/>
  <c r="A1742" i="1"/>
  <c r="N1734" i="1"/>
  <c r="P1810" i="1"/>
  <c r="B1837" i="1"/>
  <c r="K1791" i="1"/>
  <c r="M1826" i="1"/>
  <c r="I1801" i="1"/>
  <c r="M1790" i="1"/>
  <c r="H1726" i="1"/>
  <c r="F1723" i="1"/>
  <c r="D1707" i="1"/>
  <c r="B1689" i="1"/>
  <c r="L1704" i="1"/>
  <c r="I1726" i="1"/>
  <c r="L1700" i="1"/>
  <c r="A1707" i="1"/>
  <c r="L1696" i="1"/>
  <c r="N1841" i="1"/>
  <c r="E1714" i="1"/>
  <c r="B1778" i="1"/>
  <c r="H1809" i="1"/>
  <c r="G1674" i="1"/>
  <c r="K1687" i="1"/>
  <c r="D1687" i="1"/>
  <c r="E1802" i="1"/>
  <c r="H1815" i="1"/>
  <c r="P1630" i="1"/>
  <c r="J1752" i="1"/>
  <c r="P1626" i="1"/>
  <c r="F1696" i="1"/>
  <c r="F1677" i="1"/>
  <c r="L1715" i="1"/>
  <c r="A1797" i="1"/>
  <c r="B1683" i="1"/>
  <c r="D1742" i="1"/>
  <c r="D1806" i="1"/>
  <c r="N1815" i="1"/>
  <c r="G1688" i="1"/>
  <c r="N1715" i="1"/>
  <c r="O1693" i="1"/>
  <c r="M1765" i="1"/>
  <c r="L1703" i="1"/>
  <c r="C1716" i="1"/>
  <c r="E1732" i="1"/>
  <c r="C1742" i="1"/>
  <c r="H1657" i="1"/>
  <c r="I1695" i="1"/>
  <c r="C1735" i="1"/>
  <c r="E1774" i="1"/>
  <c r="K1788" i="1"/>
  <c r="B1794" i="1"/>
  <c r="L1731" i="1"/>
  <c r="D1788" i="1"/>
  <c r="D1700" i="1"/>
  <c r="G1667" i="1"/>
  <c r="B1681" i="1"/>
  <c r="K1656" i="1"/>
  <c r="M1733" i="1"/>
  <c r="L1727" i="1"/>
  <c r="A1839" i="1"/>
  <c r="B1839" i="1"/>
  <c r="L1779" i="1"/>
  <c r="A1831" i="1"/>
  <c r="M1791" i="1"/>
  <c r="G1786" i="1"/>
  <c r="M1808" i="1"/>
  <c r="B1805" i="1"/>
  <c r="C1799" i="1"/>
  <c r="D1745" i="1"/>
  <c r="L1822" i="1"/>
  <c r="E1787" i="1"/>
  <c r="K1771" i="1"/>
  <c r="K1808" i="1"/>
  <c r="M1698" i="1"/>
  <c r="E1837" i="1"/>
  <c r="M1721" i="1"/>
  <c r="E1715" i="1"/>
  <c r="C1677" i="1"/>
  <c r="E1842" i="1"/>
  <c r="F1812" i="1"/>
  <c r="D1729" i="1"/>
  <c r="H1653" i="1"/>
  <c r="E1688" i="1"/>
  <c r="E1662" i="1"/>
  <c r="E1676" i="1"/>
  <c r="I1656" i="1"/>
  <c r="J1755" i="1"/>
  <c r="J1736" i="1"/>
  <c r="I1729" i="1"/>
  <c r="O1825" i="1"/>
  <c r="M1745" i="1"/>
  <c r="F1834" i="1"/>
  <c r="J1722" i="1"/>
  <c r="F1761" i="1"/>
  <c r="I1789" i="1"/>
  <c r="K1744" i="1"/>
  <c r="I1717" i="1"/>
  <c r="M1739" i="1"/>
  <c r="A1705" i="1"/>
  <c r="F1772" i="1"/>
  <c r="G1764" i="1"/>
  <c r="F1717" i="1"/>
  <c r="L1714" i="1"/>
  <c r="P1731" i="1"/>
  <c r="K1826" i="1"/>
  <c r="I1774" i="1"/>
  <c r="C1826" i="1"/>
  <c r="O1677" i="1"/>
  <c r="K1759" i="1"/>
  <c r="O1742" i="1"/>
  <c r="F1805" i="1"/>
  <c r="I1779" i="1"/>
  <c r="E1833" i="1"/>
  <c r="G1834" i="1"/>
  <c r="K1813" i="1"/>
  <c r="B1762" i="1"/>
  <c r="H1755" i="1"/>
  <c r="K1809" i="1"/>
  <c r="G1787" i="1"/>
  <c r="A1745" i="1"/>
  <c r="G1742" i="1"/>
  <c r="N1709" i="1"/>
  <c r="D1710" i="1"/>
  <c r="G1699" i="1"/>
  <c r="P1682" i="1"/>
  <c r="G1691" i="1"/>
  <c r="H1745" i="1"/>
  <c r="G1683" i="1"/>
  <c r="P1835" i="1"/>
  <c r="D1814" i="1"/>
  <c r="J1767" i="1"/>
  <c r="B1765" i="1"/>
  <c r="L1754" i="1"/>
  <c r="D1715" i="1"/>
  <c r="J1712" i="1"/>
  <c r="M1706" i="1"/>
  <c r="D1704" i="1"/>
  <c r="N1687" i="1"/>
  <c r="J1655" i="1"/>
  <c r="I1693" i="1"/>
  <c r="P1740" i="1"/>
  <c r="I1689" i="1"/>
  <c r="N1785" i="1"/>
  <c r="I1685" i="1"/>
  <c r="J1776" i="1"/>
  <c r="P1798" i="1"/>
  <c r="E1811" i="1"/>
  <c r="B1787" i="1"/>
  <c r="I1814" i="1"/>
  <c r="H1757" i="1"/>
  <c r="F1687" i="1"/>
  <c r="L1829" i="1"/>
  <c r="H1718" i="1"/>
  <c r="L1655" i="1"/>
  <c r="M1752" i="1"/>
  <c r="N1650" i="1"/>
  <c r="A1673" i="1"/>
  <c r="K1728" i="1"/>
  <c r="A1660" i="1"/>
  <c r="H1713" i="1"/>
  <c r="K1634" i="1"/>
  <c r="D1783" i="1"/>
  <c r="I1780" i="1"/>
  <c r="K1793" i="1"/>
  <c r="A1775" i="1"/>
  <c r="I1668" i="1"/>
  <c r="A1697" i="1"/>
  <c r="L1786" i="1"/>
  <c r="L1721" i="1"/>
  <c r="H1671" i="1"/>
  <c r="L1713" i="1"/>
  <c r="I1664" i="1"/>
  <c r="P1621" i="1"/>
  <c r="K1770" i="1"/>
  <c r="I1752" i="1"/>
  <c r="J1737" i="1"/>
  <c r="N1686" i="1"/>
  <c r="G1685" i="1"/>
  <c r="P1649" i="1"/>
  <c r="A1747" i="1"/>
  <c r="H1660" i="1"/>
  <c r="G1756" i="1"/>
  <c r="L1650" i="1"/>
  <c r="G1833" i="1"/>
  <c r="L1646" i="1"/>
  <c r="L1663" i="1"/>
  <c r="H1779" i="1"/>
  <c r="G1825" i="1"/>
  <c r="B1827" i="1"/>
  <c r="K1837" i="1"/>
  <c r="C1836" i="1"/>
  <c r="B1841" i="1"/>
  <c r="L1739" i="1"/>
  <c r="I1810" i="1"/>
  <c r="H1689" i="1"/>
  <c r="H1807" i="1"/>
  <c r="E1835" i="1"/>
  <c r="M1822" i="1"/>
  <c r="P1800" i="1"/>
  <c r="C1788" i="1"/>
  <c r="H1784" i="1"/>
  <c r="C1816" i="1"/>
  <c r="D1761" i="1"/>
  <c r="P1743" i="1"/>
  <c r="O1775" i="1"/>
  <c r="C1749" i="1"/>
  <c r="I1749" i="1"/>
  <c r="F1828" i="1"/>
  <c r="L1730" i="1"/>
  <c r="L1722" i="1"/>
  <c r="K1667" i="1"/>
  <c r="D1824" i="1"/>
  <c r="J1670" i="1"/>
  <c r="F1645" i="1"/>
  <c r="J1691" i="1"/>
  <c r="N1796" i="1"/>
  <c r="G1621" i="1"/>
  <c r="M1668" i="1"/>
  <c r="E1711" i="1"/>
  <c r="C1775" i="1"/>
  <c r="I1704" i="1"/>
  <c r="J1681" i="1"/>
  <c r="M1823" i="1"/>
  <c r="D1837" i="1"/>
  <c r="N1788" i="1"/>
  <c r="J1723" i="1"/>
  <c r="A1732" i="1"/>
  <c r="F1838" i="1"/>
  <c r="H1838" i="1"/>
  <c r="D1758" i="1"/>
  <c r="B1733" i="1"/>
  <c r="P1774" i="1"/>
  <c r="H1816" i="1"/>
  <c r="L1783" i="1"/>
  <c r="M1654" i="1"/>
  <c r="N1763" i="1"/>
  <c r="I1682" i="1"/>
  <c r="G1750" i="1"/>
  <c r="H1742" i="1"/>
  <c r="N1724" i="1"/>
  <c r="A1787" i="1"/>
  <c r="K1805" i="1"/>
  <c r="F1673" i="1"/>
  <c r="M1697" i="1"/>
  <c r="J1687" i="1"/>
  <c r="G1738" i="1"/>
  <c r="N1787" i="1"/>
  <c r="K1707" i="1"/>
  <c r="N1681" i="1"/>
  <c r="M1707" i="1"/>
  <c r="G1713" i="1"/>
  <c r="H1664" i="1"/>
  <c r="I1748" i="1"/>
  <c r="M1750" i="1"/>
  <c r="B1742" i="1"/>
  <c r="M1840" i="1"/>
  <c r="F1777" i="1"/>
  <c r="B1666" i="1"/>
  <c r="N1745" i="1"/>
  <c r="I1640" i="1"/>
  <c r="P1641" i="1"/>
  <c r="N1737" i="1"/>
  <c r="G1733" i="1"/>
  <c r="J1785" i="1"/>
  <c r="A1680" i="1"/>
  <c r="E1668" i="1"/>
  <c r="D1731" i="1"/>
  <c r="E1750" i="1"/>
  <c r="B1722" i="1"/>
  <c r="A1750" i="1"/>
  <c r="K1729" i="1"/>
  <c r="G1719" i="1"/>
  <c r="A1712" i="1"/>
  <c r="G1617" i="1"/>
  <c r="F1697" i="1"/>
  <c r="K1696" i="1"/>
  <c r="O1746" i="1"/>
  <c r="B1704" i="1"/>
  <c r="H1817" i="1"/>
  <c r="B1814" i="1"/>
  <c r="O1734" i="1"/>
  <c r="M1704" i="1"/>
  <c r="E1748" i="1"/>
  <c r="E1689" i="1"/>
  <c r="G1708" i="1"/>
  <c r="B1634" i="1"/>
  <c r="C1612" i="1"/>
  <c r="I1746" i="1"/>
  <c r="N1698" i="1"/>
  <c r="A1678" i="1"/>
  <c r="K1690" i="1"/>
  <c r="K1727" i="1"/>
  <c r="O1676" i="1"/>
  <c r="D1769" i="1"/>
  <c r="N1731" i="1"/>
  <c r="B1731" i="1"/>
  <c r="C1718" i="1"/>
  <c r="G1709" i="1"/>
  <c r="A1720" i="1"/>
  <c r="O1692" i="1"/>
  <c r="D1802" i="1"/>
  <c r="G1727" i="1"/>
  <c r="C1830" i="1"/>
  <c r="J1694" i="1"/>
  <c r="E1720" i="1"/>
  <c r="E1792" i="1"/>
  <c r="N1778" i="1"/>
  <c r="E1726" i="1"/>
  <c r="I1793" i="1"/>
  <c r="O1697" i="1"/>
  <c r="A1713" i="1"/>
  <c r="L1681" i="1"/>
  <c r="B1724" i="1"/>
  <c r="P1629" i="1"/>
  <c r="M1631" i="1"/>
  <c r="P1625" i="1"/>
  <c r="O1763" i="1"/>
  <c r="I1676" i="1"/>
  <c r="H1749" i="1"/>
  <c r="N1802" i="1"/>
  <c r="A1656" i="1"/>
  <c r="C1797" i="1"/>
  <c r="I1613" i="1"/>
  <c r="N1684" i="1"/>
  <c r="F1616" i="1"/>
  <c r="K1778" i="1"/>
  <c r="B1766" i="1"/>
  <c r="L1843" i="1"/>
  <c r="O1799" i="1"/>
  <c r="D1757" i="1"/>
  <c r="F1726" i="1"/>
  <c r="H1762" i="1"/>
  <c r="K1794" i="1"/>
  <c r="N1714" i="1"/>
  <c r="D1738" i="1"/>
  <c r="O1779" i="1"/>
  <c r="B1780" i="1"/>
  <c r="D1680" i="1"/>
  <c r="M1689" i="1"/>
  <c r="H1767" i="1"/>
  <c r="O1826" i="1"/>
  <c r="B1664" i="1"/>
  <c r="B1656" i="1"/>
  <c r="J1715" i="1"/>
  <c r="L1791" i="1"/>
  <c r="B1675" i="1"/>
  <c r="O1688" i="1"/>
  <c r="E1804" i="1"/>
  <c r="C1831" i="1"/>
  <c r="M1709" i="1"/>
  <c r="G1698" i="1"/>
  <c r="P1676" i="1"/>
  <c r="J1728" i="1"/>
  <c r="P1667" i="1"/>
  <c r="A1679" i="1"/>
  <c r="K1724" i="1"/>
  <c r="P1737" i="1"/>
  <c r="K1683" i="1"/>
  <c r="B1655" i="1"/>
  <c r="B1651" i="1"/>
  <c r="E1660" i="1"/>
  <c r="N1694" i="1"/>
  <c r="N1738" i="1"/>
  <c r="N1679" i="1"/>
  <c r="M1749" i="1"/>
  <c r="C1789" i="1"/>
  <c r="O1797" i="1"/>
  <c r="P1773" i="1"/>
  <c r="D1833" i="1"/>
  <c r="O1744" i="1"/>
  <c r="L1708" i="1"/>
  <c r="B1757" i="1"/>
  <c r="H1666" i="1"/>
  <c r="M1651" i="1"/>
  <c r="B1662" i="1"/>
  <c r="A1715" i="1"/>
  <c r="B1712" i="1"/>
  <c r="K1675" i="1"/>
  <c r="G1776" i="1"/>
  <c r="H1692" i="1"/>
  <c r="G1816" i="1"/>
  <c r="J1763" i="1"/>
  <c r="C1728" i="1"/>
  <c r="C1719" i="1"/>
  <c r="F1691" i="1"/>
  <c r="J1717" i="1"/>
  <c r="G1724" i="1"/>
  <c r="G1746" i="1"/>
  <c r="I1696" i="1"/>
  <c r="O1659" i="1"/>
  <c r="M1690" i="1"/>
  <c r="M1695" i="1"/>
  <c r="B1673" i="1"/>
  <c r="P1685" i="1"/>
  <c r="O1653" i="1"/>
  <c r="N1672" i="1"/>
  <c r="O1819" i="1"/>
  <c r="O1725" i="1"/>
  <c r="D1746" i="1"/>
  <c r="J1749" i="1"/>
  <c r="H1729" i="1"/>
  <c r="G1675" i="1"/>
  <c r="C1805" i="1"/>
  <c r="J1714" i="1"/>
  <c r="I1605" i="1"/>
  <c r="G1835" i="1"/>
  <c r="L1670" i="1"/>
  <c r="B1692" i="1"/>
  <c r="K1769" i="1"/>
  <c r="O1730" i="1"/>
  <c r="L1717" i="1"/>
  <c r="E1716" i="1"/>
  <c r="M1729" i="1"/>
  <c r="N1774" i="1"/>
  <c r="H1677" i="1"/>
  <c r="H1791" i="1"/>
  <c r="F1662" i="1"/>
  <c r="I1843" i="1"/>
  <c r="J1656" i="1"/>
  <c r="D1670" i="1"/>
  <c r="O1675" i="1"/>
  <c r="K1773" i="1"/>
  <c r="O1661" i="1"/>
  <c r="O1827" i="1"/>
  <c r="A1710" i="1"/>
  <c r="I1662" i="1"/>
  <c r="I1636" i="1"/>
  <c r="A1722" i="1"/>
  <c r="P1842" i="1"/>
  <c r="E1758" i="1"/>
  <c r="K1776" i="1"/>
  <c r="L1831" i="1"/>
  <c r="K1768" i="1"/>
  <c r="P1765" i="1"/>
  <c r="K1673" i="1"/>
  <c r="M1687" i="1"/>
  <c r="H1685" i="1"/>
  <c r="D1834" i="1"/>
  <c r="B1804" i="1"/>
  <c r="P1799" i="1"/>
  <c r="B1818" i="1"/>
  <c r="D1762" i="1"/>
  <c r="M1715" i="1"/>
  <c r="C1833" i="1"/>
  <c r="B1793" i="1"/>
  <c r="F1719" i="1"/>
  <c r="P1757" i="1"/>
  <c r="O1843" i="1"/>
  <c r="M1738" i="1"/>
  <c r="B1771" i="1"/>
  <c r="L1726" i="1"/>
  <c r="B1309" i="1"/>
  <c r="P1805" i="1"/>
  <c r="J1592" i="1"/>
  <c r="B1748" i="1"/>
  <c r="O1783" i="1"/>
  <c r="A1737" i="1"/>
  <c r="G1625" i="1"/>
  <c r="K1676" i="1"/>
  <c r="P1751" i="1"/>
  <c r="K1736" i="1"/>
  <c r="H1637" i="1"/>
  <c r="F1729" i="1"/>
  <c r="F1771" i="1"/>
  <c r="E1790" i="1"/>
  <c r="H1843" i="1"/>
  <c r="N1758" i="1"/>
  <c r="J1745" i="1"/>
  <c r="H1842" i="1"/>
  <c r="M1776" i="1"/>
  <c r="D1791" i="1"/>
  <c r="C1776" i="1"/>
  <c r="K1843" i="1"/>
  <c r="A1801" i="1"/>
  <c r="N1719" i="1"/>
  <c r="A1741" i="1"/>
  <c r="B1799" i="1"/>
  <c r="D1781" i="1"/>
  <c r="I1724" i="1"/>
  <c r="N1732" i="1"/>
  <c r="C1834" i="1"/>
  <c r="N1718" i="1"/>
  <c r="F1685" i="1"/>
  <c r="K1718" i="1"/>
  <c r="M1815" i="1"/>
  <c r="K1801" i="1"/>
  <c r="D1692" i="1"/>
  <c r="D1722" i="1"/>
  <c r="I1796" i="1"/>
  <c r="I1830" i="1"/>
  <c r="O1682" i="1"/>
  <c r="J1751" i="1"/>
  <c r="K1760" i="1"/>
  <c r="G1689" i="1"/>
  <c r="C1841" i="1"/>
  <c r="G1830" i="1"/>
  <c r="D1689" i="1"/>
  <c r="F1808" i="1"/>
  <c r="A1676" i="1"/>
  <c r="L1712" i="1"/>
  <c r="A1688" i="1"/>
  <c r="L1677" i="1"/>
  <c r="J1833" i="1"/>
  <c r="M1746" i="1"/>
  <c r="L1699" i="1"/>
  <c r="E1674" i="1"/>
  <c r="B1836" i="1"/>
  <c r="P1758" i="1"/>
  <c r="N1809" i="1"/>
  <c r="F1712" i="1"/>
  <c r="N1617" i="1"/>
  <c r="O1728" i="1"/>
  <c r="N1613" i="1"/>
  <c r="P1708" i="1"/>
  <c r="F1711" i="1"/>
  <c r="B1654" i="1"/>
  <c r="H1632" i="1"/>
  <c r="N1685" i="1"/>
  <c r="G1736" i="1"/>
  <c r="B1806" i="1"/>
  <c r="C1740" i="1"/>
  <c r="O1808" i="1"/>
  <c r="E1757" i="1"/>
  <c r="B1720" i="1"/>
  <c r="N1837" i="1"/>
  <c r="H1687" i="1"/>
  <c r="I1703" i="1"/>
  <c r="D1676" i="1"/>
  <c r="B1696" i="1"/>
  <c r="B1647" i="1"/>
  <c r="I1708" i="1"/>
  <c r="E1678" i="1"/>
  <c r="E1761" i="1"/>
  <c r="H1644" i="1"/>
  <c r="C1756" i="1"/>
  <c r="C1743" i="1"/>
  <c r="B1768" i="1"/>
  <c r="F1748" i="1"/>
  <c r="D1828" i="1"/>
  <c r="K1674" i="1"/>
  <c r="D1720" i="1"/>
  <c r="G1745" i="1"/>
  <c r="K1726" i="1"/>
  <c r="N1720" i="1"/>
  <c r="O1708" i="1"/>
  <c r="A1684" i="1"/>
  <c r="M1741" i="1"/>
  <c r="P1718" i="1"/>
  <c r="B1812" i="1"/>
  <c r="O1792" i="1"/>
  <c r="G1694" i="1"/>
  <c r="L1767" i="1"/>
  <c r="P1795" i="1"/>
  <c r="C1703" i="1"/>
  <c r="N1692" i="1"/>
  <c r="M1728" i="1"/>
  <c r="B1678" i="1"/>
  <c r="O1634" i="1"/>
  <c r="H1741" i="1"/>
  <c r="O1701" i="1"/>
  <c r="C1725" i="1"/>
  <c r="O1649" i="1"/>
  <c r="I1727" i="1"/>
  <c r="H1701" i="1"/>
  <c r="K1595" i="1"/>
  <c r="H1662" i="1"/>
  <c r="F1739" i="1"/>
  <c r="J1644" i="1"/>
  <c r="A1788" i="1"/>
  <c r="L1615" i="1"/>
  <c r="A1640" i="1"/>
  <c r="E1683" i="1"/>
  <c r="N1552" i="1"/>
  <c r="D1708" i="1"/>
  <c r="P1716" i="1"/>
  <c r="L1788" i="1"/>
  <c r="A1637" i="1"/>
  <c r="C1662" i="1"/>
  <c r="A1587" i="1"/>
  <c r="H1719" i="1"/>
  <c r="J1706" i="1"/>
  <c r="I1681" i="1"/>
  <c r="K1663" i="1"/>
  <c r="L1635" i="1"/>
  <c r="B1677" i="1"/>
  <c r="C1598" i="1"/>
  <c r="C1720" i="1"/>
  <c r="N1700" i="1"/>
  <c r="N1606" i="1"/>
  <c r="A1527" i="1"/>
  <c r="A1810" i="1"/>
  <c r="C1763" i="1"/>
  <c r="H1783" i="1"/>
  <c r="D1823" i="1"/>
  <c r="K1797" i="1"/>
  <c r="H1724" i="1"/>
  <c r="O1757" i="1"/>
  <c r="I1762" i="1"/>
  <c r="I1719" i="1"/>
  <c r="C1721" i="1"/>
  <c r="P1789" i="1"/>
  <c r="J1842" i="1"/>
  <c r="F1704" i="1"/>
  <c r="P1822" i="1"/>
  <c r="I1754" i="1"/>
  <c r="B1698" i="1"/>
  <c r="B1660" i="1"/>
  <c r="L1836" i="1"/>
  <c r="B1730" i="1"/>
  <c r="D1698" i="1"/>
  <c r="C1713" i="1"/>
  <c r="J1771" i="1"/>
  <c r="O1758" i="1"/>
  <c r="A1809" i="1"/>
  <c r="L1666" i="1"/>
  <c r="F1756" i="1"/>
  <c r="O1710" i="1"/>
  <c r="J1724" i="1"/>
  <c r="H1727" i="1"/>
  <c r="K1831" i="1"/>
  <c r="O1830" i="1"/>
  <c r="O1717" i="1"/>
  <c r="A1716" i="1"/>
  <c r="F1636" i="1"/>
  <c r="M1736" i="1"/>
  <c r="D1759" i="1"/>
  <c r="C1737" i="1"/>
  <c r="H1691" i="1"/>
  <c r="A1672" i="1"/>
  <c r="M1842" i="1"/>
  <c r="B29" i="1"/>
  <c r="P1811" i="1"/>
  <c r="L1777" i="1"/>
  <c r="J1671" i="1"/>
  <c r="N1723" i="1"/>
  <c r="B1729" i="1"/>
  <c r="G1673" i="1"/>
  <c r="C1730" i="1"/>
  <c r="G1669" i="1"/>
  <c r="K1710" i="1"/>
  <c r="K1686" i="1"/>
  <c r="F1660" i="1"/>
  <c r="F1690" i="1"/>
  <c r="H1734" i="1"/>
  <c r="I1621" i="1"/>
  <c r="L1803" i="1"/>
  <c r="B1750" i="1"/>
  <c r="I1728" i="1"/>
  <c r="D1774" i="1"/>
  <c r="B1785" i="1"/>
  <c r="G1677" i="1"/>
  <c r="J1784" i="1"/>
  <c r="C1678" i="1"/>
  <c r="C1712" i="1"/>
  <c r="D1672" i="1"/>
  <c r="O1736" i="1"/>
  <c r="G1711" i="1"/>
  <c r="A1725" i="1"/>
  <c r="A1677" i="1"/>
  <c r="D1683" i="1"/>
  <c r="C1625" i="1"/>
  <c r="F1714" i="1"/>
  <c r="K1669" i="1"/>
  <c r="C1777" i="1"/>
  <c r="O1765" i="1"/>
  <c r="E1703" i="1"/>
  <c r="F1716" i="1"/>
  <c r="I1730" i="1"/>
  <c r="H1680" i="1"/>
  <c r="A1753" i="1"/>
  <c r="J1674" i="1"/>
  <c r="F1818" i="1"/>
  <c r="A1683" i="1"/>
  <c r="C1738" i="1"/>
  <c r="F1709" i="1"/>
  <c r="H1736" i="1"/>
  <c r="G1734" i="1"/>
  <c r="I1841" i="1"/>
  <c r="K1682" i="1"/>
  <c r="N1710" i="1"/>
  <c r="E1709" i="1"/>
  <c r="I1702" i="1"/>
  <c r="C1699" i="1"/>
  <c r="L1695" i="1"/>
  <c r="H1696" i="1"/>
  <c r="C1747" i="1"/>
  <c r="K1679" i="1"/>
  <c r="N1654" i="1"/>
  <c r="F1676" i="1"/>
  <c r="H1714" i="1"/>
  <c r="E1691" i="1"/>
  <c r="J1627" i="1"/>
  <c r="F1630" i="1"/>
  <c r="F1728" i="1"/>
  <c r="A1781" i="1"/>
  <c r="H1773" i="1"/>
  <c r="H1840" i="1"/>
  <c r="A1675" i="1"/>
  <c r="G1653" i="1"/>
  <c r="N1605" i="1"/>
  <c r="J1668" i="1"/>
  <c r="E1636" i="1"/>
  <c r="G1703" i="1"/>
  <c r="P1690" i="1"/>
  <c r="P1602" i="1"/>
  <c r="P1609" i="1"/>
  <c r="M1684" i="1"/>
  <c r="C1659" i="1"/>
  <c r="G1748" i="1"/>
  <c r="K1657" i="1"/>
  <c r="D1768" i="1"/>
  <c r="E1713" i="1"/>
  <c r="A1700" i="1"/>
  <c r="O1707" i="1"/>
  <c r="I1644" i="1"/>
  <c r="I1670" i="1"/>
  <c r="N1663" i="1"/>
  <c r="A1805" i="1"/>
  <c r="M1708" i="1"/>
  <c r="O1667" i="1"/>
  <c r="K1685" i="1"/>
  <c r="O1831" i="1"/>
  <c r="M1723" i="1"/>
  <c r="B1745" i="1"/>
  <c r="O1812" i="1"/>
  <c r="I1683" i="1"/>
  <c r="H1645" i="1"/>
  <c r="I1699" i="1"/>
  <c r="J1780" i="1"/>
  <c r="G1693" i="1"/>
  <c r="J1678" i="1"/>
  <c r="J1673" i="1"/>
  <c r="L1661" i="1"/>
  <c r="L1657" i="1"/>
  <c r="N1689" i="1"/>
  <c r="B1699" i="1"/>
  <c r="P1818" i="1"/>
  <c r="N1762" i="1"/>
  <c r="P1738" i="1"/>
  <c r="L1823" i="1"/>
  <c r="I1643" i="1"/>
  <c r="L1638" i="1"/>
  <c r="M1694" i="1"/>
  <c r="D1785" i="1"/>
  <c r="A1752" i="1"/>
  <c r="E1722" i="1"/>
  <c r="I1711" i="1"/>
  <c r="L1837" i="1"/>
  <c r="P1700" i="1"/>
  <c r="B1695" i="1"/>
  <c r="P1830" i="1"/>
  <c r="D1703" i="1"/>
  <c r="P1772" i="1"/>
  <c r="G1798" i="1"/>
  <c r="C1609" i="1"/>
  <c r="C1605" i="1"/>
  <c r="H1751" i="1"/>
  <c r="E1597" i="1"/>
  <c r="I1733" i="1"/>
  <c r="D1627" i="1"/>
  <c r="H1747" i="1"/>
  <c r="B1710" i="1"/>
  <c r="I1732" i="1"/>
  <c r="E1728" i="1"/>
  <c r="P1683" i="1"/>
  <c r="O1618" i="1"/>
  <c r="M1656" i="1"/>
  <c r="P1748" i="1"/>
  <c r="N1544" i="1"/>
  <c r="L1643" i="1"/>
  <c r="K1740" i="1"/>
  <c r="L1706" i="1"/>
  <c r="G1609" i="1"/>
  <c r="K1647" i="1"/>
  <c r="I1638" i="1"/>
  <c r="E1589" i="1"/>
  <c r="A1531" i="1"/>
  <c r="L1641" i="1"/>
  <c r="E1739" i="1"/>
  <c r="P1701" i="1"/>
  <c r="L1805" i="1"/>
  <c r="E1680" i="1"/>
  <c r="L1812" i="1"/>
  <c r="D1760" i="1"/>
  <c r="K1827" i="1"/>
  <c r="N1756" i="1"/>
  <c r="A1685" i="1"/>
  <c r="F1649" i="1"/>
  <c r="O1781" i="1"/>
  <c r="J1779" i="1"/>
  <c r="M1711" i="1"/>
  <c r="C1808" i="1"/>
  <c r="I1698" i="1"/>
  <c r="D1646" i="1"/>
  <c r="C1722" i="1"/>
  <c r="N1767" i="1"/>
  <c r="N1695" i="1"/>
  <c r="A1796" i="1"/>
  <c r="P1766" i="1"/>
  <c r="O1798" i="1"/>
  <c r="O1713" i="1"/>
  <c r="O1670" i="1"/>
  <c r="O1817" i="1"/>
  <c r="P1762" i="1"/>
  <c r="N1713" i="1"/>
  <c r="K1752" i="1"/>
  <c r="J1682" i="1"/>
  <c r="J1725" i="1"/>
  <c r="C1824" i="1"/>
  <c r="L1709" i="1"/>
  <c r="K1715" i="1"/>
  <c r="O1729" i="1"/>
  <c r="M1700" i="1"/>
  <c r="N1779" i="1"/>
  <c r="E1773" i="1"/>
  <c r="D1718" i="1"/>
  <c r="H1769" i="1"/>
  <c r="A1701" i="1"/>
  <c r="B1718" i="1"/>
  <c r="G1618" i="1"/>
  <c r="N1584" i="1"/>
  <c r="O1706" i="1"/>
  <c r="N1721" i="1"/>
  <c r="G1644" i="1"/>
  <c r="D1647" i="1"/>
  <c r="I1611" i="1"/>
  <c r="F1615" i="1"/>
  <c r="A1563" i="1"/>
  <c r="D1635" i="1"/>
  <c r="O1662" i="1"/>
  <c r="K1641" i="1"/>
  <c r="K1703" i="1"/>
  <c r="P1679" i="1"/>
  <c r="E1650" i="1"/>
  <c r="N1741" i="1"/>
  <c r="E1610" i="1"/>
  <c r="B1612" i="1"/>
  <c r="O1592" i="1"/>
  <c r="L1694" i="1"/>
  <c r="F1528" i="1"/>
  <c r="F1671" i="1"/>
  <c r="C1652" i="1"/>
  <c r="F1644" i="1"/>
  <c r="M1597" i="1"/>
  <c r="E1771" i="1"/>
  <c r="M1658" i="1"/>
  <c r="C1731" i="1"/>
  <c r="O1759" i="1"/>
  <c r="J1675" i="1"/>
  <c r="F1736" i="1"/>
  <c r="D1618" i="1"/>
  <c r="A1634" i="1"/>
  <c r="A1770" i="1"/>
  <c r="A1698" i="1"/>
  <c r="K1666" i="1"/>
  <c r="E1708" i="1"/>
  <c r="O1683" i="1"/>
  <c r="O1698" i="1"/>
  <c r="I1642" i="1"/>
  <c r="O1691" i="1"/>
  <c r="C1688" i="1"/>
  <c r="N1612" i="1"/>
  <c r="C1626" i="1"/>
  <c r="L1648" i="1"/>
  <c r="A1639" i="1"/>
  <c r="O1575" i="1"/>
  <c r="O1669" i="1"/>
  <c r="O1539" i="1"/>
  <c r="O1764" i="1"/>
  <c r="M1819" i="1"/>
  <c r="G1800" i="1"/>
  <c r="F1830" i="1"/>
  <c r="E1780" i="1"/>
  <c r="O1814" i="1"/>
  <c r="P1754" i="1"/>
  <c r="B1774" i="1"/>
  <c r="M1699" i="1"/>
  <c r="B1802" i="1"/>
  <c r="N1743" i="1"/>
  <c r="L1744" i="1"/>
  <c r="I1722" i="1"/>
  <c r="A1771" i="1"/>
  <c r="O1702" i="1"/>
  <c r="D1655" i="1"/>
  <c r="E1756" i="1"/>
  <c r="O1719" i="1"/>
  <c r="G1769" i="1"/>
  <c r="A1793" i="1"/>
  <c r="N1727" i="1"/>
  <c r="P1827" i="1"/>
  <c r="M1837" i="1"/>
  <c r="F1679" i="1"/>
  <c r="A1841" i="1"/>
  <c r="C1666" i="1"/>
  <c r="O1747" i="1"/>
  <c r="M1825" i="1"/>
  <c r="E1718" i="1"/>
  <c r="C1771" i="1"/>
  <c r="L1728" i="1"/>
  <c r="L1599" i="1"/>
  <c r="I1671" i="1"/>
  <c r="J1733" i="1"/>
  <c r="O1704" i="1"/>
  <c r="A1735" i="1"/>
  <c r="O1784" i="1"/>
  <c r="G1645" i="1"/>
  <c r="M1672" i="1"/>
  <c r="G1737" i="1"/>
  <c r="I1768" i="1"/>
  <c r="M1685" i="1"/>
  <c r="D1660" i="1"/>
  <c r="J1757" i="1"/>
  <c r="P1696" i="1"/>
  <c r="N1634" i="1"/>
  <c r="E1685" i="1"/>
  <c r="F1669" i="1"/>
  <c r="E1611" i="1"/>
  <c r="C1645" i="1"/>
  <c r="G1712" i="1"/>
  <c r="F1560" i="1"/>
  <c r="D1615" i="1"/>
  <c r="I1821" i="1"/>
  <c r="F1646" i="1"/>
  <c r="H1733" i="1"/>
  <c r="H1601" i="1"/>
  <c r="A1535" i="1"/>
  <c r="O1584" i="1"/>
  <c r="A1711" i="1"/>
  <c r="F1664" i="1"/>
  <c r="D1607" i="1"/>
  <c r="I1595" i="1"/>
  <c r="F1556" i="1"/>
  <c r="O1611" i="1"/>
  <c r="C1644" i="1"/>
  <c r="I1709" i="1"/>
  <c r="C1683" i="1"/>
  <c r="H1684" i="1"/>
  <c r="A1694" i="1"/>
  <c r="J1721" i="1"/>
  <c r="J1652" i="1"/>
  <c r="J1650" i="1"/>
  <c r="O1552" i="1"/>
  <c r="K1735" i="1"/>
  <c r="J1696" i="1"/>
  <c r="G1841" i="1"/>
  <c r="J1708" i="1"/>
  <c r="B1663" i="1"/>
  <c r="N1629" i="1"/>
  <c r="H1630" i="1"/>
  <c r="N1717" i="1"/>
  <c r="M1625" i="1"/>
  <c r="N1647" i="1"/>
  <c r="C1726" i="1"/>
  <c r="I1598" i="1"/>
  <c r="B1607" i="1"/>
  <c r="C1623" i="1"/>
  <c r="A1615" i="1"/>
  <c r="K1631" i="1"/>
  <c r="B1738" i="1"/>
  <c r="L1659" i="1"/>
  <c r="F1683" i="1"/>
  <c r="J1631" i="1"/>
  <c r="E1717" i="1"/>
  <c r="E1695" i="1"/>
  <c r="P1613" i="1"/>
  <c r="N1671" i="1"/>
  <c r="M1664" i="1"/>
  <c r="F1689" i="1"/>
  <c r="I1667" i="1"/>
  <c r="K1606" i="1"/>
  <c r="G1672" i="1"/>
  <c r="G1796" i="1"/>
  <c r="N1637" i="1"/>
  <c r="F1693" i="1"/>
  <c r="I1599" i="1"/>
  <c r="F1742" i="1"/>
  <c r="E1670" i="1"/>
  <c r="E1635" i="1"/>
  <c r="M1634" i="1"/>
  <c r="I1608" i="1"/>
  <c r="E1799" i="1"/>
  <c r="L1612" i="1"/>
  <c r="E1628" i="1"/>
  <c r="O1678" i="1"/>
  <c r="H1697" i="1"/>
  <c r="P1604" i="1"/>
  <c r="D1801" i="1"/>
  <c r="C1736" i="1"/>
  <c r="B1627" i="1"/>
  <c r="E1733" i="1"/>
  <c r="B1693" i="1"/>
  <c r="N1560" i="1"/>
  <c r="J1616" i="1"/>
  <c r="L1504" i="1"/>
  <c r="E1623" i="1"/>
  <c r="B1767" i="1"/>
  <c r="I1734" i="1"/>
  <c r="B1791" i="1"/>
  <c r="H1808" i="1"/>
  <c r="P1763" i="1"/>
  <c r="P1674" i="1"/>
  <c r="L1752" i="1"/>
  <c r="O1705" i="1"/>
  <c r="O1699" i="1"/>
  <c r="M1691" i="1"/>
  <c r="E1752" i="1"/>
  <c r="C1783" i="1"/>
  <c r="G1706" i="1"/>
  <c r="G1803" i="1"/>
  <c r="G1822" i="1"/>
  <c r="I1615" i="1"/>
  <c r="D1734" i="1"/>
  <c r="H1698" i="1"/>
  <c r="B1691" i="1"/>
  <c r="B1759" i="1"/>
  <c r="M1742" i="1"/>
  <c r="C1746" i="1"/>
  <c r="G1818" i="1"/>
  <c r="G1795" i="1"/>
  <c r="M1785" i="1"/>
  <c r="I1684" i="1"/>
  <c r="E1653" i="1"/>
  <c r="D1728" i="1"/>
  <c r="P1702" i="1"/>
  <c r="E1721" i="1"/>
  <c r="J1701" i="1"/>
  <c r="J1740" i="1"/>
  <c r="C1691" i="1"/>
  <c r="G1741" i="1"/>
  <c r="M1692" i="1"/>
  <c r="L1692" i="1"/>
  <c r="C1739" i="1"/>
  <c r="P1733" i="1"/>
  <c r="B1747" i="1"/>
  <c r="H1707" i="1"/>
  <c r="H1609" i="1"/>
  <c r="I1714" i="1"/>
  <c r="L1693" i="1"/>
  <c r="I1802" i="1"/>
  <c r="C1672" i="1"/>
  <c r="N1661" i="1"/>
  <c r="C1634" i="1"/>
  <c r="A1567" i="1"/>
  <c r="P1610" i="1"/>
  <c r="N1548" i="1"/>
  <c r="O1716" i="1"/>
  <c r="A1605" i="1"/>
  <c r="K1582" i="1"/>
  <c r="M1688" i="1"/>
  <c r="D1664" i="1"/>
  <c r="B1810" i="1"/>
  <c r="O1640" i="1"/>
  <c r="A1604" i="1"/>
  <c r="P1665" i="1"/>
  <c r="M1613" i="1"/>
  <c r="O1623" i="1"/>
  <c r="E1581" i="1"/>
  <c r="K1637" i="1"/>
  <c r="A1663" i="1"/>
  <c r="B1653" i="1"/>
  <c r="J1596" i="1"/>
  <c r="P1833" i="1"/>
  <c r="B1658" i="1"/>
  <c r="F1656" i="1"/>
  <c r="L1676" i="1"/>
  <c r="C1651" i="1"/>
  <c r="I1639" i="1"/>
  <c r="G1619" i="1"/>
  <c r="F1767" i="1"/>
  <c r="E1829" i="1"/>
  <c r="P1704" i="1"/>
  <c r="M1774" i="1"/>
  <c r="J1643" i="1"/>
  <c r="D1696" i="1"/>
  <c r="A1731" i="1"/>
  <c r="L1689" i="1"/>
  <c r="G1686" i="1"/>
  <c r="A1633" i="1"/>
  <c r="M1781" i="1"/>
  <c r="G1620" i="1"/>
  <c r="M1638" i="1"/>
  <c r="L1569" i="1"/>
  <c r="E1545" i="1"/>
  <c r="G1696" i="1"/>
  <c r="P1587" i="1"/>
  <c r="M1676" i="1"/>
  <c r="J1710" i="1"/>
  <c r="H1656" i="1"/>
  <c r="H1833" i="1"/>
  <c r="L1637" i="1"/>
  <c r="K1627" i="1"/>
  <c r="M1585" i="1"/>
  <c r="A1824" i="1"/>
  <c r="C1566" i="1"/>
  <c r="B1646" i="1"/>
  <c r="A1654" i="1"/>
  <c r="O1722" i="1"/>
  <c r="B1639" i="1"/>
  <c r="G1707" i="1"/>
  <c r="G1806" i="1"/>
  <c r="D1716" i="1"/>
  <c r="A1825" i="1"/>
  <c r="G1654" i="1"/>
  <c r="F1651" i="1"/>
  <c r="M1553" i="1"/>
  <c r="C1714" i="1"/>
  <c r="C1534" i="1"/>
  <c r="F1781" i="1"/>
  <c r="C1603" i="1"/>
  <c r="N1703" i="1"/>
  <c r="B1657" i="1"/>
  <c r="D1654" i="1"/>
  <c r="B1714" i="1"/>
  <c r="M1637" i="1"/>
  <c r="J1713" i="1"/>
  <c r="O1571" i="1"/>
  <c r="K1603" i="1"/>
  <c r="J1690" i="1"/>
  <c r="P1616" i="1"/>
  <c r="G1588" i="1"/>
  <c r="L1587" i="1"/>
  <c r="H1610" i="1"/>
  <c r="H1825" i="1"/>
  <c r="O1749" i="1"/>
  <c r="L1797" i="1"/>
  <c r="I1811" i="1"/>
  <c r="I1761" i="1"/>
  <c r="J1669" i="1"/>
  <c r="P1728" i="1"/>
  <c r="F1752" i="1"/>
  <c r="P1677" i="1"/>
  <c r="D1756" i="1"/>
  <c r="M1678" i="1"/>
  <c r="E1736" i="1"/>
  <c r="H1710" i="1"/>
  <c r="D1736" i="1"/>
  <c r="D1763" i="1"/>
  <c r="L1751" i="1"/>
  <c r="C1690" i="1"/>
  <c r="P1697" i="1"/>
  <c r="G1626" i="1"/>
  <c r="P1756" i="1"/>
  <c r="M1731" i="1"/>
  <c r="M1696" i="1"/>
  <c r="I1747" i="1"/>
  <c r="B1732" i="1"/>
  <c r="B1743" i="1"/>
  <c r="F1684" i="1"/>
  <c r="F1703" i="1"/>
  <c r="M1810" i="1"/>
  <c r="C1794" i="1"/>
  <c r="N1716" i="1"/>
  <c r="J1798" i="1"/>
  <c r="J1748" i="1"/>
  <c r="F1700" i="1"/>
  <c r="M1727" i="1"/>
  <c r="P1699" i="1"/>
  <c r="C1821" i="1"/>
  <c r="O1685" i="1"/>
  <c r="O1681" i="1"/>
  <c r="F1702" i="1"/>
  <c r="O1615" i="1"/>
  <c r="M1681" i="1"/>
  <c r="H1686" i="1"/>
  <c r="B1686" i="1"/>
  <c r="G1752" i="1"/>
  <c r="C1629" i="1"/>
  <c r="H1649" i="1"/>
  <c r="C1617" i="1"/>
  <c r="O1655" i="1"/>
  <c r="H1812" i="1"/>
  <c r="O1723" i="1"/>
  <c r="I1603" i="1"/>
  <c r="F1607" i="1"/>
  <c r="J1611" i="1"/>
  <c r="E1609" i="1"/>
  <c r="K1812" i="1"/>
  <c r="C1815" i="1"/>
  <c r="F1667" i="1"/>
  <c r="F1707" i="1"/>
  <c r="P1705" i="1"/>
  <c r="F1532" i="1"/>
  <c r="C1599" i="1"/>
  <c r="B1749" i="1"/>
  <c r="B1726" i="1"/>
  <c r="C1778" i="1"/>
  <c r="C1801" i="1"/>
  <c r="I1737" i="1"/>
  <c r="G1660" i="1"/>
  <c r="H1617" i="1"/>
  <c r="E1760" i="1"/>
  <c r="N1673" i="1"/>
  <c r="A1704" i="1"/>
  <c r="B1671" i="1"/>
  <c r="E1800" i="1"/>
  <c r="N1830" i="1"/>
  <c r="K1714" i="1"/>
  <c r="C1711" i="1"/>
  <c r="H1705" i="1"/>
  <c r="C1702" i="1"/>
  <c r="L1649" i="1"/>
  <c r="E1593" i="1"/>
  <c r="O1718" i="1"/>
  <c r="F1779" i="1"/>
  <c r="L1719" i="1"/>
  <c r="O1686" i="1"/>
  <c r="F1698" i="1"/>
  <c r="E1729" i="1"/>
  <c r="E1629" i="1"/>
  <c r="O1703" i="1"/>
  <c r="K1739" i="1"/>
  <c r="O1777" i="1"/>
  <c r="J1693" i="1"/>
  <c r="N1675" i="1"/>
  <c r="L1734" i="1"/>
  <c r="F1633" i="1"/>
  <c r="C1825" i="1"/>
  <c r="K1811" i="1"/>
  <c r="J1760" i="1"/>
  <c r="J1636" i="1"/>
  <c r="A1780" i="1"/>
  <c r="I1629" i="1"/>
  <c r="O1696" i="1"/>
  <c r="M1657" i="1"/>
  <c r="D1658" i="1"/>
  <c r="K1722" i="1"/>
  <c r="C1640" i="1"/>
  <c r="C1696" i="1"/>
  <c r="J1808" i="1"/>
  <c r="H1673" i="1"/>
  <c r="M1751" i="1"/>
  <c r="O1735" i="1"/>
  <c r="F1564" i="1"/>
  <c r="A1646" i="1"/>
  <c r="J1695" i="1"/>
  <c r="N1572" i="1"/>
  <c r="M1680" i="1"/>
  <c r="P1745" i="1"/>
  <c r="L1738" i="1"/>
  <c r="C1782" i="1"/>
  <c r="K1618" i="1"/>
  <c r="N1674" i="1"/>
  <c r="J1612" i="1"/>
  <c r="P1656" i="1"/>
  <c r="P1780" i="1"/>
  <c r="M1630" i="1"/>
  <c r="H1761" i="1"/>
  <c r="E1642" i="1"/>
  <c r="J1679" i="1"/>
  <c r="D1730" i="1"/>
  <c r="M1818" i="1"/>
  <c r="K1671" i="1"/>
  <c r="M1832" i="1"/>
  <c r="M1646" i="1"/>
  <c r="H1667" i="1"/>
  <c r="M1644" i="1"/>
  <c r="H1629" i="1"/>
  <c r="N1824" i="1"/>
  <c r="D1684" i="1"/>
  <c r="N1646" i="1"/>
  <c r="E1700" i="1"/>
  <c r="G1601" i="1"/>
  <c r="K1719" i="1"/>
  <c r="O1555" i="1"/>
  <c r="E1697" i="1"/>
  <c r="H1676" i="1"/>
  <c r="D1669" i="1"/>
  <c r="D1620" i="1"/>
  <c r="L1679" i="1"/>
  <c r="H1631" i="1"/>
  <c r="I1672" i="1"/>
  <c r="A1613" i="1"/>
  <c r="G1805" i="1"/>
  <c r="D1799" i="1"/>
  <c r="E1765" i="1"/>
  <c r="F1842" i="1"/>
  <c r="O1841" i="1"/>
  <c r="N1822" i="1"/>
  <c r="C1707" i="1"/>
  <c r="A1689" i="1"/>
  <c r="A1748" i="1"/>
  <c r="K1698" i="1"/>
  <c r="E1625" i="1"/>
  <c r="O1789" i="1"/>
  <c r="K1665" i="1"/>
  <c r="H1722" i="1"/>
  <c r="A1686" i="1"/>
  <c r="A1666" i="1"/>
  <c r="H1678" i="1"/>
  <c r="F1605" i="1"/>
  <c r="E1666" i="1"/>
  <c r="H1743" i="1"/>
  <c r="M1735" i="1"/>
  <c r="L1729" i="1"/>
  <c r="I1706" i="1"/>
  <c r="E1698" i="1"/>
  <c r="P1646" i="1"/>
  <c r="L1683" i="1"/>
  <c r="G1690" i="1"/>
  <c r="M1719" i="1"/>
  <c r="D1691" i="1"/>
  <c r="B1652" i="1"/>
  <c r="G1610" i="1"/>
  <c r="G1606" i="1"/>
  <c r="P1689" i="1"/>
  <c r="P1821" i="1"/>
  <c r="B1737" i="1"/>
  <c r="J1703" i="1"/>
  <c r="B1669" i="1"/>
  <c r="N1662" i="1"/>
  <c r="E1601" i="1"/>
  <c r="I1840" i="1"/>
  <c r="K1632" i="1"/>
  <c r="C1694" i="1"/>
  <c r="L1747" i="1"/>
  <c r="C1819" i="1"/>
  <c r="L1669" i="1"/>
  <c r="I1731" i="1"/>
  <c r="N1780" i="1"/>
  <c r="O1642" i="1"/>
  <c r="G1649" i="1"/>
  <c r="M1611" i="1"/>
  <c r="A1559" i="1"/>
  <c r="H1704" i="1"/>
  <c r="K1774" i="1"/>
  <c r="E1605" i="1"/>
  <c r="H1715" i="1"/>
  <c r="I1758" i="1"/>
  <c r="K1711" i="1"/>
  <c r="F1536" i="1"/>
  <c r="O1627" i="1"/>
  <c r="E1585" i="1"/>
  <c r="G1666" i="1"/>
  <c r="M1802" i="1"/>
  <c r="G1682" i="1"/>
  <c r="O1720" i="1"/>
  <c r="C1682" i="1"/>
  <c r="O1568" i="1"/>
  <c r="C1766" i="1"/>
  <c r="I1665" i="1"/>
  <c r="L1691" i="1"/>
  <c r="J1756" i="1"/>
  <c r="I1633" i="1"/>
  <c r="J1661" i="1"/>
  <c r="O1587" i="1"/>
  <c r="J1660" i="1"/>
  <c r="B1640" i="1"/>
  <c r="G1630" i="1"/>
  <c r="J1640" i="1"/>
  <c r="F1738" i="1"/>
  <c r="H1772" i="1"/>
  <c r="A1638" i="1"/>
  <c r="H1670" i="1"/>
  <c r="M1649" i="1"/>
  <c r="H1654" i="1"/>
  <c r="E1677" i="1"/>
  <c r="A1665" i="1"/>
  <c r="H1597" i="1"/>
  <c r="G1603" i="1"/>
  <c r="E1621" i="1"/>
  <c r="D1612" i="1"/>
  <c r="J1768" i="1"/>
  <c r="L1672" i="1"/>
  <c r="H1613" i="1"/>
  <c r="K1751" i="1"/>
  <c r="J1699" i="1"/>
  <c r="D1748" i="1"/>
  <c r="J1638" i="1"/>
  <c r="C1687" i="1"/>
  <c r="H1639" i="1"/>
  <c r="E1694" i="1"/>
  <c r="K1619" i="1"/>
  <c r="M1577" i="1"/>
  <c r="A1674" i="1"/>
  <c r="J1819" i="1"/>
  <c r="N1631" i="1"/>
  <c r="G1613" i="1"/>
  <c r="O1690" i="1"/>
  <c r="B1648" i="1"/>
  <c r="D1764" i="1"/>
  <c r="E1627" i="1"/>
  <c r="F1678" i="1"/>
  <c r="M1627" i="1"/>
  <c r="I1679" i="1"/>
  <c r="D1632" i="1"/>
  <c r="M1545" i="1"/>
  <c r="B1688" i="1"/>
  <c r="F1773" i="1"/>
  <c r="D1679" i="1"/>
  <c r="L1606" i="1"/>
  <c r="M1618" i="1"/>
  <c r="P1658" i="1"/>
  <c r="O1536" i="1"/>
  <c r="C1656" i="1"/>
  <c r="A1575" i="1"/>
  <c r="L1654" i="1"/>
  <c r="N1670" i="1"/>
  <c r="A1691" i="1"/>
  <c r="J1705" i="1"/>
  <c r="A1690" i="1"/>
  <c r="H1739" i="1"/>
  <c r="F1733" i="1"/>
  <c r="C1708" i="1"/>
  <c r="D1662" i="1"/>
  <c r="J1758" i="1"/>
  <c r="H1711" i="1"/>
  <c r="P1622" i="1"/>
  <c r="D1667" i="1"/>
  <c r="O1761" i="1"/>
  <c r="O1768" i="1"/>
  <c r="D1740" i="1"/>
  <c r="E1687" i="1"/>
  <c r="K1717" i="1"/>
  <c r="A1706" i="1"/>
  <c r="K1659" i="1"/>
  <c r="D1639" i="1"/>
  <c r="C1803" i="1"/>
  <c r="K1756" i="1"/>
  <c r="A1834" i="1"/>
  <c r="L1723" i="1"/>
  <c r="C1729" i="1"/>
  <c r="J1698" i="1"/>
  <c r="P1741" i="1"/>
  <c r="L1685" i="1"/>
  <c r="P1820" i="1"/>
  <c r="F1670" i="1"/>
  <c r="O1731" i="1"/>
  <c r="K1815" i="1"/>
  <c r="I1646" i="1"/>
  <c r="E1640" i="1"/>
  <c r="N1775" i="1"/>
  <c r="B1711" i="1"/>
  <c r="A1739" i="1"/>
  <c r="C1828" i="1"/>
  <c r="H1625" i="1"/>
  <c r="H1621" i="1"/>
  <c r="J1835" i="1"/>
  <c r="L1690" i="1"/>
  <c r="A1738" i="1"/>
  <c r="B1606" i="1"/>
  <c r="H1771" i="1"/>
  <c r="D1634" i="1"/>
  <c r="N1777" i="1"/>
  <c r="H1748" i="1"/>
  <c r="L1774" i="1"/>
  <c r="F1568" i="1"/>
  <c r="I1607" i="1"/>
  <c r="F1611" i="1"/>
  <c r="C1630" i="1"/>
  <c r="K1753" i="1"/>
  <c r="F1744" i="1"/>
  <c r="K1750" i="1"/>
  <c r="J1743" i="1"/>
  <c r="J1677" i="1"/>
  <c r="L1680" i="1"/>
  <c r="N1618" i="1"/>
  <c r="I1604" i="1"/>
  <c r="B1706" i="1"/>
  <c r="A1671" i="1"/>
  <c r="L1697" i="1"/>
  <c r="O1624" i="1"/>
  <c r="G1662" i="1"/>
  <c r="K1645" i="1"/>
  <c r="J1747" i="1"/>
  <c r="M1662" i="1"/>
  <c r="L1651" i="1"/>
  <c r="B1684" i="1"/>
  <c r="N1750" i="1"/>
  <c r="L1756" i="1"/>
  <c r="J1623" i="1"/>
  <c r="C1641" i="1"/>
  <c r="A1779" i="1"/>
  <c r="L1743" i="1"/>
  <c r="I1625" i="1"/>
  <c r="D1656" i="1"/>
  <c r="J1689" i="1"/>
  <c r="J1739" i="1"/>
  <c r="B1701" i="1"/>
  <c r="A1659" i="1"/>
  <c r="A1718" i="1"/>
  <c r="O1551" i="1"/>
  <c r="H1642" i="1"/>
  <c r="E1643" i="1"/>
  <c r="I1718" i="1"/>
  <c r="P1655" i="1"/>
  <c r="I1837" i="1"/>
  <c r="F1641" i="1"/>
  <c r="N1804" i="1"/>
  <c r="A1708" i="1"/>
  <c r="E1701" i="1"/>
  <c r="N1701" i="1"/>
  <c r="E1699" i="1"/>
  <c r="B1708" i="1"/>
  <c r="K1609" i="1"/>
  <c r="M1617" i="1"/>
  <c r="A1610" i="1"/>
  <c r="C1618" i="1"/>
  <c r="N1632" i="1"/>
  <c r="G1704" i="1"/>
  <c r="M1702" i="1"/>
  <c r="C1774" i="1"/>
  <c r="M1640" i="1"/>
  <c r="E1654" i="1"/>
  <c r="F1634" i="1"/>
  <c r="E1686" i="1"/>
  <c r="O1802" i="1"/>
  <c r="L1620" i="1"/>
  <c r="A1642" i="1"/>
  <c r="B1621" i="1"/>
  <c r="L1642" i="1"/>
  <c r="A1621" i="1"/>
  <c r="D1668" i="1"/>
  <c r="K1611" i="1"/>
  <c r="F1682" i="1"/>
  <c r="M1671" i="1"/>
  <c r="N1576" i="1"/>
  <c r="F1524" i="1"/>
  <c r="B1604" i="1"/>
  <c r="E1667" i="1"/>
  <c r="O1637" i="1"/>
  <c r="H1593" i="1"/>
  <c r="E1607" i="1"/>
  <c r="B1537" i="1"/>
  <c r="K1566" i="1"/>
  <c r="B1565" i="1"/>
  <c r="G1608" i="1"/>
  <c r="N1688" i="1"/>
  <c r="F1601" i="1"/>
  <c r="E1557" i="1"/>
  <c r="G1735" i="1"/>
  <c r="J1657" i="1"/>
  <c r="O1547" i="1"/>
  <c r="J1629" i="1"/>
  <c r="F1609" i="1"/>
  <c r="K1680" i="1"/>
  <c r="H1694" i="1"/>
  <c r="G1697" i="1"/>
  <c r="G1612" i="1"/>
  <c r="L1682" i="1"/>
  <c r="N1707" i="1"/>
  <c r="I1694" i="1"/>
  <c r="E1663" i="1"/>
  <c r="C1538" i="1"/>
  <c r="L1616" i="1"/>
  <c r="O1614" i="1"/>
  <c r="L1668" i="1"/>
  <c r="J1649" i="1"/>
  <c r="J1654" i="1"/>
  <c r="A1696" i="1"/>
  <c r="M1663" i="1"/>
  <c r="M1660" i="1"/>
  <c r="B1555" i="1"/>
  <c r="B1631" i="1"/>
  <c r="J1617" i="1"/>
  <c r="E1712" i="1"/>
  <c r="O1733" i="1"/>
  <c r="B1727" i="1"/>
  <c r="D1821" i="1"/>
  <c r="H1648" i="1"/>
  <c r="A1631" i="1"/>
  <c r="C1624" i="1"/>
  <c r="N1693" i="1"/>
  <c r="P1617" i="1"/>
  <c r="B1744" i="1"/>
  <c r="G1615" i="1"/>
  <c r="K1623" i="1"/>
  <c r="K1733" i="1"/>
  <c r="A1636" i="1"/>
  <c r="E1647" i="1"/>
  <c r="L1645" i="1"/>
  <c r="H1703" i="1"/>
  <c r="K1653" i="1"/>
  <c r="M1549" i="1"/>
  <c r="A1624" i="1"/>
  <c r="C1558" i="1"/>
  <c r="J1647" i="1"/>
  <c r="E1634" i="1"/>
  <c r="F1647" i="1"/>
  <c r="E1631" i="1"/>
  <c r="O1553" i="1"/>
  <c r="L1532" i="1"/>
  <c r="G1580" i="1"/>
  <c r="N1739" i="1"/>
  <c r="M1659" i="1"/>
  <c r="G1647" i="1"/>
  <c r="O1632" i="1"/>
  <c r="B1609" i="1"/>
  <c r="A1667" i="1"/>
  <c r="A1655" i="1"/>
  <c r="A1543" i="1"/>
  <c r="C1733" i="1"/>
  <c r="D1677" i="1"/>
  <c r="I1609" i="1"/>
  <c r="P1639" i="1"/>
  <c r="C1614" i="1"/>
  <c r="I1663" i="1"/>
  <c r="A1603" i="1"/>
  <c r="A1702" i="1"/>
  <c r="I1712" i="1"/>
  <c r="L1603" i="1"/>
  <c r="K1586" i="1"/>
  <c r="K1602" i="1"/>
  <c r="A1583" i="1"/>
  <c r="P1691" i="1"/>
  <c r="N1598" i="1"/>
  <c r="L1589" i="1"/>
  <c r="E1693" i="1"/>
  <c r="H1587" i="1"/>
  <c r="E1673" i="1"/>
  <c r="I1610" i="1"/>
  <c r="C1582" i="1"/>
  <c r="C1621" i="1"/>
  <c r="K1651" i="1"/>
  <c r="J1764" i="1"/>
  <c r="H1702" i="1"/>
  <c r="H1655" i="1"/>
  <c r="J1667" i="1"/>
  <c r="C1608" i="1"/>
  <c r="E1608" i="1"/>
  <c r="J1570" i="1"/>
  <c r="J1560" i="1"/>
  <c r="L1605" i="1"/>
  <c r="L1454" i="1"/>
  <c r="A1596" i="1"/>
  <c r="D1568" i="1"/>
  <c r="K1589" i="1"/>
  <c r="J1554" i="1"/>
  <c r="K1612" i="1"/>
  <c r="O1643" i="1"/>
  <c r="K1614" i="1"/>
  <c r="K1607" i="1"/>
  <c r="E1541" i="1"/>
  <c r="P1642" i="1"/>
  <c r="G1692" i="1"/>
  <c r="O1531" i="1"/>
  <c r="G1563" i="1"/>
  <c r="D1544" i="1"/>
  <c r="P1615" i="1"/>
  <c r="D1572" i="1"/>
  <c r="C1535" i="1"/>
  <c r="E1705" i="1"/>
  <c r="N1580" i="1"/>
  <c r="E1549" i="1"/>
  <c r="K1592" i="1"/>
  <c r="A1619" i="1"/>
  <c r="G1629" i="1"/>
  <c r="G1668" i="1"/>
  <c r="D1603" i="1"/>
  <c r="P1575" i="1"/>
  <c r="A1487" i="1"/>
  <c r="E1565" i="1"/>
  <c r="F1546" i="1"/>
  <c r="M1675" i="1"/>
  <c r="A1593" i="1"/>
  <c r="J1648" i="1"/>
  <c r="O1680" i="1"/>
  <c r="N1725" i="1"/>
  <c r="P1687" i="1"/>
  <c r="K1692" i="1"/>
  <c r="H1674" i="1"/>
  <c r="G1739" i="1"/>
  <c r="C1757" i="1"/>
  <c r="D1735" i="1"/>
  <c r="C1546" i="1"/>
  <c r="P1659" i="1"/>
  <c r="L1568" i="1"/>
  <c r="I1680" i="1"/>
  <c r="G1598" i="1"/>
  <c r="E1661" i="1"/>
  <c r="K1590" i="1"/>
  <c r="O1579" i="1"/>
  <c r="F1639" i="1"/>
  <c r="P1709" i="1"/>
  <c r="C1647" i="1"/>
  <c r="G1723" i="1"/>
  <c r="K1635" i="1"/>
  <c r="F1580" i="1"/>
  <c r="B1559" i="1"/>
  <c r="N1615" i="1"/>
  <c r="A1555" i="1"/>
  <c r="I1716" i="1"/>
  <c r="D1726" i="1"/>
  <c r="F1701" i="1"/>
  <c r="L1658" i="1"/>
  <c r="L1624" i="1"/>
  <c r="N1601" i="1"/>
  <c r="L1740" i="1"/>
  <c r="K1730" i="1"/>
  <c r="P1744" i="1"/>
  <c r="B1592" i="1"/>
  <c r="P1631" i="1"/>
  <c r="M1604" i="1"/>
  <c r="I1691" i="1"/>
  <c r="G1665" i="1"/>
  <c r="D1694" i="1"/>
  <c r="E1645" i="1"/>
  <c r="A1629" i="1"/>
  <c r="L1667" i="1"/>
  <c r="C1636" i="1"/>
  <c r="G1652" i="1"/>
  <c r="O1515" i="1"/>
  <c r="D1693" i="1"/>
  <c r="D1732" i="1"/>
  <c r="O1535" i="1"/>
  <c r="F1572" i="1"/>
  <c r="L1522" i="1"/>
  <c r="B1637" i="1"/>
  <c r="A1668" i="1"/>
  <c r="D1596" i="1"/>
  <c r="J1662" i="1"/>
  <c r="O1543" i="1"/>
  <c r="O1625" i="1"/>
  <c r="B1719" i="1"/>
  <c r="B1721" i="1"/>
  <c r="M1614" i="1"/>
  <c r="P1600" i="1"/>
  <c r="B1505" i="1"/>
  <c r="C1654" i="1"/>
  <c r="B1533" i="1"/>
  <c r="L1640" i="1"/>
  <c r="M1551" i="1"/>
  <c r="J1624" i="1"/>
  <c r="F1637" i="1"/>
  <c r="O1795" i="1"/>
  <c r="L1577" i="1"/>
  <c r="O1664" i="1"/>
  <c r="O1511" i="1"/>
  <c r="L1665" i="1"/>
  <c r="B1644" i="1"/>
  <c r="F1730" i="1"/>
  <c r="P1628" i="1"/>
  <c r="D1608" i="1"/>
  <c r="A1581" i="1"/>
  <c r="A1653" i="1"/>
  <c r="B1501" i="1"/>
  <c r="A1641" i="1"/>
  <c r="H1627" i="1"/>
  <c r="J1665" i="1"/>
  <c r="D1652" i="1"/>
  <c r="N1665" i="1"/>
  <c r="M1716" i="1"/>
  <c r="E1626" i="1"/>
  <c r="B1625" i="1"/>
  <c r="O1563" i="1"/>
  <c r="H1683" i="1"/>
  <c r="D1576" i="1"/>
  <c r="H1567" i="1"/>
  <c r="E1657" i="1"/>
  <c r="C1567" i="1"/>
  <c r="D1558" i="1"/>
  <c r="C1563" i="1"/>
  <c r="M1584" i="1"/>
  <c r="L1675" i="1"/>
  <c r="A1591" i="1"/>
  <c r="J1664" i="1"/>
  <c r="F1610" i="1"/>
  <c r="G1596" i="1"/>
  <c r="J1595" i="1"/>
  <c r="O1604" i="1"/>
  <c r="F1621" i="1"/>
  <c r="C1543" i="1"/>
  <c r="D1534" i="1"/>
  <c r="C1571" i="1"/>
  <c r="A1645" i="1"/>
  <c r="C1557" i="1"/>
  <c r="D1767" i="1"/>
  <c r="O1519" i="1"/>
  <c r="L1732" i="1"/>
  <c r="I1735" i="1"/>
  <c r="E1641" i="1"/>
  <c r="B1679" i="1"/>
  <c r="P1724" i="1"/>
  <c r="C1578" i="1"/>
  <c r="P1693" i="1"/>
  <c r="J1622" i="1"/>
  <c r="O1548" i="1"/>
  <c r="G1519" i="1"/>
  <c r="N1633" i="1"/>
  <c r="L1582" i="1"/>
  <c r="G1627" i="1"/>
  <c r="C1663" i="1"/>
  <c r="N1625" i="1"/>
  <c r="L1674" i="1"/>
  <c r="P1688" i="1"/>
  <c r="D1638" i="1"/>
  <c r="F1584" i="1"/>
  <c r="L1623" i="1"/>
  <c r="I1700" i="1"/>
  <c r="C1653" i="1"/>
  <c r="L1673" i="1"/>
  <c r="L1558" i="1"/>
  <c r="I1641" i="1"/>
  <c r="L1586" i="1"/>
  <c r="C1655" i="1"/>
  <c r="O1606" i="1"/>
  <c r="I1661" i="1"/>
  <c r="F1654" i="1"/>
  <c r="C1586" i="1"/>
  <c r="C1779" i="1"/>
  <c r="C1706" i="1"/>
  <c r="M1641" i="1"/>
  <c r="B1624" i="1"/>
  <c r="P1648" i="1"/>
  <c r="G1715" i="1"/>
  <c r="N1540" i="1"/>
  <c r="E1690" i="1"/>
  <c r="B1694" i="1"/>
  <c r="C1676" i="1"/>
  <c r="N1766" i="1"/>
  <c r="H1658" i="1"/>
  <c r="E1624" i="1"/>
  <c r="E1749" i="1"/>
  <c r="B1725" i="1"/>
  <c r="B1642" i="1"/>
  <c r="C1570" i="1"/>
  <c r="E1604" i="1"/>
  <c r="N1696" i="1"/>
  <c r="E1648" i="1"/>
  <c r="A1703" i="1"/>
  <c r="C1628" i="1"/>
  <c r="P1681" i="1"/>
  <c r="A1714" i="1"/>
  <c r="J1635" i="1"/>
  <c r="N1660" i="1"/>
  <c r="I1772" i="1"/>
  <c r="M1622" i="1"/>
  <c r="C1554" i="1"/>
  <c r="F1710" i="1"/>
  <c r="O1601" i="1"/>
  <c r="F1618" i="1"/>
  <c r="H1531" i="1"/>
  <c r="J1525" i="1"/>
  <c r="P1684" i="1"/>
  <c r="O1672" i="1"/>
  <c r="M1673" i="1"/>
  <c r="L1581" i="1"/>
  <c r="C1671" i="1"/>
  <c r="K1630" i="1"/>
  <c r="O1694" i="1"/>
  <c r="L1627" i="1"/>
  <c r="M1720" i="1"/>
  <c r="N1667" i="1"/>
  <c r="F1745" i="1"/>
  <c r="A1623" i="1"/>
  <c r="M1581" i="1"/>
  <c r="N1602" i="1"/>
  <c r="C1590" i="1"/>
  <c r="A1682" i="1"/>
  <c r="P1633" i="1"/>
  <c r="H1626" i="1"/>
  <c r="C1638" i="1"/>
  <c r="D1712" i="1"/>
  <c r="K1713" i="1"/>
  <c r="P1571" i="1"/>
  <c r="J1686" i="1"/>
  <c r="G1638" i="1"/>
  <c r="D1599" i="1"/>
  <c r="J1533" i="1"/>
  <c r="J1561" i="1"/>
  <c r="J1608" i="1"/>
  <c r="B1529" i="1"/>
  <c r="P1732" i="1"/>
  <c r="F1663" i="1"/>
  <c r="L1633" i="1"/>
  <c r="K1655" i="1"/>
  <c r="D1642" i="1"/>
  <c r="C1698" i="1"/>
  <c r="M1682" i="1"/>
  <c r="L1684" i="1"/>
  <c r="G1639" i="1"/>
  <c r="K1580" i="1"/>
  <c r="D1611" i="1"/>
  <c r="L1500" i="1"/>
  <c r="G1548" i="1"/>
  <c r="L1482" i="1"/>
  <c r="G1544" i="1"/>
  <c r="I1616" i="1"/>
  <c r="C1692" i="1"/>
  <c r="E1553" i="1"/>
  <c r="E1651" i="1"/>
  <c r="I1673" i="1"/>
  <c r="I1618" i="1"/>
  <c r="H1633" i="1"/>
  <c r="I1677" i="1"/>
  <c r="N1653" i="1"/>
  <c r="P1666" i="1"/>
  <c r="E1578" i="1"/>
  <c r="P1632" i="1"/>
  <c r="K1576" i="1"/>
  <c r="L1653" i="1"/>
  <c r="N1645" i="1"/>
  <c r="B1641" i="1"/>
  <c r="N1705" i="1"/>
  <c r="I1630" i="1"/>
  <c r="A1652" i="1"/>
  <c r="A1743" i="1"/>
  <c r="D1644" i="1"/>
  <c r="N1564" i="1"/>
  <c r="M1578" i="1"/>
  <c r="D1600" i="1"/>
  <c r="A1577" i="1"/>
  <c r="L1628" i="1"/>
  <c r="B1451" i="1"/>
  <c r="N1623" i="1"/>
  <c r="C1709" i="1"/>
  <c r="D1714" i="1"/>
  <c r="B1602" i="1"/>
  <c r="L1652" i="1"/>
  <c r="E1577" i="1"/>
  <c r="D1606" i="1"/>
  <c r="G1646" i="1"/>
  <c r="D1686" i="1"/>
  <c r="F1668" i="1"/>
  <c r="E1569" i="1"/>
  <c r="F1562" i="1"/>
  <c r="G1607" i="1"/>
  <c r="B1455" i="1"/>
  <c r="O1544" i="1"/>
  <c r="K1513" i="1"/>
  <c r="N1611" i="1"/>
  <c r="D1595" i="1"/>
  <c r="L1608" i="1"/>
  <c r="H1620" i="1"/>
  <c r="I1701" i="1"/>
  <c r="O1666" i="1"/>
  <c r="J1658" i="1"/>
  <c r="H1723" i="1"/>
  <c r="M1520" i="1"/>
  <c r="D1512" i="1"/>
  <c r="K1557" i="1"/>
  <c r="D1540" i="1"/>
  <c r="C1503" i="1"/>
  <c r="B1584" i="1"/>
  <c r="C1499" i="1"/>
  <c r="M1500" i="1"/>
  <c r="D1650" i="1"/>
  <c r="C1686" i="1"/>
  <c r="I1651" i="1"/>
  <c r="D1602" i="1"/>
  <c r="D1628" i="1"/>
  <c r="K1678" i="1"/>
  <c r="H1638" i="1"/>
  <c r="M1803" i="1"/>
  <c r="J1587" i="1"/>
  <c r="F1504" i="1"/>
  <c r="C1507" i="1"/>
  <c r="I1637" i="1"/>
  <c r="C1594" i="1"/>
  <c r="D1648" i="1"/>
  <c r="B1613" i="1"/>
  <c r="L1755" i="1"/>
  <c r="G1650" i="1"/>
  <c r="N1664" i="1"/>
  <c r="H1612" i="1"/>
  <c r="M1529" i="1"/>
  <c r="A1526" i="1"/>
  <c r="N1536" i="1"/>
  <c r="A1554" i="1"/>
  <c r="F1597" i="1"/>
  <c r="J1557" i="1"/>
  <c r="O1577" i="1"/>
  <c r="A1602" i="1"/>
  <c r="D1807" i="1"/>
  <c r="F1681" i="1"/>
  <c r="O1709" i="1"/>
  <c r="B1665" i="1"/>
  <c r="O1626" i="1"/>
  <c r="M1609" i="1"/>
  <c r="C1741" i="1"/>
  <c r="E1682" i="1"/>
  <c r="G1684" i="1"/>
  <c r="N1640" i="1"/>
  <c r="L1698" i="1"/>
  <c r="O1612" i="1"/>
  <c r="J1741" i="1"/>
  <c r="J1700" i="1"/>
  <c r="C1667" i="1"/>
  <c r="E1614" i="1"/>
  <c r="K1620" i="1"/>
  <c r="B1617" i="1"/>
  <c r="D1702" i="1"/>
  <c r="P1643" i="1"/>
  <c r="A1661" i="1"/>
  <c r="E1655" i="1"/>
  <c r="K1570" i="1"/>
  <c r="B1527" i="1"/>
  <c r="J1551" i="1"/>
  <c r="C1745" i="1"/>
  <c r="B1519" i="1"/>
  <c r="K1749" i="1"/>
  <c r="L1771" i="1"/>
  <c r="H1628" i="1"/>
  <c r="K1725" i="1"/>
  <c r="O1507" i="1"/>
  <c r="H1616" i="1"/>
  <c r="F1653" i="1"/>
  <c r="M1629" i="1"/>
  <c r="G1556" i="1"/>
  <c r="L1490" i="1"/>
  <c r="G1584" i="1"/>
  <c r="C1564" i="1"/>
  <c r="L1609" i="1"/>
  <c r="E1524" i="1"/>
  <c r="I1567" i="1"/>
  <c r="G1540" i="1"/>
  <c r="F1705" i="1"/>
  <c r="P1703" i="1"/>
  <c r="O1619" i="1"/>
  <c r="P1720" i="1"/>
  <c r="D1659" i="1"/>
  <c r="I1627" i="1"/>
  <c r="F1632" i="1"/>
  <c r="D1665" i="1"/>
  <c r="N1639" i="1"/>
  <c r="L1458" i="1"/>
  <c r="G1552" i="1"/>
  <c r="L1486" i="1"/>
  <c r="M1782" i="1"/>
  <c r="A1614" i="1"/>
  <c r="G1678" i="1"/>
  <c r="K1642" i="1"/>
  <c r="B1661" i="1"/>
  <c r="I1770" i="1"/>
  <c r="D1706" i="1"/>
  <c r="D1666" i="1"/>
  <c r="M1612" i="1"/>
  <c r="B1459" i="1"/>
  <c r="J1615" i="1"/>
  <c r="B1487" i="1"/>
  <c r="O1588" i="1"/>
  <c r="M1556" i="1"/>
  <c r="O1580" i="1"/>
  <c r="F1619" i="1"/>
  <c r="J1607" i="1"/>
  <c r="O1583" i="1"/>
  <c r="E1742" i="1"/>
  <c r="P1637" i="1"/>
  <c r="D1649" i="1"/>
  <c r="E1710" i="1"/>
  <c r="B1674" i="1"/>
  <c r="D1604" i="1"/>
  <c r="O1556" i="1"/>
  <c r="M1524" i="1"/>
  <c r="L1592" i="1"/>
  <c r="K1561" i="1"/>
  <c r="A1611" i="1"/>
  <c r="E1506" i="1"/>
  <c r="C1613" i="1"/>
  <c r="L1573" i="1"/>
  <c r="K1652" i="1"/>
  <c r="C1631" i="1"/>
  <c r="K1617" i="1"/>
  <c r="L1561" i="1"/>
  <c r="A1626" i="1"/>
  <c r="B1635" i="1"/>
  <c r="C1511" i="1"/>
  <c r="D1502" i="1"/>
  <c r="C1539" i="1"/>
  <c r="H1738" i="1"/>
  <c r="I1514" i="1"/>
  <c r="I1648" i="1"/>
  <c r="C1509" i="1"/>
  <c r="J1718" i="1"/>
  <c r="B1628" i="1"/>
  <c r="M1608" i="1"/>
  <c r="M1541" i="1"/>
  <c r="K1668" i="1"/>
  <c r="L1725" i="1"/>
  <c r="G1604" i="1"/>
  <c r="B1643" i="1"/>
  <c r="O1609" i="1"/>
  <c r="B1626" i="1"/>
  <c r="L1585" i="1"/>
  <c r="E1520" i="1"/>
  <c r="A1601" i="1"/>
  <c r="D1610" i="1"/>
  <c r="J1645" i="1"/>
  <c r="M1619" i="1"/>
  <c r="I1591" i="1"/>
  <c r="P1647" i="1"/>
  <c r="G1631" i="1"/>
  <c r="O1656" i="1"/>
  <c r="J1642" i="1"/>
  <c r="J1565" i="1"/>
  <c r="O1585" i="1"/>
  <c r="D1594" i="1"/>
  <c r="B1697" i="1"/>
  <c r="J1547" i="1"/>
  <c r="P1601" i="1"/>
  <c r="P1837" i="1"/>
  <c r="N1697" i="1"/>
  <c r="C1684" i="1"/>
  <c r="E1617" i="1"/>
  <c r="M1643" i="1"/>
  <c r="F1576" i="1"/>
  <c r="G1656" i="1"/>
  <c r="P1675" i="1"/>
  <c r="F1614" i="1"/>
  <c r="H1652" i="1"/>
  <c r="J1639" i="1"/>
  <c r="O1527" i="1"/>
  <c r="M1601" i="1"/>
  <c r="H1695" i="1"/>
  <c r="I1705" i="1"/>
  <c r="I1628" i="1"/>
  <c r="O1635" i="1"/>
  <c r="L1686" i="1"/>
  <c r="L1626" i="1"/>
  <c r="K1624" i="1"/>
  <c r="P1634" i="1"/>
  <c r="A1658" i="1"/>
  <c r="K1608" i="1"/>
  <c r="A1547" i="1"/>
  <c r="C1607" i="1"/>
  <c r="D1566" i="1"/>
  <c r="J1781" i="1"/>
  <c r="F1638" i="1"/>
  <c r="E1770" i="1"/>
  <c r="N1626" i="1"/>
  <c r="L1565" i="1"/>
  <c r="C1635" i="1"/>
  <c r="C1615" i="1"/>
  <c r="P1669" i="1"/>
  <c r="G1632" i="1"/>
  <c r="D1671" i="1"/>
  <c r="N1657" i="1"/>
  <c r="M1537" i="1"/>
  <c r="B1685" i="1"/>
  <c r="A1650" i="1"/>
  <c r="O1616" i="1"/>
  <c r="A1582" i="1"/>
  <c r="A1578" i="1"/>
  <c r="I1652" i="1"/>
  <c r="O1620" i="1"/>
  <c r="E1618" i="1"/>
  <c r="B1668" i="1"/>
  <c r="A1558" i="1"/>
  <c r="A1586" i="1"/>
  <c r="G1701" i="1"/>
  <c r="A1719" i="1"/>
  <c r="O1613" i="1"/>
  <c r="E1646" i="1"/>
  <c r="C1637" i="1"/>
  <c r="D1653" i="1"/>
  <c r="O1727" i="1"/>
  <c r="O1622" i="1"/>
  <c r="O1610" i="1"/>
  <c r="I1650" i="1"/>
  <c r="L1611" i="1"/>
  <c r="J1517" i="1"/>
  <c r="O1505" i="1"/>
  <c r="I1585" i="1"/>
  <c r="P1668" i="1"/>
  <c r="C1579" i="1"/>
  <c r="N1509" i="1"/>
  <c r="A1515" i="1"/>
  <c r="N1505" i="1"/>
  <c r="B1645" i="1"/>
  <c r="E1552" i="1"/>
  <c r="M1588" i="1"/>
  <c r="P1606" i="1"/>
  <c r="K1577" i="1"/>
  <c r="O1560" i="1"/>
  <c r="D1513" i="1"/>
  <c r="A1564" i="1"/>
  <c r="I1497" i="1"/>
  <c r="A1560" i="1"/>
  <c r="N1565" i="1"/>
  <c r="H1449" i="1"/>
  <c r="N1497" i="1"/>
  <c r="J1494" i="1"/>
  <c r="J1580" i="1"/>
  <c r="O1489" i="1"/>
  <c r="P1650" i="1"/>
  <c r="A1693" i="1"/>
  <c r="K1545" i="1"/>
  <c r="O1564" i="1"/>
  <c r="G1535" i="1"/>
  <c r="B1707" i="1"/>
  <c r="G1518" i="1"/>
  <c r="A1532" i="1"/>
  <c r="G1502" i="1"/>
  <c r="A1528" i="1"/>
  <c r="F1598" i="1"/>
  <c r="C1527" i="1"/>
  <c r="D1518" i="1"/>
  <c r="C1519" i="1"/>
  <c r="D1510" i="1"/>
  <c r="K1591" i="1"/>
  <c r="N1441" i="1"/>
  <c r="E1491" i="1"/>
  <c r="N1437" i="1"/>
  <c r="L1538" i="1"/>
  <c r="A1588" i="1"/>
  <c r="E1704" i="1"/>
  <c r="A1520" i="1"/>
  <c r="B1616" i="1"/>
  <c r="A1516" i="1"/>
  <c r="E1671" i="1"/>
  <c r="E1573" i="1"/>
  <c r="N1621" i="1"/>
  <c r="I1783" i="1"/>
  <c r="F1751" i="1"/>
  <c r="I1715" i="1"/>
  <c r="G1762" i="1"/>
  <c r="C1577" i="1"/>
  <c r="N1668" i="1"/>
  <c r="E1772" i="1"/>
  <c r="G1623" i="1"/>
  <c r="O1651" i="1"/>
  <c r="E1616" i="1"/>
  <c r="K1636" i="1"/>
  <c r="B1622" i="1"/>
  <c r="J1599" i="1"/>
  <c r="O1641" i="1"/>
  <c r="M1607" i="1"/>
  <c r="I1635" i="1"/>
  <c r="O1603" i="1"/>
  <c r="B1578" i="1"/>
  <c r="F1627" i="1"/>
  <c r="F1652" i="1"/>
  <c r="L1815" i="1"/>
  <c r="K1734" i="1"/>
  <c r="G1605" i="1"/>
  <c r="J1598" i="1"/>
  <c r="H1681" i="1"/>
  <c r="F1672" i="1"/>
  <c r="G1658" i="1"/>
  <c r="K1684" i="1"/>
  <c r="D1681" i="1"/>
  <c r="M1569" i="1"/>
  <c r="H1746" i="1"/>
  <c r="C1622" i="1"/>
  <c r="B1603" i="1"/>
  <c r="J1530" i="1"/>
  <c r="P1664" i="1"/>
  <c r="M1573" i="1"/>
  <c r="I1795" i="1"/>
  <c r="H1651" i="1"/>
  <c r="C1525" i="1"/>
  <c r="I1562" i="1"/>
  <c r="M1506" i="1"/>
  <c r="N1644" i="1"/>
  <c r="C1657" i="1"/>
  <c r="F1602" i="1"/>
  <c r="M1744" i="1"/>
  <c r="F1631" i="1"/>
  <c r="B1591" i="1"/>
  <c r="M1510" i="1"/>
  <c r="G1744" i="1"/>
  <c r="P1597" i="1"/>
  <c r="N1616" i="1"/>
  <c r="B1601" i="1"/>
  <c r="J1555" i="1"/>
  <c r="J1583" i="1"/>
  <c r="L1595" i="1"/>
  <c r="L1518" i="1"/>
  <c r="A1514" i="1"/>
  <c r="O1652" i="1"/>
  <c r="J1637" i="1"/>
  <c r="P1598" i="1"/>
  <c r="F1655" i="1"/>
  <c r="A1589" i="1"/>
  <c r="N1588" i="1"/>
  <c r="N1627" i="1"/>
  <c r="L1617" i="1"/>
  <c r="D1613" i="1"/>
  <c r="M1598" i="1"/>
  <c r="E1570" i="1"/>
  <c r="O1532" i="1"/>
  <c r="L1442" i="1"/>
  <c r="J1578" i="1"/>
  <c r="K1662" i="1"/>
  <c r="J1542" i="1"/>
  <c r="K1558" i="1"/>
  <c r="O1420" i="1"/>
  <c r="K1542" i="1"/>
  <c r="N1609" i="1"/>
  <c r="F1519" i="1"/>
  <c r="G1536" i="1"/>
  <c r="I1588" i="1"/>
  <c r="J1582" i="1"/>
  <c r="I1584" i="1"/>
  <c r="B1630" i="1"/>
  <c r="L1550" i="1"/>
  <c r="E1706" i="1"/>
  <c r="G1510" i="1"/>
  <c r="J1546" i="1"/>
  <c r="P1494" i="1"/>
  <c r="P1594" i="1"/>
  <c r="P1547" i="1"/>
  <c r="B1504" i="1"/>
  <c r="L1541" i="1"/>
  <c r="E1675" i="1"/>
  <c r="G1576" i="1"/>
  <c r="M1530" i="1"/>
  <c r="A1608" i="1"/>
  <c r="M1522" i="1"/>
  <c r="B1709" i="1"/>
  <c r="J1567" i="1"/>
  <c r="I1504" i="1"/>
  <c r="J1535" i="1"/>
  <c r="I1500" i="1"/>
  <c r="L1602" i="1"/>
  <c r="M1449" i="1"/>
  <c r="B1530" i="1"/>
  <c r="N1488" i="1"/>
  <c r="D1525" i="1"/>
  <c r="N1484" i="1"/>
  <c r="O1599" i="1"/>
  <c r="F1596" i="1"/>
  <c r="A1471" i="1"/>
  <c r="F1706" i="1"/>
  <c r="A1463" i="1"/>
  <c r="N1630" i="1"/>
  <c r="G1551" i="1"/>
  <c r="P1586" i="1"/>
  <c r="M1540" i="1"/>
  <c r="P1582" i="1"/>
  <c r="M1587" i="1"/>
  <c r="D1496" i="1"/>
  <c r="G1549" i="1"/>
  <c r="D1428" i="1"/>
  <c r="G1545" i="1"/>
  <c r="D1424" i="1"/>
  <c r="G1537" i="1"/>
  <c r="C1531" i="1"/>
  <c r="A1439" i="1"/>
  <c r="O1648" i="1"/>
  <c r="A1431" i="1"/>
  <c r="M1606" i="1"/>
  <c r="L1572" i="1"/>
  <c r="P1554" i="1"/>
  <c r="L1556" i="1"/>
  <c r="J1672" i="1"/>
  <c r="J1684" i="1"/>
  <c r="E1659" i="1"/>
  <c r="B1620" i="1"/>
  <c r="G1784" i="1"/>
  <c r="J1630" i="1"/>
  <c r="A1522" i="1"/>
  <c r="H1604" i="1"/>
  <c r="E1656" i="1"/>
  <c r="P1638" i="1"/>
  <c r="I1620" i="1"/>
  <c r="J1501" i="1"/>
  <c r="J1529" i="1"/>
  <c r="J1621" i="1"/>
  <c r="N1596" i="1"/>
  <c r="B1676" i="1"/>
  <c r="D1616" i="1"/>
  <c r="A1612" i="1"/>
  <c r="N1635" i="1"/>
  <c r="I1577" i="1"/>
  <c r="D1674" i="1"/>
  <c r="M1677" i="1"/>
  <c r="H1661" i="1"/>
  <c r="P1623" i="1"/>
  <c r="A1664" i="1"/>
  <c r="P1608" i="1"/>
  <c r="L1656" i="1"/>
  <c r="J1562" i="1"/>
  <c r="J1558" i="1"/>
  <c r="C1723" i="1"/>
  <c r="E1615" i="1"/>
  <c r="O1650" i="1"/>
  <c r="L1619" i="1"/>
  <c r="J1538" i="1"/>
  <c r="J1566" i="1"/>
  <c r="M1552" i="1"/>
  <c r="P1612" i="1"/>
  <c r="C1664" i="1"/>
  <c r="O1726" i="1"/>
  <c r="E1620" i="1"/>
  <c r="M1514" i="1"/>
  <c r="M1542" i="1"/>
  <c r="A1479" i="1"/>
  <c r="G1592" i="1"/>
  <c r="H1669" i="1"/>
  <c r="P1559" i="1"/>
  <c r="E1613" i="1"/>
  <c r="I1624" i="1"/>
  <c r="A1455" i="1"/>
  <c r="A1483" i="1"/>
  <c r="L1618" i="1"/>
  <c r="F1588" i="1"/>
  <c r="F1715" i="1"/>
  <c r="A1643" i="1"/>
  <c r="B1569" i="1"/>
  <c r="M1599" i="1"/>
  <c r="K1616" i="1"/>
  <c r="L1525" i="1"/>
  <c r="J1553" i="1"/>
  <c r="A1510" i="1"/>
  <c r="H1551" i="1"/>
  <c r="B1522" i="1"/>
  <c r="I1612" i="1"/>
  <c r="B1506" i="1"/>
  <c r="A1618" i="1"/>
  <c r="B1507" i="1"/>
  <c r="D1553" i="1"/>
  <c r="B1499" i="1"/>
  <c r="B1546" i="1"/>
  <c r="D1536" i="1"/>
  <c r="J1522" i="1"/>
  <c r="H1592" i="1"/>
  <c r="D1533" i="1"/>
  <c r="D1584" i="1"/>
  <c r="M1568" i="1"/>
  <c r="B1597" i="1"/>
  <c r="B1510" i="1"/>
  <c r="N1591" i="1"/>
  <c r="M1550" i="1"/>
  <c r="G1636" i="1"/>
  <c r="B1514" i="1"/>
  <c r="B1534" i="1"/>
  <c r="B1498" i="1"/>
  <c r="D1529" i="1"/>
  <c r="B1471" i="1"/>
  <c r="C1580" i="1"/>
  <c r="A1542" i="1"/>
  <c r="D1560" i="1"/>
  <c r="K1573" i="1"/>
  <c r="D1552" i="1"/>
  <c r="K1525" i="1"/>
  <c r="G1593" i="1"/>
  <c r="D1472" i="1"/>
  <c r="G1589" i="1"/>
  <c r="B1571" i="1"/>
  <c r="J1521" i="1"/>
  <c r="E1511" i="1"/>
  <c r="P1583" i="1"/>
  <c r="H1495" i="1"/>
  <c r="D1641" i="1"/>
  <c r="K1546" i="1"/>
  <c r="K1505" i="1"/>
  <c r="N1600" i="1"/>
  <c r="K1501" i="1"/>
  <c r="N1511" i="1"/>
  <c r="I1414" i="1"/>
  <c r="G1581" i="1"/>
  <c r="D1460" i="1"/>
  <c r="G1577" i="1"/>
  <c r="D1456" i="1"/>
  <c r="A1550" i="1"/>
  <c r="H1636" i="1"/>
  <c r="L1584" i="1"/>
  <c r="E1702" i="1"/>
  <c r="L1576" i="1"/>
  <c r="C1648" i="1"/>
  <c r="I1550" i="1"/>
  <c r="P1576" i="1"/>
  <c r="E1540" i="1"/>
  <c r="P1572" i="1"/>
  <c r="H1503" i="1"/>
  <c r="O1465" i="1"/>
  <c r="D1571" i="1"/>
  <c r="I1415" i="1"/>
  <c r="D1555" i="1"/>
  <c r="N1410" i="1"/>
  <c r="L1557" i="1"/>
  <c r="K1615" i="1"/>
  <c r="M1789" i="1"/>
  <c r="D1645" i="1"/>
  <c r="M1813" i="1"/>
  <c r="O1629" i="1"/>
  <c r="N1638" i="1"/>
  <c r="D1633" i="1"/>
  <c r="J1633" i="1"/>
  <c r="A1607" i="1"/>
  <c r="J1789" i="1"/>
  <c r="N1678" i="1"/>
  <c r="D1591" i="1"/>
  <c r="B1523" i="1"/>
  <c r="D1565" i="1"/>
  <c r="F1688" i="1"/>
  <c r="L1622" i="1"/>
  <c r="M1628" i="1"/>
  <c r="C1717" i="1"/>
  <c r="H1663" i="1"/>
  <c r="B1491" i="1"/>
  <c r="M1567" i="1"/>
  <c r="O1689" i="1"/>
  <c r="D1697" i="1"/>
  <c r="H1640" i="1"/>
  <c r="M1655" i="1"/>
  <c r="C1575" i="1"/>
  <c r="O1636" i="1"/>
  <c r="F1612" i="1"/>
  <c r="H1595" i="1"/>
  <c r="J1653" i="1"/>
  <c r="N1599" i="1"/>
  <c r="K1825" i="1"/>
  <c r="J1632" i="1"/>
  <c r="E1568" i="1"/>
  <c r="F1665" i="1"/>
  <c r="M1538" i="1"/>
  <c r="A1628" i="1"/>
  <c r="M1650" i="1"/>
  <c r="C1616" i="1"/>
  <c r="F1626" i="1"/>
  <c r="L1590" i="1"/>
  <c r="E1510" i="1"/>
  <c r="C1649" i="1"/>
  <c r="A1622" i="1"/>
  <c r="H1605" i="1"/>
  <c r="G1785" i="1"/>
  <c r="E1744" i="1"/>
  <c r="M1561" i="1"/>
  <c r="I1527" i="1"/>
  <c r="M1621" i="1"/>
  <c r="L1634" i="1"/>
  <c r="J1683" i="1"/>
  <c r="B1702" i="1"/>
  <c r="N1593" i="1"/>
  <c r="L1536" i="1"/>
  <c r="B1587" i="1"/>
  <c r="H1606" i="1"/>
  <c r="I1687" i="1"/>
  <c r="J1543" i="1"/>
  <c r="H1647" i="1"/>
  <c r="D1557" i="1"/>
  <c r="L1549" i="1"/>
  <c r="I1622" i="1"/>
  <c r="D1537" i="1"/>
  <c r="M1667" i="1"/>
  <c r="L1562" i="1"/>
  <c r="B1598" i="1"/>
  <c r="L1546" i="1"/>
  <c r="D1592" i="1"/>
  <c r="A1599" i="1"/>
  <c r="C1591" i="1"/>
  <c r="D1582" i="1"/>
  <c r="C1583" i="1"/>
  <c r="D1574" i="1"/>
  <c r="C1547" i="1"/>
  <c r="H1519" i="1"/>
  <c r="O1473" i="1"/>
  <c r="H1511" i="1"/>
  <c r="D1601" i="1"/>
  <c r="P1514" i="1"/>
  <c r="L1530" i="1"/>
  <c r="A1584" i="1"/>
  <c r="L1514" i="1"/>
  <c r="A1580" i="1"/>
  <c r="L1498" i="1"/>
  <c r="M1593" i="1"/>
  <c r="C1559" i="1"/>
  <c r="D1550" i="1"/>
  <c r="C1551" i="1"/>
  <c r="D1542" i="1"/>
  <c r="C1515" i="1"/>
  <c r="N1473" i="1"/>
  <c r="O1441" i="1"/>
  <c r="N1469" i="1"/>
  <c r="M1596" i="1"/>
  <c r="H1731" i="1"/>
  <c r="O1503" i="1"/>
  <c r="B1728" i="1"/>
  <c r="O1495" i="1"/>
  <c r="J1676" i="1"/>
  <c r="I1543" i="1"/>
  <c r="A1500" i="1"/>
  <c r="B1574" i="1"/>
  <c r="K1646" i="1"/>
  <c r="N1501" i="1"/>
  <c r="A1499" i="1"/>
  <c r="N1461" i="1"/>
  <c r="O1429" i="1"/>
  <c r="N1457" i="1"/>
  <c r="O1425" i="1"/>
  <c r="F1642" i="1"/>
  <c r="D1626" i="1"/>
  <c r="K1688" i="1"/>
  <c r="B1650" i="1"/>
  <c r="C1530" i="1"/>
  <c r="N1669" i="1"/>
  <c r="F1606" i="1"/>
  <c r="F1650" i="1"/>
  <c r="H1665" i="1"/>
  <c r="H1675" i="1"/>
  <c r="F1544" i="1"/>
  <c r="I1534" i="1"/>
  <c r="E1572" i="1"/>
  <c r="O1513" i="1"/>
  <c r="K1550" i="1"/>
  <c r="G1751" i="1"/>
  <c r="C1620" i="1"/>
  <c r="J1604" i="1"/>
  <c r="L1596" i="1"/>
  <c r="G1495" i="1"/>
  <c r="C1529" i="1"/>
  <c r="B1599" i="1"/>
  <c r="J1810" i="1"/>
  <c r="C1695" i="1"/>
  <c r="L1644" i="1"/>
  <c r="G1567" i="1"/>
  <c r="C1658" i="1"/>
  <c r="E1538" i="1"/>
  <c r="O1576" i="1"/>
  <c r="N1706" i="1"/>
  <c r="M1666" i="1"/>
  <c r="F1640" i="1"/>
  <c r="A1625" i="1"/>
  <c r="E1514" i="1"/>
  <c r="E1542" i="1"/>
  <c r="N1729" i="1"/>
  <c r="F1617" i="1"/>
  <c r="P1663" i="1"/>
  <c r="O1654" i="1"/>
  <c r="A1539" i="1"/>
  <c r="F1629" i="1"/>
  <c r="M1635" i="1"/>
  <c r="G1624" i="1"/>
  <c r="A1726" i="1"/>
  <c r="C1593" i="1"/>
  <c r="K1578" i="1"/>
  <c r="F1758" i="1"/>
  <c r="D1624" i="1"/>
  <c r="L1610" i="1"/>
  <c r="A1649" i="1"/>
  <c r="N1614" i="1"/>
  <c r="M1639" i="1"/>
  <c r="D1657" i="1"/>
  <c r="P1678" i="1"/>
  <c r="H1732" i="1"/>
  <c r="L1564" i="1"/>
  <c r="B1561" i="1"/>
  <c r="F1540" i="1"/>
  <c r="K1670" i="1"/>
  <c r="L1560" i="1"/>
  <c r="P1618" i="1"/>
  <c r="L1474" i="1"/>
  <c r="G1532" i="1"/>
  <c r="L1466" i="1"/>
  <c r="J1574" i="1"/>
  <c r="E1632" i="1"/>
  <c r="E1465" i="1"/>
  <c r="N1655" i="1"/>
  <c r="P1652" i="1"/>
  <c r="C1606" i="1"/>
  <c r="N1595" i="1"/>
  <c r="P1599" i="1"/>
  <c r="M1586" i="1"/>
  <c r="F1762" i="1"/>
  <c r="A1538" i="1"/>
  <c r="I1568" i="1"/>
  <c r="A1506" i="1"/>
  <c r="I1564" i="1"/>
  <c r="C1462" i="1"/>
  <c r="E1555" i="1"/>
  <c r="G1616" i="1"/>
  <c r="O1444" i="1"/>
  <c r="P1640" i="1"/>
  <c r="I1439" i="1"/>
  <c r="J1609" i="1"/>
  <c r="D1640" i="1"/>
  <c r="M1562" i="1"/>
  <c r="H1643" i="1"/>
  <c r="M1554" i="1"/>
  <c r="O1674" i="1"/>
  <c r="J1577" i="1"/>
  <c r="I1536" i="1"/>
  <c r="J1545" i="1"/>
  <c r="I1532" i="1"/>
  <c r="C1548" i="1"/>
  <c r="N1594" i="1"/>
  <c r="M1615" i="1"/>
  <c r="M1600" i="1"/>
  <c r="O1638" i="1"/>
  <c r="A1562" i="1"/>
  <c r="G1587" i="1"/>
  <c r="N1468" i="1"/>
  <c r="K1581" i="1"/>
  <c r="G1568" i="1"/>
  <c r="N1592" i="1"/>
  <c r="I1589" i="1"/>
  <c r="I1524" i="1"/>
  <c r="C1587" i="1"/>
  <c r="I1520" i="1"/>
  <c r="C1523" i="1"/>
  <c r="D1590" i="1"/>
  <c r="D1545" i="1"/>
  <c r="E1649" i="1"/>
  <c r="M1492" i="1"/>
  <c r="L1597" i="1"/>
  <c r="J1569" i="1"/>
  <c r="G1529" i="1"/>
  <c r="O1562" i="1"/>
  <c r="G1525" i="1"/>
  <c r="B1580" i="1"/>
  <c r="M1580" i="1"/>
  <c r="H1543" i="1"/>
  <c r="K1493" i="1"/>
  <c r="P1531" i="1"/>
  <c r="K1638" i="1"/>
  <c r="G1583" i="1"/>
  <c r="D1526" i="1"/>
  <c r="K1541" i="1"/>
  <c r="N1624" i="1"/>
  <c r="J1573" i="1"/>
  <c r="J1594" i="1"/>
  <c r="J1537" i="1"/>
  <c r="O1660" i="1"/>
  <c r="H1489" i="1"/>
  <c r="D1617" i="1"/>
  <c r="A1435" i="1"/>
  <c r="K1537" i="1"/>
  <c r="M1508" i="1"/>
  <c r="P1574" i="1"/>
  <c r="O1499" i="1"/>
  <c r="P1570" i="1"/>
  <c r="L1588" i="1"/>
  <c r="K1705" i="1"/>
  <c r="J1581" i="1"/>
  <c r="O1569" i="1"/>
  <c r="J1541" i="1"/>
  <c r="O1561" i="1"/>
  <c r="J1505" i="1"/>
  <c r="N1573" i="1"/>
  <c r="H1457" i="1"/>
  <c r="N1569" i="1"/>
  <c r="P1555" i="1"/>
  <c r="K1497" i="1"/>
  <c r="L1540" i="1"/>
  <c r="P1542" i="1"/>
  <c r="L1524" i="1"/>
  <c r="A1736" i="1"/>
  <c r="G1760" i="1"/>
  <c r="B1608" i="1"/>
  <c r="L1733" i="1"/>
  <c r="B1638" i="1"/>
  <c r="I1623" i="1"/>
  <c r="K1628" i="1"/>
  <c r="F1622" i="1"/>
  <c r="C1674" i="1"/>
  <c r="B1605" i="1"/>
  <c r="D1631" i="1"/>
  <c r="O1521" i="1"/>
  <c r="O1645" i="1"/>
  <c r="M1768" i="1"/>
  <c r="M1594" i="1"/>
  <c r="F1613" i="1"/>
  <c r="H1679" i="1"/>
  <c r="A1579" i="1"/>
  <c r="A1662" i="1"/>
  <c r="C1600" i="1"/>
  <c r="N1704" i="1"/>
  <c r="P1567" i="1"/>
  <c r="G1775" i="1"/>
  <c r="F1661" i="1"/>
  <c r="N1636" i="1"/>
  <c r="E1546" i="1"/>
  <c r="E1574" i="1"/>
  <c r="J1528" i="1"/>
  <c r="M1647" i="1"/>
  <c r="H1641" i="1"/>
  <c r="F1692" i="1"/>
  <c r="O1607" i="1"/>
  <c r="N1619" i="1"/>
  <c r="K1486" i="1"/>
  <c r="J1544" i="1"/>
  <c r="N1699" i="1"/>
  <c r="N1603" i="1"/>
  <c r="L1604" i="1"/>
  <c r="F1766" i="1"/>
  <c r="D1622" i="1"/>
  <c r="E1619" i="1"/>
  <c r="A1723" i="1"/>
  <c r="B1700" i="1"/>
  <c r="I1660" i="1"/>
  <c r="P1563" i="1"/>
  <c r="F1666" i="1"/>
  <c r="G1622" i="1"/>
  <c r="H1635" i="1"/>
  <c r="E1725" i="1"/>
  <c r="O1673" i="1"/>
  <c r="H1594" i="1"/>
  <c r="I1669" i="1"/>
  <c r="K1625" i="1"/>
  <c r="K1574" i="1"/>
  <c r="B1623" i="1"/>
  <c r="L1554" i="1"/>
  <c r="B1551" i="1"/>
  <c r="C1661" i="1"/>
  <c r="N1608" i="1"/>
  <c r="H1615" i="1"/>
  <c r="J1586" i="1"/>
  <c r="C1513" i="1"/>
  <c r="D1609" i="1"/>
  <c r="G1503" i="1"/>
  <c r="P1527" i="1"/>
  <c r="N1519" i="1"/>
  <c r="I1422" i="1"/>
  <c r="N1515" i="1"/>
  <c r="J1618" i="1"/>
  <c r="G1547" i="1"/>
  <c r="B1475" i="1"/>
  <c r="E1664" i="1"/>
  <c r="B1467" i="1"/>
  <c r="D1593" i="1"/>
  <c r="B1447" i="1"/>
  <c r="G1591" i="1"/>
  <c r="B1439" i="1"/>
  <c r="K1585" i="1"/>
  <c r="N1575" i="1"/>
  <c r="I1478" i="1"/>
  <c r="N1507" i="1"/>
  <c r="N1578" i="1"/>
  <c r="N1503" i="1"/>
  <c r="I1561" i="1"/>
  <c r="M1642" i="1"/>
  <c r="J1585" i="1"/>
  <c r="B1443" i="1"/>
  <c r="E1599" i="1"/>
  <c r="B1435" i="1"/>
  <c r="P1579" i="1"/>
  <c r="A1459" i="1"/>
  <c r="M1548" i="1"/>
  <c r="A1443" i="1"/>
  <c r="G1543" i="1"/>
  <c r="O1545" i="1"/>
  <c r="M1610" i="1"/>
  <c r="D1528" i="1"/>
  <c r="G1531" i="1"/>
  <c r="D1520" i="1"/>
  <c r="L1629" i="1"/>
  <c r="G1561" i="1"/>
  <c r="D1440" i="1"/>
  <c r="G1557" i="1"/>
  <c r="M1535" i="1"/>
  <c r="P1539" i="1"/>
  <c r="K1700" i="1"/>
  <c r="M1532" i="1"/>
  <c r="N1622" i="1"/>
  <c r="G1527" i="1"/>
  <c r="K1626" i="1"/>
  <c r="C1574" i="1"/>
  <c r="I1631" i="1"/>
  <c r="G1546" i="1"/>
  <c r="P1596" i="1"/>
  <c r="P1712" i="1"/>
  <c r="J1559" i="1"/>
  <c r="K1508" i="1"/>
  <c r="N1394" i="1"/>
  <c r="K1500" i="1"/>
  <c r="L1478" i="1"/>
  <c r="A1556" i="1"/>
  <c r="B1542" i="1"/>
  <c r="A1598" i="1"/>
  <c r="A1651" i="1"/>
  <c r="M1592" i="1"/>
  <c r="I1582" i="1"/>
  <c r="D1619" i="1"/>
  <c r="J1571" i="1"/>
  <c r="J1685" i="1"/>
  <c r="J1563" i="1"/>
  <c r="D1675" i="1"/>
  <c r="A1670" i="1"/>
  <c r="M1469" i="1"/>
  <c r="N1362" i="1"/>
  <c r="M1465" i="1"/>
  <c r="K1490" i="1"/>
  <c r="A1524" i="1"/>
  <c r="E1508" i="1"/>
  <c r="P1564" i="1"/>
  <c r="G1499" i="1"/>
  <c r="P1560" i="1"/>
  <c r="D1588" i="1"/>
  <c r="M1589" i="1"/>
  <c r="J1539" i="1"/>
  <c r="D1688" i="1"/>
  <c r="J1531" i="1"/>
  <c r="J1790" i="1"/>
  <c r="C1632" i="1"/>
  <c r="C1680" i="1"/>
  <c r="N1330" i="1"/>
  <c r="P1605" i="1"/>
  <c r="H1555" i="1"/>
  <c r="B1610" i="1"/>
  <c r="D1532" i="1"/>
  <c r="P1532" i="1"/>
  <c r="D1524" i="1"/>
  <c r="F1603" i="1"/>
  <c r="G1635" i="1"/>
  <c r="C1660" i="1"/>
  <c r="E1669" i="1"/>
  <c r="G1641" i="1"/>
  <c r="K1622" i="1"/>
  <c r="A1620" i="1"/>
  <c r="A1730" i="1"/>
  <c r="N1691" i="1"/>
  <c r="L1607" i="1"/>
  <c r="A1590" i="1"/>
  <c r="O1523" i="1"/>
  <c r="K1600" i="1"/>
  <c r="F1552" i="1"/>
  <c r="F1548" i="1"/>
  <c r="O1628" i="1"/>
  <c r="I1619" i="1"/>
  <c r="L1553" i="1"/>
  <c r="J1619" i="1"/>
  <c r="P1444" i="1"/>
  <c r="N1322" i="1"/>
  <c r="J1519" i="1"/>
  <c r="M1632" i="1"/>
  <c r="O1514" i="1"/>
  <c r="I1546" i="1"/>
  <c r="I1721" i="1"/>
  <c r="B1595" i="1"/>
  <c r="D1490" i="1"/>
  <c r="J1590" i="1"/>
  <c r="K1613" i="1"/>
  <c r="J1666" i="1"/>
  <c r="F1581" i="1"/>
  <c r="F1577" i="1"/>
  <c r="D1583" i="1"/>
  <c r="N1456" i="1"/>
  <c r="N1452" i="1"/>
  <c r="J1526" i="1"/>
  <c r="H1563" i="1"/>
  <c r="L1544" i="1"/>
  <c r="M1557" i="1"/>
  <c r="G1582" i="1"/>
  <c r="F1545" i="1"/>
  <c r="N1465" i="1"/>
  <c r="B1573" i="1"/>
  <c r="N1424" i="1"/>
  <c r="M1485" i="1"/>
  <c r="B1541" i="1"/>
  <c r="A1546" i="1"/>
  <c r="L1520" i="1"/>
  <c r="B1756" i="1"/>
  <c r="P1635" i="1"/>
  <c r="P1607" i="1"/>
  <c r="I1486" i="1"/>
  <c r="O1621" i="1"/>
  <c r="F1600" i="1"/>
  <c r="B1594" i="1"/>
  <c r="I1515" i="1"/>
  <c r="M1453" i="1"/>
  <c r="N1346" i="1"/>
  <c r="D1605" i="1"/>
  <c r="B1615" i="1"/>
  <c r="D1521" i="1"/>
  <c r="G1564" i="1"/>
  <c r="D1505" i="1"/>
  <c r="G1528" i="1"/>
  <c r="C1438" i="1"/>
  <c r="H1452" i="1"/>
  <c r="C1434" i="1"/>
  <c r="C1619" i="1"/>
  <c r="F1583" i="1"/>
  <c r="M1652" i="1"/>
  <c r="F1515" i="1"/>
  <c r="P1614" i="1"/>
  <c r="F1511" i="1"/>
  <c r="O1528" i="1"/>
  <c r="P1546" i="1"/>
  <c r="O1582" i="1"/>
  <c r="P1552" i="1"/>
  <c r="O1573" i="1"/>
  <c r="A1541" i="1"/>
  <c r="A1418" i="1"/>
  <c r="H1600" i="1"/>
  <c r="A1446" i="1"/>
  <c r="P1551" i="1"/>
  <c r="D1495" i="1"/>
  <c r="O1572" i="1"/>
  <c r="B1618" i="1"/>
  <c r="D1452" i="1"/>
  <c r="A1497" i="1"/>
  <c r="H1421" i="1"/>
  <c r="O1461" i="1"/>
  <c r="F1535" i="1"/>
  <c r="M1616" i="1"/>
  <c r="K1654" i="1"/>
  <c r="M1560" i="1"/>
  <c r="E1493" i="1"/>
  <c r="N1542" i="1"/>
  <c r="H1565" i="1"/>
  <c r="A1474" i="1"/>
  <c r="H1388" i="1"/>
  <c r="C1560" i="1"/>
  <c r="H1462" i="1"/>
  <c r="I1488" i="1"/>
  <c r="H1456" i="1"/>
  <c r="O1541" i="1"/>
  <c r="O1517" i="1"/>
  <c r="I1462" i="1"/>
  <c r="K1604" i="1"/>
  <c r="B1518" i="1"/>
  <c r="K1485" i="1"/>
  <c r="D1427" i="1"/>
  <c r="D1535" i="1"/>
  <c r="D1516" i="1"/>
  <c r="H1435" i="1"/>
  <c r="N1326" i="1"/>
  <c r="K1448" i="1"/>
  <c r="J1468" i="1"/>
  <c r="J1486" i="1"/>
  <c r="J1432" i="1"/>
  <c r="N1666" i="1"/>
  <c r="P1673" i="1"/>
  <c r="A1814" i="1"/>
  <c r="K1605" i="1"/>
  <c r="B1777" i="1"/>
  <c r="H1575" i="1"/>
  <c r="O1829" i="1"/>
  <c r="P1651" i="1"/>
  <c r="K1598" i="1"/>
  <c r="I1742" i="1"/>
  <c r="H1608" i="1"/>
  <c r="K1648" i="1"/>
  <c r="C1588" i="1"/>
  <c r="K1649" i="1"/>
  <c r="A1518" i="1"/>
  <c r="C1550" i="1"/>
  <c r="L1614" i="1"/>
  <c r="P1472" i="1"/>
  <c r="L1537" i="1"/>
  <c r="N1516" i="1"/>
  <c r="D1586" i="1"/>
  <c r="D1562" i="1"/>
  <c r="I1578" i="1"/>
  <c r="B1532" i="1"/>
  <c r="E1498" i="1"/>
  <c r="D1474" i="1"/>
  <c r="H1547" i="1"/>
  <c r="C1533" i="1"/>
  <c r="O1596" i="1"/>
  <c r="G1611" i="1"/>
  <c r="H1618" i="1"/>
  <c r="B1590" i="1"/>
  <c r="N1528" i="1"/>
  <c r="C1675" i="1"/>
  <c r="F1659" i="1"/>
  <c r="I1632" i="1"/>
  <c r="M1620" i="1"/>
  <c r="L1600" i="1"/>
  <c r="L1534" i="1"/>
  <c r="B1517" i="1"/>
  <c r="J1556" i="1"/>
  <c r="P1550" i="1"/>
  <c r="E1544" i="1"/>
  <c r="N1574" i="1"/>
  <c r="J1520" i="1"/>
  <c r="F1575" i="1"/>
  <c r="N1526" i="1"/>
  <c r="J1575" i="1"/>
  <c r="L1510" i="1"/>
  <c r="B1545" i="1"/>
  <c r="I1634" i="1"/>
  <c r="C1470" i="1"/>
  <c r="K1640" i="1"/>
  <c r="P1518" i="1"/>
  <c r="A1502" i="1"/>
  <c r="C1490" i="1"/>
  <c r="H1477" i="1"/>
  <c r="F1543" i="1"/>
  <c r="E1529" i="1"/>
  <c r="I1566" i="1"/>
  <c r="G1572" i="1"/>
  <c r="E1556" i="1"/>
  <c r="E1639" i="1"/>
  <c r="C1545" i="1"/>
  <c r="D1589" i="1"/>
  <c r="N1551" i="1"/>
  <c r="I1454" i="1"/>
  <c r="N1547" i="1"/>
  <c r="B1581" i="1"/>
  <c r="F1573" i="1"/>
  <c r="M1534" i="1"/>
  <c r="I1657" i="1"/>
  <c r="M1526" i="1"/>
  <c r="M1605" i="1"/>
  <c r="M1502" i="1"/>
  <c r="H1481" i="1"/>
  <c r="P1569" i="1"/>
  <c r="H1538" i="1"/>
  <c r="C1442" i="1"/>
  <c r="J1463" i="1"/>
  <c r="D1569" i="1"/>
  <c r="L1563" i="1"/>
  <c r="J1416" i="1"/>
  <c r="J1434" i="1"/>
  <c r="I1464" i="1"/>
  <c r="F1507" i="1"/>
  <c r="H1499" i="1"/>
  <c r="F1448" i="1"/>
  <c r="K1371" i="1"/>
  <c r="E1518" i="1"/>
  <c r="L1462" i="1"/>
  <c r="O1658" i="1"/>
  <c r="B1515" i="1"/>
  <c r="H1559" i="1"/>
  <c r="M1433" i="1"/>
  <c r="L1463" i="1"/>
  <c r="H1570" i="1"/>
  <c r="L1491" i="1"/>
  <c r="J1444" i="1"/>
  <c r="J1462" i="1"/>
  <c r="F1491" i="1"/>
  <c r="O1639" i="1"/>
  <c r="G1574" i="1"/>
  <c r="B1479" i="1"/>
  <c r="I1539" i="1"/>
  <c r="N1549" i="1"/>
  <c r="H1433" i="1"/>
  <c r="K1528" i="1"/>
  <c r="O1477" i="1"/>
  <c r="B1456" i="1"/>
  <c r="C1501" i="1"/>
  <c r="B1484" i="1"/>
  <c r="P1524" i="1"/>
  <c r="I1557" i="1"/>
  <c r="A1470" i="1"/>
  <c r="H1384" i="1"/>
  <c r="C1544" i="1"/>
  <c r="H1458" i="1"/>
  <c r="P1479" i="1"/>
  <c r="H1422" i="1"/>
  <c r="P1443" i="1"/>
  <c r="H1566" i="1"/>
  <c r="F1461" i="1"/>
  <c r="E1481" i="1"/>
  <c r="B1554" i="1"/>
  <c r="B1512" i="1"/>
  <c r="F1449" i="1"/>
  <c r="B1667" i="1"/>
  <c r="P1660" i="1"/>
  <c r="P1619" i="1"/>
  <c r="C1627" i="1"/>
  <c r="N1568" i="1"/>
  <c r="G1718" i="1"/>
  <c r="F1643" i="1"/>
  <c r="P1707" i="1"/>
  <c r="O1631" i="1"/>
  <c r="L1664" i="1"/>
  <c r="J1534" i="1"/>
  <c r="P1644" i="1"/>
  <c r="G1515" i="1"/>
  <c r="L1671" i="1"/>
  <c r="L1528" i="1"/>
  <c r="I1563" i="1"/>
  <c r="N1532" i="1"/>
  <c r="B1566" i="1"/>
  <c r="E1554" i="1"/>
  <c r="D1538" i="1"/>
  <c r="D1541" i="1"/>
  <c r="K1593" i="1"/>
  <c r="E1522" i="1"/>
  <c r="F1520" i="1"/>
  <c r="G1640" i="1"/>
  <c r="E1512" i="1"/>
  <c r="P1468" i="1"/>
  <c r="O1488" i="1"/>
  <c r="L1630" i="1"/>
  <c r="A1566" i="1"/>
  <c r="A1530" i="1"/>
  <c r="N1436" i="1"/>
  <c r="P1624" i="1"/>
  <c r="I1547" i="1"/>
  <c r="P1543" i="1"/>
  <c r="C1541" i="1"/>
  <c r="E1533" i="1"/>
  <c r="M1533" i="1"/>
  <c r="D1549" i="1"/>
  <c r="D1564" i="1"/>
  <c r="P1591" i="1"/>
  <c r="P1540" i="1"/>
  <c r="I1528" i="1"/>
  <c r="M1528" i="1"/>
  <c r="N1382" i="1"/>
  <c r="F1565" i="1"/>
  <c r="M1512" i="1"/>
  <c r="I1614" i="1"/>
  <c r="E1603" i="1"/>
  <c r="B1535" i="1"/>
  <c r="M1648" i="1"/>
  <c r="N1583" i="1"/>
  <c r="M1558" i="1"/>
  <c r="P1508" i="1"/>
  <c r="M1653" i="1"/>
  <c r="C1650" i="1"/>
  <c r="N1350" i="1"/>
  <c r="M1725" i="1"/>
  <c r="M1590" i="1"/>
  <c r="I1654" i="1"/>
  <c r="J1549" i="1"/>
  <c r="O1537" i="1"/>
  <c r="J1509" i="1"/>
  <c r="O1529" i="1"/>
  <c r="I1581" i="1"/>
  <c r="N1541" i="1"/>
  <c r="H1425" i="1"/>
  <c r="N1537" i="1"/>
  <c r="K1529" i="1"/>
  <c r="P1578" i="1"/>
  <c r="E1590" i="1"/>
  <c r="P1510" i="1"/>
  <c r="E1582" i="1"/>
  <c r="P1506" i="1"/>
  <c r="E1558" i="1"/>
  <c r="E1502" i="1"/>
  <c r="L1578" i="1"/>
  <c r="O1598" i="1"/>
  <c r="N1555" i="1"/>
  <c r="I1458" i="1"/>
  <c r="P1435" i="1"/>
  <c r="D1491" i="1"/>
  <c r="P1463" i="1"/>
  <c r="I1602" i="1"/>
  <c r="H1501" i="1"/>
  <c r="H1453" i="1"/>
  <c r="A1468" i="1"/>
  <c r="N1419" i="1"/>
  <c r="M1441" i="1"/>
  <c r="N1533" i="1"/>
  <c r="N1489" i="1"/>
  <c r="P1530" i="1"/>
  <c r="L1570" i="1"/>
  <c r="B1614" i="1"/>
  <c r="G1416" i="1"/>
  <c r="H1337" i="1"/>
  <c r="E1449" i="1"/>
  <c r="H1365" i="1"/>
  <c r="P1491" i="1"/>
  <c r="H1434" i="1"/>
  <c r="I1460" i="1"/>
  <c r="E1583" i="1"/>
  <c r="M1494" i="1"/>
  <c r="P1523" i="1"/>
  <c r="L1501" i="1"/>
  <c r="C1633" i="1"/>
  <c r="H1523" i="1"/>
  <c r="H1634" i="1"/>
  <c r="I1553" i="1"/>
  <c r="F1469" i="1"/>
  <c r="B1422" i="1"/>
  <c r="H1516" i="1"/>
  <c r="J1483" i="1"/>
  <c r="H1393" i="1"/>
  <c r="J1440" i="1"/>
  <c r="J1458" i="1"/>
  <c r="F1487" i="1"/>
  <c r="K1427" i="1"/>
  <c r="F1451" i="1"/>
  <c r="J1408" i="1"/>
  <c r="F1415" i="1"/>
  <c r="D1522" i="1"/>
  <c r="D1498" i="1"/>
  <c r="I1430" i="1"/>
  <c r="G1599" i="1"/>
  <c r="D1476" i="1"/>
  <c r="K1453" i="1"/>
  <c r="I1519" i="1"/>
  <c r="K1481" i="1"/>
  <c r="C1482" i="1"/>
  <c r="H1549" i="1"/>
  <c r="J1451" i="1"/>
  <c r="H1389" i="1"/>
  <c r="J1436" i="1"/>
  <c r="J1454" i="1"/>
  <c r="B1536" i="1"/>
  <c r="J1418" i="1"/>
  <c r="H1530" i="1"/>
  <c r="E1591" i="1"/>
  <c r="K1544" i="1"/>
  <c r="O1481" i="1"/>
  <c r="N1445" i="1"/>
  <c r="L1575" i="1"/>
  <c r="E1513" i="1"/>
  <c r="P1507" i="1"/>
  <c r="B1420" i="1"/>
  <c r="I1533" i="1"/>
  <c r="L1455" i="1"/>
  <c r="M1559" i="1"/>
  <c r="K1531" i="1"/>
  <c r="P1451" i="1"/>
  <c r="B1516" i="1"/>
  <c r="P1415" i="1"/>
  <c r="D1471" i="1"/>
  <c r="B1563" i="1"/>
  <c r="B1531" i="1"/>
  <c r="N1476" i="1"/>
  <c r="G1507" i="1"/>
  <c r="J1572" i="1"/>
  <c r="F1502" i="1"/>
  <c r="H1442" i="1"/>
  <c r="I1655" i="1"/>
  <c r="H1470" i="1"/>
  <c r="K1462" i="1"/>
  <c r="I1482" i="1"/>
  <c r="L1419" i="1"/>
  <c r="N1483" i="1"/>
  <c r="N1508" i="1"/>
  <c r="N1447" i="1"/>
  <c r="H1497" i="1"/>
  <c r="P1577" i="1"/>
  <c r="I1446" i="1"/>
  <c r="D1488" i="1"/>
  <c r="D1643" i="1"/>
  <c r="C1474" i="1"/>
  <c r="H1520" i="1"/>
  <c r="J1420" i="1"/>
  <c r="J1438" i="1"/>
  <c r="J1448" i="1"/>
  <c r="J1466" i="1"/>
  <c r="J1497" i="1"/>
  <c r="K1743" i="1"/>
  <c r="C1602" i="1"/>
  <c r="M1679" i="1"/>
  <c r="F1628" i="1"/>
  <c r="N1728" i="1"/>
  <c r="K1664" i="1"/>
  <c r="H1527" i="1"/>
  <c r="J1620" i="1"/>
  <c r="M1546" i="1"/>
  <c r="K1721" i="1"/>
  <c r="L1687" i="1"/>
  <c r="P1636" i="1"/>
  <c r="E1696" i="1"/>
  <c r="M1602" i="1"/>
  <c r="B1672" i="1"/>
  <c r="C1595" i="1"/>
  <c r="O1501" i="1"/>
  <c r="E1537" i="1"/>
  <c r="P1593" i="1"/>
  <c r="I1592" i="1"/>
  <c r="P1464" i="1"/>
  <c r="O1630" i="1"/>
  <c r="A1571" i="1"/>
  <c r="C1549" i="1"/>
  <c r="D1682" i="1"/>
  <c r="O1472" i="1"/>
  <c r="H1556" i="1"/>
  <c r="G1472" i="1"/>
  <c r="E1504" i="1"/>
  <c r="E1496" i="1"/>
  <c r="J1625" i="1"/>
  <c r="N1656" i="1"/>
  <c r="D1530" i="1"/>
  <c r="D1462" i="1"/>
  <c r="D1458" i="1"/>
  <c r="D1450" i="1"/>
  <c r="O1600" i="1"/>
  <c r="K1660" i="1"/>
  <c r="I1653" i="1"/>
  <c r="I1509" i="1"/>
  <c r="B1509" i="1"/>
  <c r="K1579" i="1"/>
  <c r="O1498" i="1"/>
  <c r="G1517" i="1"/>
  <c r="C1542" i="1"/>
  <c r="O1633" i="1"/>
  <c r="G1505" i="1"/>
  <c r="M1623" i="1"/>
  <c r="D1678" i="1"/>
  <c r="D1614" i="1"/>
  <c r="G1560" i="1"/>
  <c r="F1527" i="1"/>
  <c r="K1584" i="1"/>
  <c r="H1706" i="1"/>
  <c r="O1464" i="1"/>
  <c r="I1594" i="1"/>
  <c r="O1711" i="1"/>
  <c r="P1538" i="1"/>
  <c r="L1508" i="1"/>
  <c r="C1753" i="1"/>
  <c r="I1658" i="1"/>
  <c r="A1699" i="1"/>
  <c r="B1619" i="1"/>
  <c r="E1658" i="1"/>
  <c r="H1603" i="1"/>
  <c r="J1605" i="1"/>
  <c r="C1521" i="1"/>
  <c r="I1579" i="1"/>
  <c r="I1518" i="1"/>
  <c r="P1568" i="1"/>
  <c r="B1670" i="1"/>
  <c r="P1500" i="1"/>
  <c r="E1600" i="1"/>
  <c r="D1625" i="1"/>
  <c r="O1581" i="1"/>
  <c r="N1529" i="1"/>
  <c r="G1569" i="1"/>
  <c r="B1497" i="1"/>
  <c r="N1545" i="1"/>
  <c r="H1429" i="1"/>
  <c r="E1559" i="1"/>
  <c r="J1364" i="1"/>
  <c r="F1435" i="1"/>
  <c r="H1659" i="1"/>
  <c r="P1470" i="1"/>
  <c r="F1420" i="1"/>
  <c r="K1343" i="1"/>
  <c r="C1504" i="1"/>
  <c r="K1568" i="1"/>
  <c r="O1590" i="1"/>
  <c r="A1548" i="1"/>
  <c r="P1520" i="1"/>
  <c r="O1509" i="1"/>
  <c r="P1480" i="1"/>
  <c r="D1501" i="1"/>
  <c r="J1515" i="1"/>
  <c r="A1414" i="1"/>
  <c r="J1597" i="1"/>
  <c r="F1463" i="1"/>
  <c r="M1518" i="1"/>
  <c r="F1495" i="1"/>
  <c r="H1437" i="1"/>
  <c r="A1464" i="1"/>
  <c r="E1459" i="1"/>
  <c r="H1534" i="1"/>
  <c r="F1503" i="1"/>
  <c r="A1570" i="1"/>
  <c r="I1572" i="1"/>
  <c r="G1541" i="1"/>
  <c r="C1461" i="1"/>
  <c r="K1517" i="1"/>
  <c r="C1489" i="1"/>
  <c r="A1442" i="1"/>
  <c r="I1590" i="1"/>
  <c r="P1487" i="1"/>
  <c r="H1430" i="1"/>
  <c r="I1456" i="1"/>
  <c r="G1468" i="1"/>
  <c r="I1420" i="1"/>
  <c r="C1418" i="1"/>
  <c r="H1590" i="1"/>
  <c r="C1581" i="1"/>
  <c r="N1517" i="1"/>
  <c r="P1537" i="1"/>
  <c r="N1477" i="1"/>
  <c r="O1445" i="1"/>
  <c r="B1424" i="1"/>
  <c r="D1636" i="1"/>
  <c r="B1452" i="1"/>
  <c r="H1560" i="1"/>
  <c r="L1487" i="1"/>
  <c r="A1438" i="1"/>
  <c r="E1548" i="1"/>
  <c r="P1483" i="1"/>
  <c r="H1426" i="1"/>
  <c r="P1447" i="1"/>
  <c r="B1508" i="1"/>
  <c r="P1589" i="1"/>
  <c r="P1533" i="1"/>
  <c r="N1524" i="1"/>
  <c r="P1671" i="1"/>
  <c r="C1517" i="1"/>
  <c r="K1644" i="1"/>
  <c r="A1427" i="1"/>
  <c r="E1472" i="1"/>
  <c r="K1470" i="1"/>
  <c r="M1563" i="1"/>
  <c r="H1329" i="1"/>
  <c r="E1516" i="1"/>
  <c r="A1519" i="1"/>
  <c r="F1423" i="1"/>
  <c r="J1380" i="1"/>
  <c r="N1502" i="1"/>
  <c r="J1344" i="1"/>
  <c r="N1539" i="1"/>
  <c r="N1527" i="1"/>
  <c r="D1448" i="1"/>
  <c r="G1501" i="1"/>
  <c r="A1493" i="1"/>
  <c r="F1471" i="1"/>
  <c r="G1514" i="1"/>
  <c r="F1500" i="1"/>
  <c r="H1688" i="1"/>
  <c r="C1421" i="1"/>
  <c r="F1484" i="1"/>
  <c r="K1407" i="1"/>
  <c r="H1584" i="1"/>
  <c r="M1472" i="1"/>
  <c r="F1481" i="1"/>
  <c r="M1436" i="1"/>
  <c r="I1479" i="1"/>
  <c r="E1519" i="1"/>
  <c r="A1475" i="1"/>
  <c r="N1444" i="1"/>
  <c r="N1587" i="1"/>
  <c r="I1490" i="1"/>
  <c r="P1467" i="1"/>
  <c r="M1571" i="1"/>
  <c r="P1495" i="1"/>
  <c r="F1620" i="1"/>
  <c r="A1419" i="1"/>
  <c r="F1674" i="1"/>
  <c r="J1646" i="1"/>
  <c r="L1662" i="1"/>
  <c r="E1622" i="1"/>
  <c r="I1617" i="1"/>
  <c r="D1637" i="1"/>
  <c r="P1769" i="1"/>
  <c r="K1629" i="1"/>
  <c r="N1556" i="1"/>
  <c r="K1650" i="1"/>
  <c r="K1509" i="1"/>
  <c r="A1669" i="1"/>
  <c r="P1686" i="1"/>
  <c r="H1614" i="1"/>
  <c r="H1602" i="1"/>
  <c r="O1732" i="1"/>
  <c r="D1561" i="1"/>
  <c r="O1663" i="1"/>
  <c r="A1627" i="1"/>
  <c r="P1440" i="1"/>
  <c r="F1529" i="1"/>
  <c r="M1565" i="1"/>
  <c r="K1661" i="1"/>
  <c r="O1506" i="1"/>
  <c r="E1536" i="1"/>
  <c r="G1614" i="1"/>
  <c r="I1496" i="1"/>
  <c r="D1482" i="1"/>
  <c r="M1498" i="1"/>
  <c r="G1602" i="1"/>
  <c r="N1677" i="1"/>
  <c r="B1589" i="1"/>
  <c r="K1526" i="1"/>
  <c r="G1571" i="1"/>
  <c r="K1565" i="1"/>
  <c r="G1555" i="1"/>
  <c r="B1585" i="1"/>
  <c r="H1622" i="1"/>
  <c r="O1559" i="1"/>
  <c r="I1502" i="1"/>
  <c r="D1556" i="1"/>
  <c r="J1513" i="1"/>
  <c r="O1492" i="1"/>
  <c r="M1489" i="1"/>
  <c r="B1557" i="1"/>
  <c r="N1420" i="1"/>
  <c r="J1589" i="1"/>
  <c r="M1633" i="1"/>
  <c r="O1567" i="1"/>
  <c r="L1512" i="1"/>
  <c r="K1594" i="1"/>
  <c r="B1600" i="1"/>
  <c r="F1592" i="1"/>
  <c r="O1605" i="1"/>
  <c r="N1460" i="1"/>
  <c r="M1457" i="1"/>
  <c r="A1585" i="1"/>
  <c r="P1528" i="1"/>
  <c r="D1508" i="1"/>
  <c r="J1600" i="1"/>
  <c r="B1521" i="1"/>
  <c r="H1650" i="1"/>
  <c r="B1513" i="1"/>
  <c r="E1637" i="1"/>
  <c r="B1682" i="1"/>
  <c r="E1633" i="1"/>
  <c r="A1647" i="1"/>
  <c r="O1602" i="1"/>
  <c r="L1621" i="1"/>
  <c r="C1569" i="1"/>
  <c r="C1458" i="1"/>
  <c r="J1518" i="1"/>
  <c r="C1454" i="1"/>
  <c r="P1499" i="1"/>
  <c r="C1446" i="1"/>
  <c r="O1586" i="1"/>
  <c r="M1477" i="1"/>
  <c r="N1370" i="1"/>
  <c r="B1649" i="1"/>
  <c r="E1564" i="1"/>
  <c r="H1526" i="1"/>
  <c r="B1486" i="1"/>
  <c r="M1645" i="1"/>
  <c r="O1453" i="1"/>
  <c r="A1440" i="1"/>
  <c r="L1511" i="1"/>
  <c r="K1572" i="1"/>
  <c r="K1437" i="1"/>
  <c r="K1491" i="1"/>
  <c r="H1417" i="1"/>
  <c r="O1457" i="1"/>
  <c r="H1532" i="1"/>
  <c r="N1610" i="1"/>
  <c r="E1473" i="1"/>
  <c r="J1641" i="1"/>
  <c r="M1488" i="1"/>
  <c r="H1619" i="1"/>
  <c r="L1547" i="1"/>
  <c r="I1432" i="1"/>
  <c r="I1626" i="1"/>
  <c r="P1466" i="1"/>
  <c r="F1416" i="1"/>
  <c r="K1339" i="1"/>
  <c r="D1548" i="1"/>
  <c r="O1533" i="1"/>
  <c r="K1639" i="1"/>
  <c r="B1463" i="1"/>
  <c r="N1708" i="1"/>
  <c r="H1672" i="1"/>
  <c r="O1608" i="1"/>
  <c r="G1663" i="1"/>
  <c r="A1630" i="1"/>
  <c r="L1636" i="1"/>
  <c r="D1577" i="1"/>
  <c r="D1661" i="1"/>
  <c r="M1574" i="1"/>
  <c r="B1629" i="1"/>
  <c r="D1504" i="1"/>
  <c r="C1610" i="1"/>
  <c r="N1651" i="1"/>
  <c r="L1526" i="1"/>
  <c r="B1659" i="1"/>
  <c r="E1606" i="1"/>
  <c r="P1476" i="1"/>
  <c r="B1550" i="1"/>
  <c r="C1573" i="1"/>
  <c r="C1584" i="1"/>
  <c r="D1578" i="1"/>
  <c r="C1589" i="1"/>
  <c r="I1530" i="1"/>
  <c r="A1632" i="1"/>
  <c r="C1601" i="1"/>
  <c r="D1470" i="1"/>
  <c r="I1538" i="1"/>
  <c r="B1583" i="1"/>
  <c r="L1574" i="1"/>
  <c r="L1566" i="1"/>
  <c r="D1442" i="1"/>
  <c r="D1438" i="1"/>
  <c r="I1586" i="1"/>
  <c r="A1498" i="1"/>
  <c r="A1494" i="1"/>
  <c r="B1483" i="1"/>
  <c r="B1575" i="1"/>
  <c r="A1534" i="1"/>
  <c r="D1623" i="1"/>
  <c r="F1559" i="1"/>
  <c r="I1501" i="1"/>
  <c r="F1512" i="1"/>
  <c r="D1464" i="1"/>
  <c r="F1579" i="1"/>
  <c r="N1558" i="1"/>
  <c r="J1512" i="1"/>
  <c r="A1447" i="1"/>
  <c r="B1553" i="1"/>
  <c r="O1617" i="1"/>
  <c r="L1502" i="1"/>
  <c r="A1617" i="1"/>
  <c r="P1522" i="1"/>
  <c r="C1466" i="1"/>
  <c r="D1466" i="1"/>
  <c r="D1432" i="1"/>
  <c r="F1547" i="1"/>
  <c r="C1486" i="1"/>
  <c r="C1592" i="1"/>
  <c r="C1478" i="1"/>
  <c r="P1672" i="1"/>
  <c r="B1511" i="1"/>
  <c r="N1648" i="1"/>
  <c r="B1503" i="1"/>
  <c r="E1602" i="1"/>
  <c r="E1596" i="1"/>
  <c r="I1575" i="1"/>
  <c r="B1579" i="1"/>
  <c r="K1554" i="1"/>
  <c r="K1533" i="1"/>
  <c r="N1428" i="1"/>
  <c r="N1571" i="1"/>
  <c r="I1474" i="1"/>
  <c r="N1567" i="1"/>
  <c r="I1470" i="1"/>
  <c r="N1559" i="1"/>
  <c r="H1596" i="1"/>
  <c r="F1567" i="1"/>
  <c r="N1649" i="1"/>
  <c r="F1499" i="1"/>
  <c r="D1454" i="1"/>
  <c r="F1586" i="1"/>
  <c r="N1597" i="1"/>
  <c r="H1439" i="1"/>
  <c r="K1514" i="1"/>
  <c r="A1437" i="1"/>
  <c r="I1443" i="1"/>
  <c r="D1494" i="1"/>
  <c r="F1566" i="1"/>
  <c r="F1513" i="1"/>
  <c r="L1470" i="1"/>
  <c r="L1438" i="1"/>
  <c r="N1494" i="1"/>
  <c r="N1523" i="1"/>
  <c r="I1426" i="1"/>
  <c r="D1551" i="1"/>
  <c r="D1459" i="1"/>
  <c r="P1431" i="1"/>
  <c r="L1516" i="1"/>
  <c r="H1467" i="1"/>
  <c r="O1437" i="1"/>
  <c r="A1436" i="1"/>
  <c r="L1503" i="1"/>
  <c r="K1556" i="1"/>
  <c r="M1461" i="1"/>
  <c r="O1644" i="1"/>
  <c r="P1498" i="1"/>
  <c r="C1532" i="1"/>
  <c r="A1568" i="1"/>
  <c r="G1496" i="1"/>
  <c r="G1434" i="1"/>
  <c r="L1579" i="1"/>
  <c r="H1333" i="1"/>
  <c r="P1459" i="1"/>
  <c r="M1539" i="1"/>
  <c r="I1428" i="1"/>
  <c r="D1581" i="1"/>
  <c r="P1462" i="1"/>
  <c r="A1576" i="1"/>
  <c r="P1426" i="1"/>
  <c r="L1551" i="1"/>
  <c r="P1509" i="1"/>
  <c r="H1472" i="1"/>
  <c r="E1579" i="1"/>
  <c r="M1496" i="1"/>
  <c r="I1540" i="1"/>
  <c r="D1539" i="1"/>
  <c r="C1429" i="1"/>
  <c r="C1562" i="1"/>
  <c r="O1665" i="1"/>
  <c r="G1628" i="1"/>
  <c r="F1694" i="1"/>
  <c r="I1606" i="1"/>
  <c r="A1551" i="1"/>
  <c r="N1747" i="1"/>
  <c r="H1646" i="1"/>
  <c r="E1561" i="1"/>
  <c r="N1641" i="1"/>
  <c r="M1504" i="1"/>
  <c r="A1657" i="1"/>
  <c r="F1648" i="1"/>
  <c r="L1660" i="1"/>
  <c r="I1659" i="1"/>
  <c r="I1531" i="1"/>
  <c r="K1511" i="1"/>
  <c r="E1562" i="1"/>
  <c r="D1546" i="1"/>
  <c r="M1626" i="1"/>
  <c r="H1535" i="1"/>
  <c r="E1530" i="1"/>
  <c r="G1530" i="1"/>
  <c r="P1620" i="1"/>
  <c r="C1668" i="1"/>
  <c r="I1506" i="1"/>
  <c r="P1492" i="1"/>
  <c r="L1450" i="1"/>
  <c r="J1613" i="1"/>
  <c r="I1559" i="1"/>
  <c r="M1544" i="1"/>
  <c r="G1539" i="1"/>
  <c r="I1560" i="1"/>
  <c r="L1613" i="1"/>
  <c r="L1598" i="1"/>
  <c r="A1695" i="1"/>
  <c r="L1552" i="1"/>
  <c r="B1577" i="1"/>
  <c r="A1592" i="1"/>
  <c r="F1549" i="1"/>
  <c r="I1498" i="1"/>
  <c r="P1535" i="1"/>
  <c r="O1433" i="1"/>
  <c r="F1569" i="1"/>
  <c r="G1523" i="1"/>
  <c r="N1378" i="1"/>
  <c r="D1585" i="1"/>
  <c r="B1543" i="1"/>
  <c r="E1638" i="1"/>
  <c r="E1588" i="1"/>
  <c r="M1566" i="1"/>
  <c r="P1512" i="1"/>
  <c r="N1579" i="1"/>
  <c r="M1576" i="1"/>
  <c r="B1431" i="1"/>
  <c r="F1537" i="1"/>
  <c r="P1611" i="1"/>
  <c r="I1507" i="1"/>
  <c r="O1591" i="1"/>
  <c r="J1628" i="1"/>
  <c r="K1562" i="1"/>
  <c r="I1649" i="1"/>
  <c r="K1530" i="1"/>
  <c r="E1612" i="1"/>
  <c r="E1534" i="1"/>
  <c r="K1601" i="1"/>
  <c r="E1526" i="1"/>
  <c r="P1595" i="1"/>
  <c r="G1521" i="1"/>
  <c r="O1530" i="1"/>
  <c r="N1561" i="1"/>
  <c r="H1445" i="1"/>
  <c r="N1557" i="1"/>
  <c r="H1441" i="1"/>
  <c r="L1548" i="1"/>
  <c r="F1624" i="1"/>
  <c r="F1557" i="1"/>
  <c r="P1627" i="1"/>
  <c r="J1601" i="1"/>
  <c r="O1452" i="1"/>
  <c r="K1495" i="1"/>
  <c r="P1556" i="1"/>
  <c r="I1573" i="1"/>
  <c r="J1476" i="1"/>
  <c r="O1494" i="1"/>
  <c r="C1572" i="1"/>
  <c r="K1463" i="1"/>
  <c r="G1448" i="1"/>
  <c r="J1550" i="1"/>
  <c r="I1495" i="1"/>
  <c r="N1581" i="1"/>
  <c r="H1465" i="1"/>
  <c r="N1513" i="1"/>
  <c r="E1523" i="1"/>
  <c r="B1488" i="1"/>
  <c r="J1332" i="1"/>
  <c r="E1543" i="1"/>
  <c r="P1534" i="1"/>
  <c r="P1438" i="1"/>
  <c r="K1506" i="1"/>
  <c r="N1421" i="1"/>
  <c r="M1437" i="1"/>
  <c r="H1490" i="1"/>
  <c r="P1536" i="1"/>
  <c r="H1493" i="1"/>
  <c r="A1557" i="1"/>
  <c r="D1554" i="1"/>
  <c r="P1448" i="1"/>
  <c r="N1467" i="1"/>
  <c r="F1457" i="1"/>
  <c r="M1495" i="1"/>
  <c r="H1504" i="1"/>
  <c r="F1431" i="1"/>
  <c r="E1566" i="1"/>
  <c r="H1463" i="1"/>
  <c r="O1421" i="1"/>
  <c r="A1432" i="1"/>
  <c r="L1601" i="1"/>
  <c r="H1413" i="1"/>
  <c r="E1489" i="1"/>
  <c r="O1549" i="1"/>
  <c r="D1514" i="1"/>
  <c r="B1570" i="1"/>
  <c r="A1467" i="1"/>
  <c r="K1553" i="1"/>
  <c r="I1545" i="1"/>
  <c r="J1532" i="1"/>
  <c r="J1540" i="1"/>
  <c r="L1427" i="1"/>
  <c r="I1558" i="1"/>
  <c r="L1531" i="1"/>
  <c r="F1427" i="1"/>
  <c r="M1595" i="1"/>
  <c r="H1459" i="1"/>
  <c r="D1570" i="1"/>
  <c r="H1423" i="1"/>
  <c r="D1573" i="1"/>
  <c r="F1551" i="1"/>
  <c r="E1587" i="1"/>
  <c r="A1572" i="1"/>
  <c r="I1587" i="1"/>
  <c r="A1504" i="1"/>
  <c r="F1432" i="1"/>
  <c r="K1355" i="1"/>
  <c r="F1460" i="1"/>
  <c r="K1383" i="1"/>
  <c r="M1521" i="1"/>
  <c r="D1451" i="1"/>
  <c r="K1567" i="1"/>
  <c r="P1488" i="1"/>
  <c r="P1525" i="1"/>
  <c r="F1441" i="1"/>
  <c r="L1475" i="1"/>
  <c r="N1448" i="1"/>
  <c r="B1547" i="1"/>
  <c r="I1512" i="1"/>
  <c r="B1525" i="1"/>
  <c r="F1553" i="1"/>
  <c r="N1604" i="1"/>
  <c r="P1446" i="1"/>
  <c r="F1561" i="1"/>
  <c r="P1474" i="1"/>
  <c r="N1427" i="1"/>
  <c r="E1453" i="1"/>
  <c r="K1473" i="1"/>
  <c r="D1415" i="1"/>
  <c r="E1539" i="1"/>
  <c r="B1438" i="1"/>
  <c r="A1521" i="1"/>
  <c r="P1545" i="1"/>
  <c r="E1437" i="1"/>
  <c r="D1492" i="1"/>
  <c r="F1608" i="1"/>
  <c r="J1651" i="1"/>
  <c r="F1531" i="1"/>
  <c r="L1593" i="1"/>
  <c r="H1443" i="1"/>
  <c r="G1664" i="1"/>
  <c r="H1471" i="1"/>
  <c r="F1424" i="1"/>
  <c r="A1687" i="1"/>
  <c r="M1636" i="1"/>
  <c r="B1586" i="1"/>
  <c r="N1607" i="1"/>
  <c r="B1526" i="1"/>
  <c r="B1690" i="1"/>
  <c r="M1570" i="1"/>
  <c r="C1679" i="1"/>
  <c r="F1530" i="1"/>
  <c r="O1593" i="1"/>
  <c r="A1574" i="1"/>
  <c r="M1693" i="1"/>
  <c r="C1764" i="1"/>
  <c r="A1451" i="1"/>
  <c r="J1579" i="1"/>
  <c r="E1586" i="1"/>
  <c r="N1620" i="1"/>
  <c r="J1603" i="1"/>
  <c r="H1598" i="1"/>
  <c r="P1504" i="1"/>
  <c r="P1460" i="1"/>
  <c r="N1643" i="1"/>
  <c r="I1554" i="1"/>
  <c r="N1676" i="1"/>
  <c r="A1606" i="1"/>
  <c r="O1468" i="1"/>
  <c r="G1480" i="1"/>
  <c r="F1623" i="1"/>
  <c r="F1635" i="1"/>
  <c r="M1603" i="1"/>
  <c r="F1591" i="1"/>
  <c r="F1587" i="1"/>
  <c r="P1436" i="1"/>
  <c r="O1460" i="1"/>
  <c r="O1456" i="1"/>
  <c r="O1540" i="1"/>
  <c r="L1542" i="1"/>
  <c r="B1567" i="1"/>
  <c r="O1657" i="1"/>
  <c r="P1544" i="1"/>
  <c r="F1555" i="1"/>
  <c r="G1585" i="1"/>
  <c r="M1624" i="1"/>
  <c r="I1526" i="1"/>
  <c r="G1513" i="1"/>
  <c r="G1642" i="1"/>
  <c r="J1634" i="1"/>
  <c r="O1647" i="1"/>
  <c r="G1597" i="1"/>
  <c r="G1633" i="1"/>
  <c r="J1593" i="1"/>
  <c r="F1509" i="1"/>
  <c r="F1523" i="1"/>
  <c r="G1553" i="1"/>
  <c r="G1651" i="1"/>
  <c r="K1515" i="1"/>
  <c r="N1589" i="1"/>
  <c r="H1473" i="1"/>
  <c r="C1604" i="1"/>
  <c r="E1630" i="1"/>
  <c r="E1598" i="1"/>
  <c r="G1659" i="1"/>
  <c r="K1588" i="1"/>
  <c r="I1600" i="1"/>
  <c r="O1565" i="1"/>
  <c r="I1525" i="1"/>
  <c r="O1557" i="1"/>
  <c r="L1517" i="1"/>
  <c r="P1493" i="1"/>
  <c r="N1386" i="1"/>
  <c r="E1644" i="1"/>
  <c r="N1652" i="1"/>
  <c r="G1670" i="1"/>
  <c r="K1621" i="1"/>
  <c r="F1599" i="1"/>
  <c r="N1525" i="1"/>
  <c r="P1562" i="1"/>
  <c r="E1550" i="1"/>
  <c r="D1629" i="1"/>
  <c r="G1456" i="1"/>
  <c r="H1369" i="1"/>
  <c r="H1494" i="1"/>
  <c r="H1397" i="1"/>
  <c r="C1576" i="1"/>
  <c r="H1466" i="1"/>
  <c r="I1492" i="1"/>
  <c r="G1594" i="1"/>
  <c r="D1598" i="1"/>
  <c r="I1580" i="1"/>
  <c r="A1552" i="1"/>
  <c r="E1665" i="1"/>
  <c r="N1338" i="1"/>
  <c r="H1571" i="1"/>
  <c r="K1543" i="1"/>
  <c r="J1527" i="1"/>
  <c r="B1454" i="1"/>
  <c r="L1625" i="1"/>
  <c r="N1342" i="1"/>
  <c r="K1480" i="1"/>
  <c r="J1472" i="1"/>
  <c r="J1490" i="1"/>
  <c r="C1556" i="1"/>
  <c r="K1459" i="1"/>
  <c r="N1354" i="1"/>
  <c r="H1502" i="1"/>
  <c r="F1473" i="1"/>
  <c r="I1583" i="1"/>
  <c r="O1424" i="1"/>
  <c r="J1507" i="1"/>
  <c r="M1456" i="1"/>
  <c r="K1571" i="1"/>
  <c r="M1484" i="1"/>
  <c r="B1558" i="1"/>
  <c r="P1502" i="1"/>
  <c r="P1434" i="1"/>
  <c r="K1498" i="1"/>
  <c r="H1412" i="1"/>
  <c r="A1462" i="1"/>
  <c r="H1376" i="1"/>
  <c r="A1426" i="1"/>
  <c r="I1555" i="1"/>
  <c r="E1576" i="1"/>
  <c r="I1647" i="1"/>
  <c r="J1576" i="1"/>
  <c r="A1536" i="1"/>
  <c r="F1464" i="1"/>
  <c r="K1387" i="1"/>
  <c r="F1492" i="1"/>
  <c r="G1418" i="1"/>
  <c r="P1427" i="1"/>
  <c r="D1483" i="1"/>
  <c r="D1597" i="1"/>
  <c r="O1578" i="1"/>
  <c r="P1430" i="1"/>
  <c r="P1456" i="1"/>
  <c r="P1517" i="1"/>
  <c r="I1491" i="1"/>
  <c r="K1547" i="1"/>
  <c r="M1507" i="1"/>
  <c r="P1452" i="1"/>
  <c r="D1478" i="1"/>
  <c r="O1476" i="1"/>
  <c r="A1545" i="1"/>
  <c r="K1422" i="1"/>
  <c r="N1431" i="1"/>
  <c r="E1461" i="1"/>
  <c r="B1480" i="1"/>
  <c r="C1450" i="1"/>
  <c r="H1533" i="1"/>
  <c r="H1440" i="1"/>
  <c r="H1385" i="1"/>
  <c r="G1428" i="1"/>
  <c r="H1349" i="1"/>
  <c r="I1494" i="1"/>
  <c r="N1535" i="1"/>
  <c r="M1516" i="1"/>
  <c r="L1580" i="1"/>
  <c r="P1558" i="1"/>
  <c r="N1374" i="1"/>
  <c r="A1416" i="1"/>
  <c r="O1469" i="1"/>
  <c r="A1444" i="1"/>
  <c r="P1565" i="1"/>
  <c r="M1416" i="1"/>
  <c r="B1444" i="1"/>
  <c r="N1531" i="1"/>
  <c r="C1477" i="1"/>
  <c r="K1560" i="1"/>
  <c r="C1441" i="1"/>
  <c r="I1570" i="1"/>
  <c r="G1554" i="1"/>
  <c r="E1503" i="1"/>
  <c r="F1589" i="1"/>
  <c r="M1582" i="1"/>
  <c r="K1658" i="1"/>
  <c r="P1588" i="1"/>
  <c r="L1632" i="1"/>
  <c r="P1566" i="1"/>
  <c r="P1442" i="1"/>
  <c r="L1519" i="1"/>
  <c r="O1597" i="1"/>
  <c r="B1539" i="1"/>
  <c r="L1509" i="1"/>
  <c r="A1523" i="1"/>
  <c r="N1463" i="1"/>
  <c r="E1527" i="1"/>
  <c r="H1431" i="1"/>
  <c r="N1425" i="1"/>
  <c r="H1381" i="1"/>
  <c r="C1611" i="1"/>
  <c r="O1428" i="1"/>
  <c r="N1472" i="1"/>
  <c r="J1514" i="1"/>
  <c r="M1420" i="1"/>
  <c r="J1499" i="1"/>
  <c r="A1434" i="1"/>
  <c r="M1527" i="1"/>
  <c r="F1541" i="1"/>
  <c r="A1508" i="1"/>
  <c r="P1548" i="1"/>
  <c r="H1396" i="1"/>
  <c r="A1469" i="1"/>
  <c r="I1503" i="1"/>
  <c r="N1480" i="1"/>
  <c r="I1450" i="1"/>
  <c r="D1420" i="1"/>
  <c r="M1579" i="1"/>
  <c r="H1611" i="1"/>
  <c r="H1508" i="1"/>
  <c r="N1358" i="1"/>
  <c r="O1448" i="1"/>
  <c r="K1610" i="1"/>
  <c r="C1417" i="1"/>
  <c r="F1480" i="1"/>
  <c r="K1403" i="1"/>
  <c r="F1444" i="1"/>
  <c r="K1367" i="1"/>
  <c r="M1572" i="1"/>
  <c r="B1476" i="1"/>
  <c r="G1460" i="1"/>
  <c r="H1372" i="1"/>
  <c r="L1513" i="1"/>
  <c r="C1359" i="1"/>
  <c r="G1492" i="1"/>
  <c r="G1412" i="1"/>
  <c r="E1378" i="1"/>
  <c r="N1348" i="1"/>
  <c r="F1363" i="1"/>
  <c r="N1418" i="1"/>
  <c r="G1445" i="1"/>
  <c r="G1377" i="1"/>
  <c r="B1429" i="1"/>
  <c r="C1475" i="1"/>
  <c r="C1387" i="1"/>
  <c r="O1367" i="1"/>
  <c r="F1514" i="1"/>
  <c r="B1404" i="1"/>
  <c r="C1339" i="1"/>
  <c r="J1356" i="1"/>
  <c r="N1411" i="1"/>
  <c r="P1473" i="1"/>
  <c r="B1299" i="1"/>
  <c r="F1498" i="1"/>
  <c r="B1388" i="1"/>
  <c r="I1328" i="1"/>
  <c r="K1527" i="1"/>
  <c r="H1623" i="1"/>
  <c r="P1580" i="1"/>
  <c r="H1484" i="1"/>
  <c r="I1434" i="1"/>
  <c r="J1414" i="1"/>
  <c r="H1512" i="1"/>
  <c r="M1406" i="1"/>
  <c r="N1365" i="1"/>
  <c r="F1510" i="1"/>
  <c r="B1320" i="1"/>
  <c r="A1384" i="1"/>
  <c r="E1276" i="1"/>
  <c r="L1429" i="1"/>
  <c r="M1377" i="1"/>
  <c r="H1347" i="1"/>
  <c r="L1383" i="1"/>
  <c r="E1389" i="1"/>
  <c r="J1354" i="1"/>
  <c r="G1482" i="1"/>
  <c r="L1347" i="1"/>
  <c r="E1353" i="1"/>
  <c r="C1366" i="1"/>
  <c r="J1485" i="1"/>
  <c r="I1332" i="1"/>
  <c r="D1417" i="1"/>
  <c r="P1411" i="1"/>
  <c r="L1339" i="1"/>
  <c r="E1475" i="1"/>
  <c r="L1413" i="1"/>
  <c r="J1445" i="1"/>
  <c r="J1383" i="1"/>
  <c r="J1484" i="1"/>
  <c r="H1353" i="1"/>
  <c r="N1475" i="1"/>
  <c r="D1467" i="1"/>
  <c r="O1455" i="1"/>
  <c r="D1369" i="1"/>
  <c r="L1497" i="1"/>
  <c r="D1431" i="1"/>
  <c r="B1390" i="1"/>
  <c r="F1352" i="1"/>
  <c r="G1322" i="1"/>
  <c r="F1482" i="1"/>
  <c r="B1356" i="1"/>
  <c r="O1484" i="1"/>
  <c r="P1519" i="1"/>
  <c r="G1485" i="1"/>
  <c r="C1321" i="1"/>
  <c r="G1420" i="1"/>
  <c r="E1490" i="1"/>
  <c r="D1411" i="1"/>
  <c r="D1285" i="1"/>
  <c r="J1487" i="1"/>
  <c r="A1380" i="1"/>
  <c r="N1345" i="1"/>
  <c r="F1468" i="1"/>
  <c r="G1469" i="1"/>
  <c r="K1549" i="1"/>
  <c r="L1451" i="1"/>
  <c r="A1491" i="1"/>
  <c r="J1479" i="1"/>
  <c r="C1568" i="1"/>
  <c r="L1533" i="1"/>
  <c r="G1429" i="1"/>
  <c r="P1362" i="1"/>
  <c r="L1386" i="1"/>
  <c r="E1445" i="1"/>
  <c r="I1373" i="1"/>
  <c r="I1569" i="1"/>
  <c r="A1396" i="1"/>
  <c r="N1357" i="1"/>
  <c r="F1446" i="1"/>
  <c r="C1411" i="1"/>
  <c r="F1365" i="1"/>
  <c r="A1254" i="1"/>
  <c r="H1573" i="1"/>
  <c r="C1363" i="1"/>
  <c r="P1592" i="1"/>
  <c r="K1430" i="1"/>
  <c r="L1472" i="1"/>
  <c r="F1330" i="1"/>
  <c r="I1218" i="1"/>
  <c r="H1541" i="1"/>
  <c r="I1352" i="1"/>
  <c r="A1465" i="1"/>
  <c r="B1458" i="1"/>
  <c r="C1467" i="1"/>
  <c r="I1388" i="1"/>
  <c r="K1443" i="1"/>
  <c r="E1494" i="1"/>
  <c r="N1493" i="1"/>
  <c r="K1559" i="1"/>
  <c r="M1474" i="1"/>
  <c r="J1403" i="1"/>
  <c r="A1383" i="1"/>
  <c r="E1420" i="1"/>
  <c r="I1396" i="1"/>
  <c r="D1358" i="1"/>
  <c r="O1234" i="1"/>
  <c r="E1406" i="1"/>
  <c r="N1376" i="1"/>
  <c r="H1522" i="1"/>
  <c r="K1398" i="1"/>
  <c r="O1360" i="1"/>
  <c r="E1345" i="1"/>
  <c r="N1492" i="1"/>
  <c r="K1362" i="1"/>
  <c r="F1404" i="1"/>
  <c r="P1293" i="1"/>
  <c r="A1549" i="1"/>
  <c r="K1551" i="1"/>
  <c r="I1473" i="1"/>
  <c r="M1428" i="1"/>
  <c r="K1354" i="1"/>
  <c r="F1396" i="1"/>
  <c r="P1285" i="1"/>
  <c r="B1477" i="1"/>
  <c r="G1447" i="1"/>
  <c r="C1565" i="1"/>
  <c r="K1411" i="1"/>
  <c r="K1540" i="1"/>
  <c r="A1456" i="1"/>
  <c r="K1439" i="1"/>
  <c r="B1362" i="1"/>
  <c r="G1440" i="1"/>
  <c r="E1294" i="1"/>
  <c r="F1454" i="1"/>
  <c r="C1448" i="1"/>
  <c r="D1374" i="1"/>
  <c r="B1442" i="1"/>
  <c r="C1435" i="1"/>
  <c r="I1372" i="1"/>
  <c r="A1569" i="1"/>
  <c r="J1367" i="1"/>
  <c r="I1359" i="1"/>
  <c r="O1263" i="1"/>
  <c r="L1485" i="1"/>
  <c r="J1331" i="1"/>
  <c r="H1403" i="1"/>
  <c r="B1460" i="1"/>
  <c r="M1370" i="1"/>
  <c r="K1472" i="1"/>
  <c r="F1315" i="1"/>
  <c r="L1477" i="1"/>
  <c r="O1482" i="1"/>
  <c r="H1395" i="1"/>
  <c r="G1432" i="1"/>
  <c r="M1447" i="1"/>
  <c r="B1371" i="1"/>
  <c r="P1274" i="1"/>
  <c r="E1500" i="1"/>
  <c r="M1513" i="1"/>
  <c r="F1445" i="1"/>
  <c r="H1404" i="1"/>
  <c r="E1424" i="1"/>
  <c r="O1401" i="1"/>
  <c r="D1362" i="1"/>
  <c r="N1416" i="1"/>
  <c r="H1491" i="1"/>
  <c r="N1590" i="1"/>
  <c r="H1569" i="1"/>
  <c r="I1601" i="1"/>
  <c r="J1610" i="1"/>
  <c r="I1541" i="1"/>
  <c r="H1380" i="1"/>
  <c r="H1586" i="1"/>
  <c r="M1674" i="1"/>
  <c r="I1529" i="1"/>
  <c r="D1444" i="1"/>
  <c r="K1475" i="1"/>
  <c r="C1597" i="1"/>
  <c r="K1438" i="1"/>
  <c r="B1552" i="1"/>
  <c r="H1562" i="1"/>
  <c r="A1525" i="1"/>
  <c r="O1480" i="1"/>
  <c r="H1506" i="1"/>
  <c r="J1470" i="1"/>
  <c r="J1500" i="1"/>
  <c r="N1553" i="1"/>
  <c r="M1531" i="1"/>
  <c r="F1476" i="1"/>
  <c r="F1440" i="1"/>
  <c r="K1569" i="1"/>
  <c r="D1500" i="1"/>
  <c r="A1450" i="1"/>
  <c r="A1478" i="1"/>
  <c r="C1642" i="1"/>
  <c r="D1468" i="1"/>
  <c r="G1504" i="1"/>
  <c r="N1451" i="1"/>
  <c r="C1520" i="1"/>
  <c r="N1415" i="1"/>
  <c r="O1436" i="1"/>
  <c r="P1590" i="1"/>
  <c r="E1681" i="1"/>
  <c r="A1544" i="1"/>
  <c r="J1446" i="1"/>
  <c r="G1590" i="1"/>
  <c r="P1341" i="1"/>
  <c r="B1407" i="1"/>
  <c r="J1456" i="1"/>
  <c r="D1383" i="1"/>
  <c r="E1487" i="1"/>
  <c r="E1308" i="1"/>
  <c r="L1461" i="1"/>
  <c r="M1409" i="1"/>
  <c r="H1379" i="1"/>
  <c r="L1418" i="1"/>
  <c r="E1447" i="1"/>
  <c r="J1386" i="1"/>
  <c r="G1254" i="1"/>
  <c r="L1379" i="1"/>
  <c r="E1385" i="1"/>
  <c r="J1350" i="1"/>
  <c r="O1550" i="1"/>
  <c r="C1375" i="1"/>
  <c r="H1574" i="1"/>
  <c r="O1218" i="1"/>
  <c r="L1371" i="1"/>
  <c r="E1377" i="1"/>
  <c r="J1342" i="1"/>
  <c r="J1477" i="1"/>
  <c r="E1483" i="1"/>
  <c r="N1538" i="1"/>
  <c r="L1479" i="1"/>
  <c r="A1458" i="1"/>
  <c r="B1500" i="1"/>
  <c r="O1487" i="1"/>
  <c r="D1401" i="1"/>
  <c r="J1614" i="1"/>
  <c r="H1446" i="1"/>
  <c r="I1457" i="1"/>
  <c r="F1384" i="1"/>
  <c r="P1273" i="1"/>
  <c r="G1534" i="1"/>
  <c r="I1441" i="1"/>
  <c r="D1486" i="1"/>
  <c r="E1425" i="1"/>
  <c r="L1460" i="1"/>
  <c r="I1333" i="1"/>
  <c r="E1457" i="1"/>
  <c r="L1476" i="1"/>
  <c r="E1474" i="1"/>
  <c r="D1317" i="1"/>
  <c r="H1568" i="1"/>
  <c r="E1455" i="1"/>
  <c r="P1380" i="1"/>
  <c r="I1418" i="1"/>
  <c r="J1588" i="1"/>
  <c r="G1453" i="1"/>
  <c r="D1309" i="1"/>
  <c r="F1465" i="1"/>
  <c r="G1369" i="1"/>
  <c r="J1508" i="1"/>
  <c r="D1519" i="1"/>
  <c r="F1518" i="1"/>
  <c r="J1340" i="1"/>
  <c r="F1426" i="1"/>
  <c r="I1384" i="1"/>
  <c r="F1345" i="1"/>
  <c r="F1496" i="1"/>
  <c r="F1390" i="1"/>
  <c r="C1335" i="1"/>
  <c r="P1250" i="1"/>
  <c r="L1355" i="1"/>
  <c r="E1361" i="1"/>
  <c r="P1501" i="1"/>
  <c r="P1360" i="1"/>
  <c r="M1475" i="1"/>
  <c r="C1308" i="1"/>
  <c r="H1341" i="1"/>
  <c r="L1493" i="1"/>
  <c r="O1388" i="1"/>
  <c r="C1272" i="1"/>
  <c r="O1467" i="1"/>
  <c r="D1381" i="1"/>
  <c r="L1480" i="1"/>
  <c r="K1391" i="1"/>
  <c r="G1430" i="1"/>
  <c r="N1440" i="1"/>
  <c r="M1543" i="1"/>
  <c r="N1406" i="1"/>
  <c r="M1464" i="1"/>
  <c r="I1467" i="1"/>
  <c r="L1431" i="1"/>
  <c r="L1506" i="1"/>
  <c r="L1567" i="1"/>
  <c r="N1435" i="1"/>
  <c r="J1459" i="1"/>
  <c r="H1361" i="1"/>
  <c r="J1426" i="1"/>
  <c r="J1412" i="1"/>
  <c r="J1376" i="1"/>
  <c r="F1625" i="1"/>
  <c r="P1603" i="1"/>
  <c r="G1643" i="1"/>
  <c r="M1481" i="1"/>
  <c r="N1491" i="1"/>
  <c r="P1423" i="1"/>
  <c r="C1553" i="1"/>
  <c r="K1503" i="1"/>
  <c r="A1635" i="1"/>
  <c r="O1417" i="1"/>
  <c r="N1366" i="1"/>
  <c r="E1441" i="1"/>
  <c r="D1484" i="1"/>
  <c r="N1455" i="1"/>
  <c r="M1505" i="1"/>
  <c r="K1465" i="1"/>
  <c r="K1429" i="1"/>
  <c r="D1621" i="1"/>
  <c r="N1577" i="1"/>
  <c r="F1439" i="1"/>
  <c r="F1467" i="1"/>
  <c r="H1507" i="1"/>
  <c r="F1452" i="1"/>
  <c r="K1375" i="1"/>
  <c r="H1492" i="1"/>
  <c r="M1440" i="1"/>
  <c r="G1488" i="1"/>
  <c r="K1552" i="1"/>
  <c r="O1485" i="1"/>
  <c r="O1520" i="1"/>
  <c r="A1490" i="1"/>
  <c r="H1418" i="1"/>
  <c r="B1560" i="1"/>
  <c r="M1353" i="1"/>
  <c r="H1542" i="1"/>
  <c r="J1474" i="1"/>
  <c r="K1374" i="1"/>
  <c r="F1421" i="1"/>
  <c r="P1305" i="1"/>
  <c r="B1433" i="1"/>
  <c r="E1486" i="1"/>
  <c r="I1392" i="1"/>
  <c r="L1378" i="1"/>
  <c r="D1489" i="1"/>
  <c r="I1365" i="1"/>
  <c r="C1639" i="1"/>
  <c r="P1513" i="1"/>
  <c r="L1428" i="1"/>
  <c r="I1329" i="1"/>
  <c r="H1578" i="1"/>
  <c r="P1365" i="1"/>
  <c r="G1458" i="1"/>
  <c r="N1453" i="1"/>
  <c r="D1441" i="1"/>
  <c r="P1477" i="1"/>
  <c r="M1467" i="1"/>
  <c r="J1523" i="1"/>
  <c r="A1412" i="1"/>
  <c r="G1498" i="1"/>
  <c r="N1464" i="1"/>
  <c r="I1427" i="1"/>
  <c r="J1372" i="1"/>
  <c r="F1458" i="1"/>
  <c r="O1490" i="1"/>
  <c r="J1379" i="1"/>
  <c r="B1446" i="1"/>
  <c r="E1446" i="1"/>
  <c r="O1377" i="1"/>
  <c r="I1170" i="1"/>
  <c r="L1387" i="1"/>
  <c r="E1393" i="1"/>
  <c r="H1415" i="1"/>
  <c r="P1400" i="1"/>
  <c r="L1354" i="1"/>
  <c r="P1258" i="1"/>
  <c r="L1467" i="1"/>
  <c r="P1356" i="1"/>
  <c r="M1443" i="1"/>
  <c r="C1304" i="1"/>
  <c r="E1501" i="1"/>
  <c r="D1413" i="1"/>
  <c r="P1521" i="1"/>
  <c r="J1548" i="1"/>
  <c r="P1348" i="1"/>
  <c r="O1412" i="1"/>
  <c r="C1296" i="1"/>
  <c r="O1459" i="1"/>
  <c r="D1373" i="1"/>
  <c r="A1529" i="1"/>
  <c r="C1528" i="1"/>
  <c r="B1432" i="1"/>
  <c r="B1462" i="1"/>
  <c r="G1414" i="1"/>
  <c r="N1384" i="1"/>
  <c r="D1408" i="1"/>
  <c r="N1454" i="1"/>
  <c r="P1485" i="1"/>
  <c r="K1476" i="1"/>
  <c r="A1512" i="1"/>
  <c r="G1427" i="1"/>
  <c r="A1496" i="1"/>
  <c r="I1542" i="1"/>
  <c r="N1387" i="1"/>
  <c r="G1473" i="1"/>
  <c r="B1275" i="1"/>
  <c r="H1488" i="1"/>
  <c r="E1421" i="1"/>
  <c r="F1402" i="1"/>
  <c r="I1254" i="1"/>
  <c r="F1438" i="1"/>
  <c r="I1400" i="1"/>
  <c r="F1357" i="1"/>
  <c r="J1467" i="1"/>
  <c r="D1469" i="1"/>
  <c r="I1419" i="1"/>
  <c r="K1499" i="1"/>
  <c r="N1443" i="1"/>
  <c r="D1435" i="1"/>
  <c r="O1423" i="1"/>
  <c r="D1337" i="1"/>
  <c r="C1459" i="1"/>
  <c r="K1435" i="1"/>
  <c r="B1358" i="1"/>
  <c r="E1551" i="1"/>
  <c r="E1290" i="1"/>
  <c r="F1450" i="1"/>
  <c r="M1423" i="1"/>
  <c r="G1464" i="1"/>
  <c r="C1506" i="1"/>
  <c r="P1432" i="1"/>
  <c r="D1289" i="1"/>
  <c r="D1509" i="1"/>
  <c r="O1462" i="1"/>
  <c r="D1347" i="1"/>
  <c r="K1333" i="1"/>
  <c r="G1493" i="1"/>
  <c r="G1337" i="1"/>
  <c r="M1419" i="1"/>
  <c r="N1439" i="1"/>
  <c r="D1407" i="1"/>
  <c r="D1331" i="1"/>
  <c r="A1320" i="1"/>
  <c r="M1425" i="1"/>
  <c r="P1388" i="1"/>
  <c r="C1596" i="1"/>
  <c r="N1585" i="1"/>
  <c r="C1473" i="1"/>
  <c r="O1504" i="1"/>
  <c r="I1423" i="1"/>
  <c r="D1327" i="1"/>
  <c r="G1389" i="1"/>
  <c r="E1280" i="1"/>
  <c r="L1433" i="1"/>
  <c r="M1381" i="1"/>
  <c r="H1351" i="1"/>
  <c r="F1594" i="1"/>
  <c r="K1402" i="1"/>
  <c r="O1364" i="1"/>
  <c r="J1429" i="1"/>
  <c r="H1364" i="1"/>
  <c r="E1482" i="1"/>
  <c r="J1385" i="1"/>
  <c r="D1515" i="1"/>
  <c r="K1458" i="1"/>
  <c r="P1409" i="1"/>
  <c r="P1346" i="1"/>
  <c r="E1362" i="1"/>
  <c r="N1332" i="1"/>
  <c r="F1347" i="1"/>
  <c r="D1499" i="1"/>
  <c r="G1497" i="1"/>
  <c r="P1393" i="1"/>
  <c r="P1338" i="1"/>
  <c r="O1486" i="1"/>
  <c r="H1394" i="1"/>
  <c r="K1596" i="1"/>
  <c r="M1476" i="1"/>
  <c r="I1548" i="1"/>
  <c r="E1525" i="1"/>
  <c r="N1426" i="1"/>
  <c r="E1466" i="1"/>
  <c r="A1388" i="1"/>
  <c r="O1416" i="1"/>
  <c r="H1455" i="1"/>
  <c r="B1582" i="1"/>
  <c r="K1478" i="1"/>
  <c r="C1457" i="1"/>
  <c r="K1563" i="1"/>
  <c r="K1524" i="1"/>
  <c r="C1422" i="1"/>
  <c r="L1499" i="1"/>
  <c r="F1675" i="1"/>
  <c r="J1591" i="1"/>
  <c r="J1504" i="1"/>
  <c r="B1502" i="1"/>
  <c r="K1539" i="1"/>
  <c r="N1518" i="1"/>
  <c r="H1427" i="1"/>
  <c r="O1512" i="1"/>
  <c r="I1442" i="1"/>
  <c r="G1655" i="1"/>
  <c r="E1594" i="1"/>
  <c r="B1549" i="1"/>
  <c r="F1456" i="1"/>
  <c r="P1515" i="1"/>
  <c r="B1472" i="1"/>
  <c r="B1436" i="1"/>
  <c r="F1534" i="1"/>
  <c r="H1525" i="1"/>
  <c r="N1680" i="1"/>
  <c r="C1646" i="1"/>
  <c r="I1436" i="1"/>
  <c r="A1472" i="1"/>
  <c r="N1423" i="1"/>
  <c r="I1447" i="1"/>
  <c r="K1469" i="1"/>
  <c r="H1577" i="1"/>
  <c r="K1433" i="1"/>
  <c r="K1487" i="1"/>
  <c r="A1448" i="1"/>
  <c r="N1499" i="1"/>
  <c r="J1471" i="1"/>
  <c r="J1404" i="1"/>
  <c r="F1490" i="1"/>
  <c r="B1372" i="1"/>
  <c r="E1451" i="1"/>
  <c r="B1524" i="1"/>
  <c r="P1457" i="1"/>
  <c r="A1441" i="1"/>
  <c r="I1202" i="1"/>
  <c r="L1434" i="1"/>
  <c r="E1479" i="1"/>
  <c r="H1558" i="1"/>
  <c r="M1338" i="1"/>
  <c r="P1392" i="1"/>
  <c r="P1290" i="1"/>
  <c r="F1497" i="1"/>
  <c r="B1395" i="1"/>
  <c r="L1350" i="1"/>
  <c r="M1404" i="1"/>
  <c r="L1417" i="1"/>
  <c r="M1365" i="1"/>
  <c r="H1335" i="1"/>
  <c r="C1433" i="1"/>
  <c r="P1384" i="1"/>
  <c r="L1342" i="1"/>
  <c r="K1345" i="1"/>
  <c r="O1491" i="1"/>
  <c r="D1405" i="1"/>
  <c r="F1428" i="1"/>
  <c r="O1432" i="1"/>
  <c r="B1464" i="1"/>
  <c r="F1494" i="1"/>
  <c r="L1331" i="1"/>
  <c r="B1423" i="1"/>
  <c r="L1381" i="1"/>
  <c r="N1486" i="1"/>
  <c r="F1542" i="1"/>
  <c r="P1369" i="1"/>
  <c r="M1665" i="1"/>
  <c r="K1474" i="1"/>
  <c r="L1492" i="1"/>
  <c r="J1368" i="1"/>
  <c r="E1435" i="1"/>
  <c r="L1424" i="1"/>
  <c r="B1307" i="1"/>
  <c r="H1582" i="1"/>
  <c r="N1383" i="1"/>
  <c r="E1462" i="1"/>
  <c r="B1271" i="1"/>
  <c r="F1470" i="1"/>
  <c r="B1332" i="1"/>
  <c r="J1395" i="1"/>
  <c r="H1518" i="1"/>
  <c r="N1375" i="1"/>
  <c r="G1441" i="1"/>
  <c r="B1263" i="1"/>
  <c r="F1430" i="1"/>
  <c r="L1583" i="1"/>
  <c r="K1418" i="1"/>
  <c r="G1558" i="1"/>
  <c r="H1483" i="1"/>
  <c r="N1554" i="1"/>
  <c r="C1447" i="1"/>
  <c r="D1379" i="1"/>
  <c r="D1269" i="1"/>
  <c r="N1498" i="1"/>
  <c r="J1343" i="1"/>
  <c r="N1417" i="1"/>
  <c r="P1418" i="1"/>
  <c r="P1364" i="1"/>
  <c r="O1518" i="1"/>
  <c r="M1493" i="1"/>
  <c r="C1343" i="1"/>
  <c r="D1481" i="1"/>
  <c r="G1364" i="1"/>
  <c r="J1457" i="1"/>
  <c r="J1399" i="1"/>
  <c r="L1420" i="1"/>
  <c r="M1463" i="1"/>
  <c r="M1483" i="1"/>
  <c r="N1396" i="1"/>
  <c r="O1470" i="1"/>
  <c r="J1449" i="1"/>
  <c r="F1389" i="1"/>
  <c r="H1474" i="1"/>
  <c r="A1594" i="1"/>
  <c r="P1475" i="1"/>
  <c r="C1585" i="1"/>
  <c r="M1517" i="1"/>
  <c r="O1341" i="1"/>
  <c r="C1416" i="1"/>
  <c r="E1456" i="1"/>
  <c r="F1326" i="1"/>
  <c r="F1397" i="1"/>
  <c r="E1297" i="1"/>
  <c r="L1323" i="1"/>
  <c r="N1408" i="1"/>
  <c r="H1373" i="1"/>
  <c r="F1570" i="1"/>
  <c r="O1392" i="1"/>
  <c r="C1276" i="1"/>
  <c r="F1525" i="1"/>
  <c r="K1394" i="1"/>
  <c r="O1356" i="1"/>
  <c r="F1329" i="1"/>
  <c r="O1435" i="1"/>
  <c r="D1349" i="1"/>
  <c r="C1491" i="1"/>
  <c r="E1477" i="1"/>
  <c r="K1386" i="1"/>
  <c r="O1510" i="1"/>
  <c r="P1317" i="1"/>
  <c r="N1520" i="1"/>
  <c r="D1587" i="1"/>
  <c r="B1562" i="1"/>
  <c r="C1453" i="1"/>
  <c r="H1408" i="1"/>
  <c r="J1564" i="1"/>
  <c r="H1478" i="1"/>
  <c r="I1489" i="1"/>
  <c r="F1388" i="1"/>
  <c r="P1277" i="1"/>
  <c r="G1550" i="1"/>
  <c r="E1507" i="1"/>
  <c r="C1355" i="1"/>
  <c r="G1476" i="1"/>
  <c r="G1455" i="1"/>
  <c r="F1354" i="1"/>
  <c r="B1548" i="1"/>
  <c r="A1348" i="1"/>
  <c r="K1468" i="1"/>
  <c r="O1331" i="1"/>
  <c r="O1440" i="1"/>
  <c r="P1404" i="1"/>
  <c r="I1387" i="1"/>
  <c r="F1517" i="1"/>
  <c r="D1351" i="1"/>
  <c r="G1405" i="1"/>
  <c r="E1292" i="1"/>
  <c r="M1429" i="1"/>
  <c r="N1393" i="1"/>
  <c r="I1379" i="1"/>
  <c r="K1425" i="1"/>
  <c r="M1402" i="1"/>
  <c r="A1352" i="1"/>
  <c r="E1584" i="1"/>
  <c r="N1510" i="1"/>
  <c r="F1472" i="1"/>
  <c r="H1482" i="1"/>
  <c r="L1469" i="1"/>
  <c r="O1426" i="1"/>
  <c r="H1387" i="1"/>
  <c r="L1459" i="1"/>
  <c r="J1450" i="1"/>
  <c r="P1484" i="1"/>
  <c r="E1469" i="1"/>
  <c r="J1447" i="1"/>
  <c r="O1589" i="1"/>
  <c r="H1579" i="1"/>
  <c r="A1505" i="1"/>
  <c r="G1424" i="1"/>
  <c r="A1595" i="1"/>
  <c r="B1593" i="1"/>
  <c r="I1463" i="1"/>
  <c r="J1439" i="1"/>
  <c r="F1505" i="1"/>
  <c r="L1483" i="1"/>
  <c r="C1505" i="1"/>
  <c r="H1576" i="1"/>
  <c r="H1591" i="1"/>
  <c r="D1580" i="1"/>
  <c r="A1482" i="1"/>
  <c r="N1522" i="1"/>
  <c r="K1445" i="1"/>
  <c r="F1437" i="1"/>
  <c r="L1447" i="1"/>
  <c r="J1584" i="1"/>
  <c r="N1543" i="1"/>
  <c r="G1595" i="1"/>
  <c r="P1526" i="1"/>
  <c r="H1401" i="1"/>
  <c r="I1521" i="1"/>
  <c r="K1347" i="1"/>
  <c r="C1524" i="1"/>
  <c r="I1593" i="1"/>
  <c r="B1440" i="1"/>
  <c r="F1595" i="1"/>
  <c r="F1550" i="1"/>
  <c r="J1503" i="1"/>
  <c r="H1485" i="1"/>
  <c r="H1552" i="1"/>
  <c r="F1447" i="1"/>
  <c r="L1594" i="1"/>
  <c r="L1363" i="1"/>
  <c r="E1369" i="1"/>
  <c r="B1556" i="1"/>
  <c r="C1552" i="1"/>
  <c r="K1583" i="1"/>
  <c r="E1418" i="1"/>
  <c r="P1358" i="1"/>
  <c r="L1382" i="1"/>
  <c r="E1567" i="1"/>
  <c r="K1415" i="1"/>
  <c r="B1350" i="1"/>
  <c r="D1453" i="1"/>
  <c r="G1403" i="1"/>
  <c r="J1360" i="1"/>
  <c r="B1419" i="1"/>
  <c r="H1513" i="1"/>
  <c r="B1303" i="1"/>
  <c r="F1506" i="1"/>
  <c r="B1396" i="1"/>
  <c r="O1333" i="1"/>
  <c r="J1352" i="1"/>
  <c r="N1407" i="1"/>
  <c r="P1441" i="1"/>
  <c r="B1295" i="1"/>
  <c r="F1462" i="1"/>
  <c r="I1596" i="1"/>
  <c r="K1351" i="1"/>
  <c r="J1510" i="1"/>
  <c r="G1542" i="1"/>
  <c r="A1507" i="1"/>
  <c r="P1461" i="1"/>
  <c r="C1431" i="1"/>
  <c r="D1301" i="1"/>
  <c r="M1417" i="1"/>
  <c r="N1377" i="1"/>
  <c r="I1367" i="1"/>
  <c r="H1447" i="1"/>
  <c r="N1405" i="1"/>
  <c r="L1358" i="1"/>
  <c r="H1589" i="1"/>
  <c r="O1385" i="1"/>
  <c r="D1350" i="1"/>
  <c r="O1226" i="1"/>
  <c r="J1489" i="1"/>
  <c r="O1337" i="1"/>
  <c r="D1449" i="1"/>
  <c r="M1503" i="1"/>
  <c r="L1343" i="1"/>
  <c r="B1540" i="1"/>
  <c r="J1568" i="1"/>
  <c r="J1481" i="1"/>
  <c r="B1572" i="1"/>
  <c r="G1500" i="1"/>
  <c r="P1395" i="1"/>
  <c r="A1429" i="1"/>
  <c r="I1549" i="1"/>
  <c r="B1448" i="1"/>
  <c r="P1573" i="1"/>
  <c r="L1471" i="1"/>
  <c r="K1597" i="1"/>
  <c r="K1410" i="1"/>
  <c r="O1372" i="1"/>
  <c r="C1256" i="1"/>
  <c r="B1469" i="1"/>
  <c r="N1496" i="1"/>
  <c r="B1328" i="1"/>
  <c r="A1616" i="1"/>
  <c r="N1391" i="1"/>
  <c r="C1483" i="1"/>
  <c r="K1523" i="1"/>
  <c r="N1318" i="1"/>
  <c r="B1391" i="1"/>
  <c r="N1316" i="1"/>
  <c r="J1502" i="1"/>
  <c r="G1385" i="1"/>
  <c r="N1349" i="1"/>
  <c r="D1503" i="1"/>
  <c r="C1479" i="1"/>
  <c r="D1403" i="1"/>
  <c r="D1281" i="1"/>
  <c r="H1476" i="1"/>
  <c r="M1374" i="1"/>
  <c r="I1455" i="1"/>
  <c r="P1497" i="1"/>
  <c r="I1480" i="1"/>
  <c r="B1430" i="1"/>
  <c r="E1382" i="1"/>
  <c r="N1352" i="1"/>
  <c r="F1367" i="1"/>
  <c r="N1422" i="1"/>
  <c r="C1455" i="1"/>
  <c r="M1382" i="1"/>
  <c r="H1588" i="1"/>
  <c r="D1527" i="1"/>
  <c r="C1495" i="1"/>
  <c r="O1526" i="1"/>
  <c r="K1466" i="1"/>
  <c r="F1410" i="1"/>
  <c r="F1260" i="1"/>
  <c r="G1436" i="1"/>
  <c r="P1511" i="1"/>
  <c r="F1338" i="1"/>
  <c r="I1222" i="1"/>
  <c r="H1557" i="1"/>
  <c r="O1357" i="1"/>
  <c r="M1497" i="1"/>
  <c r="C1426" i="1"/>
  <c r="L1440" i="1"/>
  <c r="F1322" i="1"/>
  <c r="I1214" i="1"/>
  <c r="M1478" i="1"/>
  <c r="F1409" i="1"/>
  <c r="D1480" i="1"/>
  <c r="M1547" i="1"/>
  <c r="K1455" i="1"/>
  <c r="K1395" i="1"/>
  <c r="B1450" i="1"/>
  <c r="G1457" i="1"/>
  <c r="C1383" i="1"/>
  <c r="I1174" i="1"/>
  <c r="L1391" i="1"/>
  <c r="E1397" i="1"/>
  <c r="J1362" i="1"/>
  <c r="J1433" i="1"/>
  <c r="H1368" i="1"/>
  <c r="I1493" i="1"/>
  <c r="O1443" i="1"/>
  <c r="D1357" i="1"/>
  <c r="L1539" i="1"/>
  <c r="G1328" i="1"/>
  <c r="A1565" i="1"/>
  <c r="I1574" i="1"/>
  <c r="G1417" i="1"/>
  <c r="M1460" i="1"/>
  <c r="K1358" i="1"/>
  <c r="F1400" i="1"/>
  <c r="P1289" i="1"/>
  <c r="A1533" i="1"/>
  <c r="O1558" i="1"/>
  <c r="H1420" i="1"/>
  <c r="D1463" i="1"/>
  <c r="B1398" i="1"/>
  <c r="F1360" i="1"/>
  <c r="H1517" i="1"/>
  <c r="J1348" i="1"/>
  <c r="J1428" i="1"/>
  <c r="K1451" i="1"/>
  <c r="B1441" i="1"/>
  <c r="K1518" i="1"/>
  <c r="C1403" i="1"/>
  <c r="H1540" i="1"/>
  <c r="J1511" i="1"/>
  <c r="M1487" i="1"/>
  <c r="I1287" i="1"/>
  <c r="M1466" i="1"/>
  <c r="F1393" i="1"/>
  <c r="P1439" i="1"/>
  <c r="I1469" i="1"/>
  <c r="G1373" i="1"/>
  <c r="E1268" i="1"/>
  <c r="B1492" i="1"/>
  <c r="A1376" i="1"/>
  <c r="M1519" i="1"/>
  <c r="I1320" i="1"/>
  <c r="L1481" i="1"/>
  <c r="P1541" i="1"/>
  <c r="H1399" i="1"/>
  <c r="B1428" i="1"/>
  <c r="G1365" i="1"/>
  <c r="H1432" i="1"/>
  <c r="F1311" i="1"/>
  <c r="L1441" i="1"/>
  <c r="M1389" i="1"/>
  <c r="H1359" i="1"/>
  <c r="H1270" i="1"/>
  <c r="F1571" i="1"/>
  <c r="J1464" i="1"/>
  <c r="F1479" i="1"/>
  <c r="G1452" i="1"/>
  <c r="L1395" i="1"/>
  <c r="E1401" i="1"/>
  <c r="J1366" i="1"/>
  <c r="J1437" i="1"/>
  <c r="F1373" i="1"/>
  <c r="M1591" i="1"/>
  <c r="D1506" i="1"/>
  <c r="K1575" i="1"/>
  <c r="M1424" i="1"/>
  <c r="M1452" i="1"/>
  <c r="A1573" i="1"/>
  <c r="A1466" i="1"/>
  <c r="A1430" i="1"/>
  <c r="D1517" i="1"/>
  <c r="A1609" i="1"/>
  <c r="G1565" i="1"/>
  <c r="K1421" i="1"/>
  <c r="K1449" i="1"/>
  <c r="C1485" i="1"/>
  <c r="H1357" i="1"/>
  <c r="J1422" i="1"/>
  <c r="A1503" i="1"/>
  <c r="I1438" i="1"/>
  <c r="I1517" i="1"/>
  <c r="J1452" i="1"/>
  <c r="J1480" i="1"/>
  <c r="B1416" i="1"/>
  <c r="C1449" i="1"/>
  <c r="H1321" i="1"/>
  <c r="K1399" i="1"/>
  <c r="K1538" i="1"/>
  <c r="P1584" i="1"/>
  <c r="P1516" i="1"/>
  <c r="I1571" i="1"/>
  <c r="H1392" i="1"/>
  <c r="H1599" i="1"/>
  <c r="K1441" i="1"/>
  <c r="J1496" i="1"/>
  <c r="B1564" i="1"/>
  <c r="P1561" i="1"/>
  <c r="K1442" i="1"/>
  <c r="C1430" i="1"/>
  <c r="A1476" i="1"/>
  <c r="I1452" i="1"/>
  <c r="M1499" i="1"/>
  <c r="I1516" i="1"/>
  <c r="G1491" i="1"/>
  <c r="J1602" i="1"/>
  <c r="O1359" i="1"/>
  <c r="I1459" i="1"/>
  <c r="K1440" i="1"/>
  <c r="I1399" i="1"/>
  <c r="D1547" i="1"/>
  <c r="A1344" i="1"/>
  <c r="N1397" i="1"/>
  <c r="E1444" i="1"/>
  <c r="G1506" i="1"/>
  <c r="D1386" i="1"/>
  <c r="C1262" i="1"/>
  <c r="O1566" i="1"/>
  <c r="I1380" i="1"/>
  <c r="D1346" i="1"/>
  <c r="O1222" i="1"/>
  <c r="L1375" i="1"/>
  <c r="E1381" i="1"/>
  <c r="J1346" i="1"/>
  <c r="O1534" i="1"/>
  <c r="O1369" i="1"/>
  <c r="H1564" i="1"/>
  <c r="D1342" i="1"/>
  <c r="L1335" i="1"/>
  <c r="I1552" i="1"/>
  <c r="K1477" i="1"/>
  <c r="A1428" i="1"/>
  <c r="P1422" i="1"/>
  <c r="A1452" i="1"/>
  <c r="P1340" i="1"/>
  <c r="O1404" i="1"/>
  <c r="C1288" i="1"/>
  <c r="N1504" i="1"/>
  <c r="N1586" i="1"/>
  <c r="B1392" i="1"/>
  <c r="J1384" i="1"/>
  <c r="E1467" i="1"/>
  <c r="L1456" i="1"/>
  <c r="C1537" i="1"/>
  <c r="P1381" i="1"/>
  <c r="G1329" i="1"/>
  <c r="A1329" i="1"/>
  <c r="J1606" i="1"/>
  <c r="E1499" i="1"/>
  <c r="N1385" i="1"/>
  <c r="N1432" i="1"/>
  <c r="L1444" i="1"/>
  <c r="C1463" i="1"/>
  <c r="D1313" i="1"/>
  <c r="H1536" i="1"/>
  <c r="I1425" i="1"/>
  <c r="B1375" i="1"/>
  <c r="F1436" i="1"/>
  <c r="E1458" i="1"/>
  <c r="L1535" i="1"/>
  <c r="N1563" i="1"/>
  <c r="H1454" i="1"/>
  <c r="H1345" i="1"/>
  <c r="H1496" i="1"/>
  <c r="F1558" i="1"/>
  <c r="F1370" i="1"/>
  <c r="I1238" i="1"/>
  <c r="M1438" i="1"/>
  <c r="B1359" i="1"/>
  <c r="B1493" i="1"/>
  <c r="O1497" i="1"/>
  <c r="I1348" i="1"/>
  <c r="E1535" i="1"/>
  <c r="E1517" i="1"/>
  <c r="O1446" i="1"/>
  <c r="K1482" i="1"/>
  <c r="M1303" i="1"/>
  <c r="O1471" i="1"/>
  <c r="D1385" i="1"/>
  <c r="E1531" i="1"/>
  <c r="G1462" i="1"/>
  <c r="I1461" i="1"/>
  <c r="O1384" i="1"/>
  <c r="C1268" i="1"/>
  <c r="O1463" i="1"/>
  <c r="K1534" i="1"/>
  <c r="J1506" i="1"/>
  <c r="H1487" i="1"/>
  <c r="H1451" i="1"/>
  <c r="J1488" i="1"/>
  <c r="J1430" i="1"/>
  <c r="I1645" i="1"/>
  <c r="G1562" i="1"/>
  <c r="C1510" i="1"/>
  <c r="G1444" i="1"/>
  <c r="B1568" i="1"/>
  <c r="F1455" i="1"/>
  <c r="F1419" i="1"/>
  <c r="B1496" i="1"/>
  <c r="I1576" i="1"/>
  <c r="I1508" i="1"/>
  <c r="M1523" i="1"/>
  <c r="C1425" i="1"/>
  <c r="O1574" i="1"/>
  <c r="D1479" i="1"/>
  <c r="L1507" i="1"/>
  <c r="B1466" i="1"/>
  <c r="N1449" i="1"/>
  <c r="M1473" i="1"/>
  <c r="I1440" i="1"/>
  <c r="I1468" i="1"/>
  <c r="G1512" i="1"/>
  <c r="H1553" i="1"/>
  <c r="D1443" i="1"/>
  <c r="N1562" i="1"/>
  <c r="M1583" i="1"/>
  <c r="D1416" i="1"/>
  <c r="H1461" i="1"/>
  <c r="J1396" i="1"/>
  <c r="F1539" i="1"/>
  <c r="J1498" i="1"/>
  <c r="B1588" i="1"/>
  <c r="N1521" i="1"/>
  <c r="C1445" i="1"/>
  <c r="L1529" i="1"/>
  <c r="G1570" i="1"/>
  <c r="H1583" i="1"/>
  <c r="O1542" i="1"/>
  <c r="A1460" i="1"/>
  <c r="P1454" i="1"/>
  <c r="P1482" i="1"/>
  <c r="N1373" i="1"/>
  <c r="L1334" i="1"/>
  <c r="I1322" i="1"/>
  <c r="O1419" i="1"/>
  <c r="D1333" i="1"/>
  <c r="G1449" i="1"/>
  <c r="K1431" i="1"/>
  <c r="B1354" i="1"/>
  <c r="D1485" i="1"/>
  <c r="N1414" i="1"/>
  <c r="E1434" i="1"/>
  <c r="A1372" i="1"/>
  <c r="A1361" i="1"/>
  <c r="C1497" i="1"/>
  <c r="P1373" i="1"/>
  <c r="I1505" i="1"/>
  <c r="G1573" i="1"/>
  <c r="D1473" i="1"/>
  <c r="H1521" i="1"/>
  <c r="I1325" i="1"/>
  <c r="H1546" i="1"/>
  <c r="P1357" i="1"/>
  <c r="B1427" i="1"/>
  <c r="O1546" i="1"/>
  <c r="J1493" i="1"/>
  <c r="A1540" i="1"/>
  <c r="D1419" i="1"/>
  <c r="H1486" i="1"/>
  <c r="H1377" i="1"/>
  <c r="H1572" i="1"/>
  <c r="G1586" i="1"/>
  <c r="C1419" i="1"/>
  <c r="M1319" i="1"/>
  <c r="M1470" i="1"/>
  <c r="D1398" i="1"/>
  <c r="A1379" i="1"/>
  <c r="E1416" i="1"/>
  <c r="C1391" i="1"/>
  <c r="D1354" i="1"/>
  <c r="L1425" i="1"/>
  <c r="M1373" i="1"/>
  <c r="H1343" i="1"/>
  <c r="C1401" i="1"/>
  <c r="E1509" i="1"/>
  <c r="P1424" i="1"/>
  <c r="E1429" i="1"/>
  <c r="L1435" i="1"/>
  <c r="P1352" i="1"/>
  <c r="E1423" i="1"/>
  <c r="C1300" i="1"/>
  <c r="N1495" i="1"/>
  <c r="D1409" i="1"/>
  <c r="D1477" i="1"/>
  <c r="K1359" i="1"/>
  <c r="A1415" i="1"/>
  <c r="D1446" i="1"/>
  <c r="C1481" i="1"/>
  <c r="G1579" i="1"/>
  <c r="H1544" i="1"/>
  <c r="J1441" i="1"/>
  <c r="D1378" i="1"/>
  <c r="L1555" i="1"/>
  <c r="J1401" i="1"/>
  <c r="L1430" i="1"/>
  <c r="H1386" i="1"/>
  <c r="I1405" i="1"/>
  <c r="K1555" i="1"/>
  <c r="P1325" i="1"/>
  <c r="P1396" i="1"/>
  <c r="F1478" i="1"/>
  <c r="B1348" i="1"/>
  <c r="D1406" i="1"/>
  <c r="L1270" i="1"/>
  <c r="F1442" i="1"/>
  <c r="O1405" i="1"/>
  <c r="F1361" i="1"/>
  <c r="F1477" i="1"/>
  <c r="P1505" i="1"/>
  <c r="F1394" i="1"/>
  <c r="I1250" i="1"/>
  <c r="F1434" i="1"/>
  <c r="M1536" i="1"/>
  <c r="H1448" i="1"/>
  <c r="K1335" i="1"/>
  <c r="L1439" i="1"/>
  <c r="J1516" i="1"/>
  <c r="K1378" i="1"/>
  <c r="M1439" i="1"/>
  <c r="P1309" i="1"/>
  <c r="B1437" i="1"/>
  <c r="C1498" i="1"/>
  <c r="O1397" i="1"/>
  <c r="H1524" i="1"/>
  <c r="F1453" i="1"/>
  <c r="F1429" i="1"/>
  <c r="G1524" i="1"/>
  <c r="M1390" i="1"/>
  <c r="N1353" i="1"/>
  <c r="N1284" i="1"/>
  <c r="A1513" i="1"/>
  <c r="M1342" i="1"/>
  <c r="K1436" i="1"/>
  <c r="N1471" i="1"/>
  <c r="P1416" i="1"/>
  <c r="D1339" i="1"/>
  <c r="F1324" i="1"/>
  <c r="I1483" i="1"/>
  <c r="A1332" i="1"/>
  <c r="I1411" i="1"/>
  <c r="I1471" i="1"/>
  <c r="D1335" i="1"/>
  <c r="M1394" i="1"/>
  <c r="H1581" i="1"/>
  <c r="O1594" i="1"/>
  <c r="G1578" i="1"/>
  <c r="M1432" i="1"/>
  <c r="M1421" i="1"/>
  <c r="B1383" i="1"/>
  <c r="I1371" i="1"/>
  <c r="H1479" i="1"/>
  <c r="B1411" i="1"/>
  <c r="L1362" i="1"/>
  <c r="P1266" i="1"/>
  <c r="O1447" i="1"/>
  <c r="D1361" i="1"/>
  <c r="P1433" i="1"/>
  <c r="E1402" i="1"/>
  <c r="N1372" i="1"/>
  <c r="D1392" i="1"/>
  <c r="H1346" i="1"/>
  <c r="E1366" i="1"/>
  <c r="N1336" i="1"/>
  <c r="F1351" i="1"/>
  <c r="D1507" i="1"/>
  <c r="E1417" i="1"/>
  <c r="P1401" i="1"/>
  <c r="P1342" i="1"/>
  <c r="E1358" i="1"/>
  <c r="P1581" i="1"/>
  <c r="F1343" i="1"/>
  <c r="N1462" i="1"/>
  <c r="L1436" i="1"/>
  <c r="P1321" i="1"/>
  <c r="A1423" i="1"/>
  <c r="B1468" i="1"/>
  <c r="H1580" i="1"/>
  <c r="E1448" i="1"/>
  <c r="L1390" i="1"/>
  <c r="H1537" i="1"/>
  <c r="I1377" i="1"/>
  <c r="F1501" i="1"/>
  <c r="G1401" i="1"/>
  <c r="N1361" i="1"/>
  <c r="P1471" i="1"/>
  <c r="I1513" i="1"/>
  <c r="M1378" i="1"/>
  <c r="B1426" i="1"/>
  <c r="G1425" i="1"/>
  <c r="C1367" i="1"/>
  <c r="I1162" i="1"/>
  <c r="E1484" i="1"/>
  <c r="F1366" i="1"/>
  <c r="I1465" i="1"/>
  <c r="P1238" i="1"/>
  <c r="M1422" i="1"/>
  <c r="B1343" i="1"/>
  <c r="J1410" i="1"/>
  <c r="E1468" i="1"/>
  <c r="F1350" i="1"/>
  <c r="F1413" i="1"/>
  <c r="P1230" i="1"/>
  <c r="L1399" i="1"/>
  <c r="E1405" i="1"/>
  <c r="J1370" i="1"/>
  <c r="B1538" i="1"/>
  <c r="N1459" i="1"/>
  <c r="L1443" i="1"/>
  <c r="F1459" i="1"/>
  <c r="H1419" i="1"/>
  <c r="E1560" i="1"/>
  <c r="G1509" i="1"/>
  <c r="M1575" i="1"/>
  <c r="P1455" i="1"/>
  <c r="I1424" i="1"/>
  <c r="I1510" i="1"/>
  <c r="G1494" i="1"/>
  <c r="J1626" i="1"/>
  <c r="G1511" i="1"/>
  <c r="A1480" i="1"/>
  <c r="G1520" i="1"/>
  <c r="M1480" i="1"/>
  <c r="O1525" i="1"/>
  <c r="N1659" i="1"/>
  <c r="M1661" i="1"/>
  <c r="I1522" i="1"/>
  <c r="F1563" i="1"/>
  <c r="H1475" i="1"/>
  <c r="H1509" i="1"/>
  <c r="K1379" i="1"/>
  <c r="M1444" i="1"/>
  <c r="I1551" i="1"/>
  <c r="L1591" i="1"/>
  <c r="G1575" i="1"/>
  <c r="N1402" i="1"/>
  <c r="N1334" i="1"/>
  <c r="O1554" i="1"/>
  <c r="H1469" i="1"/>
  <c r="K1467" i="1"/>
  <c r="K1454" i="1"/>
  <c r="I1466" i="1"/>
  <c r="L1415" i="1"/>
  <c r="D1436" i="1"/>
  <c r="A1492" i="1"/>
  <c r="G1559" i="1"/>
  <c r="M1448" i="1"/>
  <c r="M1468" i="1"/>
  <c r="H1409" i="1"/>
  <c r="J1328" i="1"/>
  <c r="N1399" i="1"/>
  <c r="C1514" i="1"/>
  <c r="B1287" i="1"/>
  <c r="M1509" i="1"/>
  <c r="I1336" i="1"/>
  <c r="A1411" i="1"/>
  <c r="E1452" i="1"/>
  <c r="D1319" i="1"/>
  <c r="J1391" i="1"/>
  <c r="L1457" i="1"/>
  <c r="M1405" i="1"/>
  <c r="H1375" i="1"/>
  <c r="H1286" i="1"/>
  <c r="L1421" i="1"/>
  <c r="M1369" i="1"/>
  <c r="H1339" i="1"/>
  <c r="C1465" i="1"/>
  <c r="N1389" i="1"/>
  <c r="L1346" i="1"/>
  <c r="M1372" i="1"/>
  <c r="G1648" i="1"/>
  <c r="M1361" i="1"/>
  <c r="H1331" i="1"/>
  <c r="A1484" i="1"/>
  <c r="P1344" i="1"/>
  <c r="C1561" i="1"/>
  <c r="O1595" i="1"/>
  <c r="B1434" i="1"/>
  <c r="H1554" i="1"/>
  <c r="J1473" i="1"/>
  <c r="C1444" i="1"/>
  <c r="G1435" i="1"/>
  <c r="P1363" i="1"/>
  <c r="E1346" i="1"/>
  <c r="N1429" i="1"/>
  <c r="F1331" i="1"/>
  <c r="E1580" i="1"/>
  <c r="P1389" i="1"/>
  <c r="M1334" i="1"/>
  <c r="F1522" i="1"/>
  <c r="B1412" i="1"/>
  <c r="I1344" i="1"/>
  <c r="L1302" i="1"/>
  <c r="F1474" i="1"/>
  <c r="B1340" i="1"/>
  <c r="F1401" i="1"/>
  <c r="H1550" i="1"/>
  <c r="N1379" i="1"/>
  <c r="C1451" i="1"/>
  <c r="B1267" i="1"/>
  <c r="F1466" i="1"/>
  <c r="B1324" i="1"/>
  <c r="D1390" i="1"/>
  <c r="P1549" i="1"/>
  <c r="D1437" i="1"/>
  <c r="G1600" i="1"/>
  <c r="E1433" i="1"/>
  <c r="P1553" i="1"/>
  <c r="O1496" i="1"/>
  <c r="J1455" i="1"/>
  <c r="A1364" i="1"/>
  <c r="N1333" i="1"/>
  <c r="F1475" i="1"/>
  <c r="A1392" i="1"/>
  <c r="G1341" i="1"/>
  <c r="E1349" i="1"/>
  <c r="B1528" i="1"/>
  <c r="O1478" i="1"/>
  <c r="J1475" i="1"/>
  <c r="L1351" i="1"/>
  <c r="E1357" i="1"/>
  <c r="C1382" i="1"/>
  <c r="C1460" i="1"/>
  <c r="D1531" i="1"/>
  <c r="N1400" i="1"/>
  <c r="L1329" i="1"/>
  <c r="J1453" i="1"/>
  <c r="D1394" i="1"/>
  <c r="H1505" i="1"/>
  <c r="D1426" i="1"/>
  <c r="M1451" i="1"/>
  <c r="B1520" i="1"/>
  <c r="P1496" i="1"/>
  <c r="D1439" i="1"/>
  <c r="L1494" i="1"/>
  <c r="O1538" i="1"/>
  <c r="P1489" i="1"/>
  <c r="C1480" i="1"/>
  <c r="I1206" i="1"/>
  <c r="G1466" i="1"/>
  <c r="L1527" i="1"/>
  <c r="J1394" i="1"/>
  <c r="J1465" i="1"/>
  <c r="D1410" i="1"/>
  <c r="L1484" i="1"/>
  <c r="O1475" i="1"/>
  <c r="D1389" i="1"/>
  <c r="G1431" i="1"/>
  <c r="M1271" i="1"/>
  <c r="O1439" i="1"/>
  <c r="D1353" i="1"/>
  <c r="O1508" i="1"/>
  <c r="H1468" i="1"/>
  <c r="K1390" i="1"/>
  <c r="O1352" i="1"/>
  <c r="H1322" i="1"/>
  <c r="O1431" i="1"/>
  <c r="D1345" i="1"/>
  <c r="G1481" i="1"/>
  <c r="K1522" i="1"/>
  <c r="K1350" i="1"/>
  <c r="F1392" i="1"/>
  <c r="F1508" i="1"/>
  <c r="A1511" i="1"/>
  <c r="J1492" i="1"/>
  <c r="N1546" i="1"/>
  <c r="N1512" i="1"/>
  <c r="K1450" i="1"/>
  <c r="B1400" i="1"/>
  <c r="J1388" i="1"/>
  <c r="A1509" i="1"/>
  <c r="L1488" i="1"/>
  <c r="B1315" i="1"/>
  <c r="F1418" i="1"/>
  <c r="O1373" i="1"/>
  <c r="A1422" i="1"/>
  <c r="C1415" i="1"/>
  <c r="D1355" i="1"/>
  <c r="K1349" i="1"/>
  <c r="H1498" i="1"/>
  <c r="D1359" i="1"/>
  <c r="M1410" i="1"/>
  <c r="E1296" i="1"/>
  <c r="I1435" i="1"/>
  <c r="B1399" i="1"/>
  <c r="I1383" i="1"/>
  <c r="H1460" i="1"/>
  <c r="D1343" i="1"/>
  <c r="A1400" i="1"/>
  <c r="E1288" i="1"/>
  <c r="N1514" i="1"/>
  <c r="J1351" i="1"/>
  <c r="I1565" i="1"/>
  <c r="F1488" i="1"/>
  <c r="P1458" i="1"/>
  <c r="C1437" i="1"/>
  <c r="I1476" i="1"/>
  <c r="M1354" i="1"/>
  <c r="P1408" i="1"/>
  <c r="P1302" i="1"/>
  <c r="O1483" i="1"/>
  <c r="D1397" i="1"/>
  <c r="E1495" i="1"/>
  <c r="H1438" i="1"/>
  <c r="H1428" i="1"/>
  <c r="F1380" i="1"/>
  <c r="N1478" i="1"/>
  <c r="G1451" i="1"/>
  <c r="P1353" i="1"/>
  <c r="A1481" i="1"/>
  <c r="N1442" i="1"/>
  <c r="C1522" i="1"/>
  <c r="G1409" i="1"/>
  <c r="A1389" i="1"/>
  <c r="L1402" i="1"/>
  <c r="E1532" i="1"/>
  <c r="I1389" i="1"/>
  <c r="N1434" i="1"/>
  <c r="C1487" i="1"/>
  <c r="M1398" i="1"/>
  <c r="A1381" i="1"/>
  <c r="H1510" i="1"/>
  <c r="G1475" i="1"/>
  <c r="I1349" i="1"/>
  <c r="I1544" i="1"/>
  <c r="H1436" i="1"/>
  <c r="J1482" i="1"/>
  <c r="A1424" i="1"/>
  <c r="J1392" i="1"/>
  <c r="B1330" i="1"/>
  <c r="E1563" i="1"/>
  <c r="E1319" i="1"/>
  <c r="F1422" i="1"/>
  <c r="C1379" i="1"/>
  <c r="F1341" i="1"/>
  <c r="D1391" i="1"/>
  <c r="M1413" i="1"/>
  <c r="O1396" i="1"/>
  <c r="N1550" i="1"/>
  <c r="L1380" i="1"/>
  <c r="J1417" i="1"/>
  <c r="E1354" i="1"/>
  <c r="L1446" i="1"/>
  <c r="P1377" i="1"/>
  <c r="I1341" i="1"/>
  <c r="N1628" i="1"/>
  <c r="M1490" i="1"/>
  <c r="G1489" i="1"/>
  <c r="F1414" i="1"/>
  <c r="O1345" i="1"/>
  <c r="J1435" i="1"/>
  <c r="N1390" i="1"/>
  <c r="G1421" i="1"/>
  <c r="F1590" i="1"/>
  <c r="I1363" i="1"/>
  <c r="J1387" i="1"/>
  <c r="C1319" i="1"/>
  <c r="B1347" i="1"/>
  <c r="E1476" i="1"/>
  <c r="P1428" i="1"/>
  <c r="M1418" i="1"/>
  <c r="J1406" i="1"/>
  <c r="C1407" i="1"/>
  <c r="O1242" i="1"/>
  <c r="K1535" i="1"/>
  <c r="J1478" i="1"/>
  <c r="F1521" i="1"/>
  <c r="H1355" i="1"/>
  <c r="H1444" i="1"/>
  <c r="N1380" i="1"/>
  <c r="M1412" i="1"/>
  <c r="O1493" i="1"/>
  <c r="J1339" i="1"/>
  <c r="H1411" i="1"/>
  <c r="M1430" i="1"/>
  <c r="B1351" i="1"/>
  <c r="D1430" i="1"/>
  <c r="H1238" i="1"/>
  <c r="L1411" i="1"/>
  <c r="A1425" i="1"/>
  <c r="J1382" i="1"/>
  <c r="E1436" i="1"/>
  <c r="E1427" i="1"/>
  <c r="J1375" i="1"/>
  <c r="O1250" i="1"/>
  <c r="L1403" i="1"/>
  <c r="E1409" i="1"/>
  <c r="J1374" i="1"/>
  <c r="L1521" i="1"/>
  <c r="I1364" i="1"/>
  <c r="F1485" i="1"/>
  <c r="M1511" i="1"/>
  <c r="F1516" i="1"/>
  <c r="K1370" i="1"/>
  <c r="P1345" i="1"/>
  <c r="N1341" i="1"/>
  <c r="G1467" i="1"/>
  <c r="G1312" i="1"/>
  <c r="K1201" i="1"/>
  <c r="L1368" i="1"/>
  <c r="M1244" i="1"/>
  <c r="C1362" i="1"/>
  <c r="B1373" i="1"/>
  <c r="O1387" i="1"/>
  <c r="G1257" i="1"/>
  <c r="P1406" i="1"/>
  <c r="B1337" i="1"/>
  <c r="C1301" i="1"/>
  <c r="E1161" i="1"/>
  <c r="K1412" i="1"/>
  <c r="M1375" i="1"/>
  <c r="J1321" i="1"/>
  <c r="P1301" i="1"/>
  <c r="J1552" i="1"/>
  <c r="D1263" i="1"/>
  <c r="N1481" i="1"/>
  <c r="F1486" i="1"/>
  <c r="I1391" i="1"/>
  <c r="E1260" i="1"/>
  <c r="A1360" i="1"/>
  <c r="P1306" i="1"/>
  <c r="L1310" i="1"/>
  <c r="C1165" i="1"/>
  <c r="D1332" i="1"/>
  <c r="K1326" i="1"/>
  <c r="J1353" i="1"/>
  <c r="K1309" i="1"/>
  <c r="C1235" i="1"/>
  <c r="C1106" i="1"/>
  <c r="G1470" i="1"/>
  <c r="K1273" i="1"/>
  <c r="C1199" i="1"/>
  <c r="N1355" i="1"/>
  <c r="C1356" i="1"/>
  <c r="D1292" i="1"/>
  <c r="J1211" i="1"/>
  <c r="H1314" i="1"/>
  <c r="L1296" i="1"/>
  <c r="C1307" i="1"/>
  <c r="M1286" i="1"/>
  <c r="J1273" i="1"/>
  <c r="M1431" i="1"/>
  <c r="E1325" i="1"/>
  <c r="O1442" i="1"/>
  <c r="J1329" i="1"/>
  <c r="K1285" i="1"/>
  <c r="C1211" i="1"/>
  <c r="N1487" i="1"/>
  <c r="E1365" i="1"/>
  <c r="H1293" i="1"/>
  <c r="B1481" i="1"/>
  <c r="D1341" i="1"/>
  <c r="I1210" i="1"/>
  <c r="E1515" i="1"/>
  <c r="M1387" i="1"/>
  <c r="G1355" i="1"/>
  <c r="C1312" i="1"/>
  <c r="I1266" i="1"/>
  <c r="D1275" i="1"/>
  <c r="L1154" i="1"/>
  <c r="E1270" i="1"/>
  <c r="J1317" i="1"/>
  <c r="O1319" i="1"/>
  <c r="N1252" i="1"/>
  <c r="A1373" i="1"/>
  <c r="A1362" i="1"/>
  <c r="P1308" i="1"/>
  <c r="A1127" i="1"/>
  <c r="A1343" i="1"/>
  <c r="F1313" i="1"/>
  <c r="M1251" i="1"/>
  <c r="E1226" i="1"/>
  <c r="D1290" i="1"/>
  <c r="F1273" i="1"/>
  <c r="P1383" i="1"/>
  <c r="E1286" i="1"/>
  <c r="C1342" i="1"/>
  <c r="I1350" i="1"/>
  <c r="I1537" i="1"/>
  <c r="O1516" i="1"/>
  <c r="A1190" i="1"/>
  <c r="M1450" i="1"/>
  <c r="P1417" i="1"/>
  <c r="I1178" i="1"/>
  <c r="K1384" i="1"/>
  <c r="M1355" i="1"/>
  <c r="N1299" i="1"/>
  <c r="B1279" i="1"/>
  <c r="A1323" i="1"/>
  <c r="M1324" i="1"/>
  <c r="E1309" i="1"/>
  <c r="F1336" i="1"/>
  <c r="B1285" i="1"/>
  <c r="K1287" i="1"/>
  <c r="H1166" i="1"/>
  <c r="E1439" i="1"/>
  <c r="O1298" i="1"/>
  <c r="P1276" i="1"/>
  <c r="O1232" i="1"/>
  <c r="D1298" i="1"/>
  <c r="F1281" i="1"/>
  <c r="M1219" i="1"/>
  <c r="J1347" i="1"/>
  <c r="E1438" i="1"/>
  <c r="N1470" i="1"/>
  <c r="I1246" i="1"/>
  <c r="E1470" i="1"/>
  <c r="K1372" i="1"/>
  <c r="C1336" i="1"/>
  <c r="D1272" i="1"/>
  <c r="J1191" i="1"/>
  <c r="J1293" i="1"/>
  <c r="L1276" i="1"/>
  <c r="C1287" i="1"/>
  <c r="M1240" i="1"/>
  <c r="I1485" i="1"/>
  <c r="K1325" i="1"/>
  <c r="H1308" i="1"/>
  <c r="N1257" i="1"/>
  <c r="E1271" i="1"/>
  <c r="O1524" i="1"/>
  <c r="B1256" i="1"/>
  <c r="G1321" i="1"/>
  <c r="N1261" i="1"/>
  <c r="C1354" i="1"/>
  <c r="C1318" i="1"/>
  <c r="H1269" i="1"/>
  <c r="C1237" i="1"/>
  <c r="M1415" i="1"/>
  <c r="H1229" i="1"/>
  <c r="J1269" i="1"/>
  <c r="I1390" i="1"/>
  <c r="E1320" i="1"/>
  <c r="O1257" i="1"/>
  <c r="A1351" i="1"/>
  <c r="K1366" i="1"/>
  <c r="F1526" i="1"/>
  <c r="A1597" i="1"/>
  <c r="L1397" i="1"/>
  <c r="N1312" i="1"/>
  <c r="O1278" i="1"/>
  <c r="M1344" i="1"/>
  <c r="G1181" i="1"/>
  <c r="D1278" i="1"/>
  <c r="C1440" i="1"/>
  <c r="N1335" i="1"/>
  <c r="L1254" i="1"/>
  <c r="J1258" i="1"/>
  <c r="P1355" i="1"/>
  <c r="O1383" i="1"/>
  <c r="L1218" i="1"/>
  <c r="K1189" i="1"/>
  <c r="L1356" i="1"/>
  <c r="M1196" i="1"/>
  <c r="L1377" i="1"/>
  <c r="B1361" i="1"/>
  <c r="E1480" i="1"/>
  <c r="D1375" i="1"/>
  <c r="O1361" i="1"/>
  <c r="P1329" i="1"/>
  <c r="J1407" i="1"/>
  <c r="O1293" i="1"/>
  <c r="K1233" i="1"/>
  <c r="J1409" i="1"/>
  <c r="F1310" i="1"/>
  <c r="M1293" i="1"/>
  <c r="P1420" i="1"/>
  <c r="B1294" i="1"/>
  <c r="B1187" i="1"/>
  <c r="L1409" i="1"/>
  <c r="B1369" i="1"/>
  <c r="O1355" i="1"/>
  <c r="J1242" i="1"/>
  <c r="H1350" i="1"/>
  <c r="M1407" i="1"/>
  <c r="C1265" i="1"/>
  <c r="E1304" i="1"/>
  <c r="I1286" i="1"/>
  <c r="D1295" i="1"/>
  <c r="L1189" i="1"/>
  <c r="E1318" i="1"/>
  <c r="K1369" i="1"/>
  <c r="I1382" i="1"/>
  <c r="L1134" i="1"/>
  <c r="C1394" i="1"/>
  <c r="D1384" i="1"/>
  <c r="B1270" i="1"/>
  <c r="K1457" i="1"/>
  <c r="D1268" i="1"/>
  <c r="I1354" i="1"/>
  <c r="M1479" i="1"/>
  <c r="B1403" i="1"/>
  <c r="G1463" i="1"/>
  <c r="D1380" i="1"/>
  <c r="J1421" i="1"/>
  <c r="E1390" i="1"/>
  <c r="D1465" i="1"/>
  <c r="I1448" i="1"/>
  <c r="F1335" i="1"/>
  <c r="A1454" i="1"/>
  <c r="G1423" i="1"/>
  <c r="K1502" i="1"/>
  <c r="D1434" i="1"/>
  <c r="O1393" i="1"/>
  <c r="K1633" i="1"/>
  <c r="E1460" i="1"/>
  <c r="A1420" i="1"/>
  <c r="O1400" i="1"/>
  <c r="E1497" i="1"/>
  <c r="B1384" i="1"/>
  <c r="H1410" i="1"/>
  <c r="K1388" i="1"/>
  <c r="H1374" i="1"/>
  <c r="N1438" i="1"/>
  <c r="A1404" i="1"/>
  <c r="L1398" i="1"/>
  <c r="I1385" i="1"/>
  <c r="P1413" i="1"/>
  <c r="A1345" i="1"/>
  <c r="B1470" i="1"/>
  <c r="H1450" i="1"/>
  <c r="J1423" i="1"/>
  <c r="I1360" i="1"/>
  <c r="O1451" i="1"/>
  <c r="D1371" i="1"/>
  <c r="E1404" i="1"/>
  <c r="B1465" i="1"/>
  <c r="L1464" i="1"/>
  <c r="J1320" i="1"/>
  <c r="L1410" i="1"/>
  <c r="H1378" i="1"/>
  <c r="I1397" i="1"/>
  <c r="K1356" i="1"/>
  <c r="L1374" i="1"/>
  <c r="D1457" i="1"/>
  <c r="I1361" i="1"/>
  <c r="D1559" i="1"/>
  <c r="H1561" i="1"/>
  <c r="G1361" i="1"/>
  <c r="A1353" i="1"/>
  <c r="O1646" i="1"/>
  <c r="G1516" i="1"/>
  <c r="I1353" i="1"/>
  <c r="H1514" i="1"/>
  <c r="P1349" i="1"/>
  <c r="P1412" i="1"/>
  <c r="E1356" i="1"/>
  <c r="G1397" i="1"/>
  <c r="F1412" i="1"/>
  <c r="A1449" i="1"/>
  <c r="D1277" i="1"/>
  <c r="K1464" i="1"/>
  <c r="B1401" i="1"/>
  <c r="J1357" i="1"/>
  <c r="K1313" i="1"/>
  <c r="C1239" i="1"/>
  <c r="K1373" i="1"/>
  <c r="A1318" i="1"/>
  <c r="G1379" i="1"/>
  <c r="I1267" i="1"/>
  <c r="G1299" i="1"/>
  <c r="A1282" i="1"/>
  <c r="N1298" i="1"/>
  <c r="N1327" i="1"/>
  <c r="I1318" i="1"/>
  <c r="L1300" i="1"/>
  <c r="C1311" i="1"/>
  <c r="I1331" i="1"/>
  <c r="K1357" i="1"/>
  <c r="E1392" i="1"/>
  <c r="L1423" i="1"/>
  <c r="B1364" i="1"/>
  <c r="O1295" i="1"/>
  <c r="O1522" i="1"/>
  <c r="O1450" i="1"/>
  <c r="I1242" i="1"/>
  <c r="H1366" i="1"/>
  <c r="O1434" i="1"/>
  <c r="C1277" i="1"/>
  <c r="N1325" i="1"/>
  <c r="I1298" i="1"/>
  <c r="D1307" i="1"/>
  <c r="I1219" i="1"/>
  <c r="C1280" i="1"/>
  <c r="I1262" i="1"/>
  <c r="D1271" i="1"/>
  <c r="L1150" i="1"/>
  <c r="F1391" i="1"/>
  <c r="B1281" i="1"/>
  <c r="G1426" i="1"/>
  <c r="A1159" i="1"/>
  <c r="G1305" i="1"/>
  <c r="A1288" i="1"/>
  <c r="N1235" i="1"/>
  <c r="N1260" i="1"/>
  <c r="E1322" i="1"/>
  <c r="F1305" i="1"/>
  <c r="M1243" i="1"/>
  <c r="P1294" i="1"/>
  <c r="I1274" i="1"/>
  <c r="D1283" i="1"/>
  <c r="L1165" i="1"/>
  <c r="K1423" i="1"/>
  <c r="E1414" i="1"/>
  <c r="B1489" i="1"/>
  <c r="D1377" i="1"/>
  <c r="N1356" i="1"/>
  <c r="A1409" i="1"/>
  <c r="M1345" i="1"/>
  <c r="B1313" i="1"/>
  <c r="H1323" i="1"/>
  <c r="O1255" i="1"/>
  <c r="B1264" i="1"/>
  <c r="E1172" i="1"/>
  <c r="F1274" i="1"/>
  <c r="H1294" i="1"/>
  <c r="I1308" i="1"/>
  <c r="D1248" i="1"/>
  <c r="G1211" i="1"/>
  <c r="M1283" i="1"/>
  <c r="N1297" i="1"/>
  <c r="C1228" i="1"/>
  <c r="M1191" i="1"/>
  <c r="I1249" i="1"/>
  <c r="E1363" i="1"/>
  <c r="D1322" i="1"/>
  <c r="P1195" i="1"/>
  <c r="C1472" i="1"/>
  <c r="H1607" i="1"/>
  <c r="H1383" i="1"/>
  <c r="J1461" i="1"/>
  <c r="J1425" i="1"/>
  <c r="E1394" i="1"/>
  <c r="H1352" i="1"/>
  <c r="K1488" i="1"/>
  <c r="E1485" i="1"/>
  <c r="A1600" i="1"/>
  <c r="E1595" i="1"/>
  <c r="I1368" i="1"/>
  <c r="C1476" i="1"/>
  <c r="C1399" i="1"/>
  <c r="A1391" i="1"/>
  <c r="L1746" i="1"/>
  <c r="C1500" i="1"/>
  <c r="J1469" i="1"/>
  <c r="E1547" i="1"/>
  <c r="E1342" i="1"/>
  <c r="F1604" i="1"/>
  <c r="F1376" i="1"/>
  <c r="I1511" i="1"/>
  <c r="C1493" i="1"/>
  <c r="B1453" i="1"/>
  <c r="K1432" i="1"/>
  <c r="B1370" i="1"/>
  <c r="E1302" i="1"/>
  <c r="G1433" i="1"/>
  <c r="M1318" i="1"/>
  <c r="I1484" i="1"/>
  <c r="K1419" i="1"/>
  <c r="P1405" i="1"/>
  <c r="I1345" i="1"/>
  <c r="E1410" i="1"/>
  <c r="O1368" i="1"/>
  <c r="I1234" i="1"/>
  <c r="M1434" i="1"/>
  <c r="B1355" i="1"/>
  <c r="E1575" i="1"/>
  <c r="G1381" i="1"/>
  <c r="M1330" i="1"/>
  <c r="P1324" i="1"/>
  <c r="H1548" i="1"/>
  <c r="G1333" i="1"/>
  <c r="B1387" i="1"/>
  <c r="P1286" i="1"/>
  <c r="L1449" i="1"/>
  <c r="M1397" i="1"/>
  <c r="H1367" i="1"/>
  <c r="I1487" i="1"/>
  <c r="G1490" i="1"/>
  <c r="P1376" i="1"/>
  <c r="P1278" i="1"/>
  <c r="B1576" i="1"/>
  <c r="M1357" i="1"/>
  <c r="L1523" i="1"/>
  <c r="I1321" i="1"/>
  <c r="M1346" i="1"/>
  <c r="I1523" i="1"/>
  <c r="E1330" i="1"/>
  <c r="A1561" i="1"/>
  <c r="F1385" i="1"/>
  <c r="I1337" i="1"/>
  <c r="I1302" i="1"/>
  <c r="D1311" i="1"/>
  <c r="A1235" i="1"/>
  <c r="C1365" i="1"/>
  <c r="L1315" i="1"/>
  <c r="O1231" i="1"/>
  <c r="J1252" i="1"/>
  <c r="J1296" i="1"/>
  <c r="L1279" i="1"/>
  <c r="O1195" i="1"/>
  <c r="J1216" i="1"/>
  <c r="G1309" i="1"/>
  <c r="A1292" i="1"/>
  <c r="N1239" i="1"/>
  <c r="L1290" i="1"/>
  <c r="A1267" i="1"/>
  <c r="M1459" i="1"/>
  <c r="I1403" i="1"/>
  <c r="P1298" i="1"/>
  <c r="L1319" i="1"/>
  <c r="E1398" i="1"/>
  <c r="H1356" i="1"/>
  <c r="N1360" i="1"/>
  <c r="P1385" i="1"/>
  <c r="P1529" i="1"/>
  <c r="H1539" i="1"/>
  <c r="E1426" i="1"/>
  <c r="F1346" i="1"/>
  <c r="I1404" i="1"/>
  <c r="A1395" i="1"/>
  <c r="I1182" i="1"/>
  <c r="K1507" i="1"/>
  <c r="F1334" i="1"/>
  <c r="L1327" i="1"/>
  <c r="L1365" i="1"/>
  <c r="G1483" i="1"/>
  <c r="D1493" i="1"/>
  <c r="B1376" i="1"/>
  <c r="B1457" i="1"/>
  <c r="A1473" i="1"/>
  <c r="B1374" i="1"/>
  <c r="E1306" i="1"/>
  <c r="P1449" i="1"/>
  <c r="J1400" i="1"/>
  <c r="G1439" i="1"/>
  <c r="F1585" i="1"/>
  <c r="M1564" i="1"/>
  <c r="C1555" i="1"/>
  <c r="M1385" i="1"/>
  <c r="P1270" i="1"/>
  <c r="G1437" i="1"/>
  <c r="F1362" i="1"/>
  <c r="L1396" i="1"/>
  <c r="B1415" i="1"/>
  <c r="H1382" i="1"/>
  <c r="N1530" i="1"/>
  <c r="B1382" i="1"/>
  <c r="F1344" i="1"/>
  <c r="E1314" i="1"/>
  <c r="A1477" i="1"/>
  <c r="B1346" i="1"/>
  <c r="D1421" i="1"/>
  <c r="G1371" i="1"/>
  <c r="B1421" i="1"/>
  <c r="E1454" i="1"/>
  <c r="I1376" i="1"/>
  <c r="D1422" i="1"/>
  <c r="B1338" i="1"/>
  <c r="G1471" i="1"/>
  <c r="K1330" i="1"/>
  <c r="B1494" i="1"/>
  <c r="B1380" i="1"/>
  <c r="C1494" i="1"/>
  <c r="L1286" i="1"/>
  <c r="E1380" i="1"/>
  <c r="J1443" i="1"/>
  <c r="H1402" i="1"/>
  <c r="I1475" i="1"/>
  <c r="F1371" i="1"/>
  <c r="O1303" i="1"/>
  <c r="B1300" i="1"/>
  <c r="E1208" i="1"/>
  <c r="M1308" i="1"/>
  <c r="K1229" i="1"/>
  <c r="L1404" i="1"/>
  <c r="F1278" i="1"/>
  <c r="L1190" i="1"/>
  <c r="K1193" i="1"/>
  <c r="L1360" i="1"/>
  <c r="M1212" i="1"/>
  <c r="A1255" i="1"/>
  <c r="J1237" i="1"/>
  <c r="E1399" i="1"/>
  <c r="C1192" i="1"/>
  <c r="H1342" i="1"/>
  <c r="M1403" i="1"/>
  <c r="C1261" i="1"/>
  <c r="A1488" i="1"/>
  <c r="L1515" i="1"/>
  <c r="J1363" i="1"/>
  <c r="G1357" i="1"/>
  <c r="O1376" i="1"/>
  <c r="H1302" i="1"/>
  <c r="J1272" i="1"/>
  <c r="A1386" i="1"/>
  <c r="O1171" i="1"/>
  <c r="O1289" i="1"/>
  <c r="C1193" i="1"/>
  <c r="D1360" i="1"/>
  <c r="H1185" i="1"/>
  <c r="L1298" i="1"/>
  <c r="G1308" i="1"/>
  <c r="F1578" i="1"/>
  <c r="M1274" i="1"/>
  <c r="A1226" i="1"/>
  <c r="A1249" i="1"/>
  <c r="O1362" i="1"/>
  <c r="M1194" i="1"/>
  <c r="C1384" i="1"/>
  <c r="A1322" i="1"/>
  <c r="J1239" i="1"/>
  <c r="L1325" i="1"/>
  <c r="C1344" i="1"/>
  <c r="D1280" i="1"/>
  <c r="J1199" i="1"/>
  <c r="L1314" i="1"/>
  <c r="C1169" i="1"/>
  <c r="D1336" i="1"/>
  <c r="H1161" i="1"/>
  <c r="C1502" i="1"/>
  <c r="H1500" i="1"/>
  <c r="B1368" i="1"/>
  <c r="L1448" i="1"/>
  <c r="C1439" i="1"/>
  <c r="A1206" i="1"/>
  <c r="J1249" i="1"/>
  <c r="E1411" i="1"/>
  <c r="C1204" i="1"/>
  <c r="H1358" i="1"/>
  <c r="O1418" i="1"/>
  <c r="C1273" i="1"/>
  <c r="I1132" i="1"/>
  <c r="G1422" i="1"/>
  <c r="M1379" i="1"/>
  <c r="E1326" i="1"/>
  <c r="N1207" i="1"/>
  <c r="K1328" i="1"/>
  <c r="C1346" i="1"/>
  <c r="O1411" i="1"/>
  <c r="P1354" i="1"/>
  <c r="B1277" i="1"/>
  <c r="K1385" i="1"/>
  <c r="A1155" i="1"/>
  <c r="A1349" i="1"/>
  <c r="H1319" i="1"/>
  <c r="P1296" i="1"/>
  <c r="A1115" i="1"/>
  <c r="H1326" i="1"/>
  <c r="M1391" i="1"/>
  <c r="G1387" i="1"/>
  <c r="N1458" i="1"/>
  <c r="H1416" i="1"/>
  <c r="A1367" i="1"/>
  <c r="B1352" i="1"/>
  <c r="G1393" i="1"/>
  <c r="A1174" i="1"/>
  <c r="C1290" i="1"/>
  <c r="E1379" i="1"/>
  <c r="C1172" i="1"/>
  <c r="I1477" i="1"/>
  <c r="M1383" i="1"/>
  <c r="O1336" i="1"/>
  <c r="H1218" i="1"/>
  <c r="K1376" i="1"/>
  <c r="M1347" i="1"/>
  <c r="N1291" i="1"/>
  <c r="D1150" i="1"/>
  <c r="F1316" i="1"/>
  <c r="H1299" i="1"/>
  <c r="A1305" i="1"/>
  <c r="A1369" i="1"/>
  <c r="E1340" i="1"/>
  <c r="P1304" i="1"/>
  <c r="N1398" i="1"/>
  <c r="P1368" i="1"/>
  <c r="F1355" i="1"/>
  <c r="C1424" i="1"/>
  <c r="K1564" i="1"/>
  <c r="P1313" i="1"/>
  <c r="A1198" i="1"/>
  <c r="A1229" i="1"/>
  <c r="O1342" i="1"/>
  <c r="C1255" i="1"/>
  <c r="C1364" i="1"/>
  <c r="D1300" i="1"/>
  <c r="J1219" i="1"/>
  <c r="A1347" i="1"/>
  <c r="C1328" i="1"/>
  <c r="D1264" i="1"/>
  <c r="J1183" i="1"/>
  <c r="F1337" i="1"/>
  <c r="P1279" i="1"/>
  <c r="I1277" i="1"/>
  <c r="G1157" i="1"/>
  <c r="E1299" i="1"/>
  <c r="G1282" i="1"/>
  <c r="H1268" i="1"/>
  <c r="E1191" i="1"/>
  <c r="E1259" i="1"/>
  <c r="G1336" i="1"/>
  <c r="O1243" i="1"/>
  <c r="C1282" i="1"/>
  <c r="C1340" i="1"/>
  <c r="D1276" i="1"/>
  <c r="J1195" i="1"/>
  <c r="N1479" i="1"/>
  <c r="K1434" i="1"/>
  <c r="M1555" i="1"/>
  <c r="B1402" i="1"/>
  <c r="C1347" i="1"/>
  <c r="P1379" i="1"/>
  <c r="F1296" i="1"/>
  <c r="H1279" i="1"/>
  <c r="A1285" i="1"/>
  <c r="A1333" i="1"/>
  <c r="O1306" i="1"/>
  <c r="P1284" i="1"/>
  <c r="E1274" i="1"/>
  <c r="N1304" i="1"/>
  <c r="O1270" i="1"/>
  <c r="K1275" i="1"/>
  <c r="G1165" i="1"/>
  <c r="O1287" i="1"/>
  <c r="B1288" i="1"/>
  <c r="E1196" i="1"/>
  <c r="F1299" i="1"/>
  <c r="K1217" i="1"/>
  <c r="L1388" i="1"/>
  <c r="I1409" i="1"/>
  <c r="J1524" i="1"/>
  <c r="F1377" i="1"/>
  <c r="N1430" i="1"/>
  <c r="B1413" i="1"/>
  <c r="N1272" i="1"/>
  <c r="K1361" i="1"/>
  <c r="E1240" i="1"/>
  <c r="N1363" i="1"/>
  <c r="C1267" i="1"/>
  <c r="P1371" i="1"/>
  <c r="M1280" i="1"/>
  <c r="L1222" i="1"/>
  <c r="K1225" i="1"/>
  <c r="F1399" i="1"/>
  <c r="E1329" i="1"/>
  <c r="L1186" i="1"/>
  <c r="I1315" i="1"/>
  <c r="L1324" i="1"/>
  <c r="E1235" i="1"/>
  <c r="P1390" i="1"/>
  <c r="B1329" i="1"/>
  <c r="C1293" i="1"/>
  <c r="I1152" i="1"/>
  <c r="H1334" i="1"/>
  <c r="M1395" i="1"/>
  <c r="I1433" i="1"/>
  <c r="I1295" i="1"/>
  <c r="K1237" i="1"/>
  <c r="F1417" i="1"/>
  <c r="K1256" i="1"/>
  <c r="A1287" i="1"/>
  <c r="P1315" i="1"/>
  <c r="E1312" i="1"/>
  <c r="H1405" i="1"/>
  <c r="F1405" i="1"/>
  <c r="H1360" i="1"/>
  <c r="N1364" i="1"/>
  <c r="E1450" i="1"/>
  <c r="G1533" i="1"/>
  <c r="N1490" i="1"/>
  <c r="H1464" i="1"/>
  <c r="G1353" i="1"/>
  <c r="F1333" i="1"/>
  <c r="A1399" i="1"/>
  <c r="I1186" i="1"/>
  <c r="C1518" i="1"/>
  <c r="K1496" i="1"/>
  <c r="B1331" i="1"/>
  <c r="P1429" i="1"/>
  <c r="D1297" i="1"/>
  <c r="P1372" i="1"/>
  <c r="M1462" i="1"/>
  <c r="A1371" i="1"/>
  <c r="M1426" i="1"/>
  <c r="P1414" i="1"/>
  <c r="F1358" i="1"/>
  <c r="P1234" i="1"/>
  <c r="B1339" i="1"/>
  <c r="E1428" i="1"/>
  <c r="D1366" i="1"/>
  <c r="F1593" i="1"/>
  <c r="N1570" i="1"/>
  <c r="G1526" i="1"/>
  <c r="E1422" i="1"/>
  <c r="O1238" i="1"/>
  <c r="K1406" i="1"/>
  <c r="K1510" i="1"/>
  <c r="F1443" i="1"/>
  <c r="M1386" i="1"/>
  <c r="A1336" i="1"/>
  <c r="E1488" i="1"/>
  <c r="F1374" i="1"/>
  <c r="K1512" i="1"/>
  <c r="P1242" i="1"/>
  <c r="E1440" i="1"/>
  <c r="O1458" i="1"/>
  <c r="F1381" i="1"/>
  <c r="P1254" i="1"/>
  <c r="L1407" i="1"/>
  <c r="E1413" i="1"/>
  <c r="J1378" i="1"/>
  <c r="E1432" i="1"/>
  <c r="I1412" i="1"/>
  <c r="D1370" i="1"/>
  <c r="O1246" i="1"/>
  <c r="L1367" i="1"/>
  <c r="E1373" i="1"/>
  <c r="H1344" i="1"/>
  <c r="I1556" i="1"/>
  <c r="B1544" i="1"/>
  <c r="J1427" i="1"/>
  <c r="K1452" i="1"/>
  <c r="D1399" i="1"/>
  <c r="E1412" i="1"/>
  <c r="O1297" i="1"/>
  <c r="C1197" i="1"/>
  <c r="D1364" i="1"/>
  <c r="H1189" i="1"/>
  <c r="J1389" i="1"/>
  <c r="C1464" i="1"/>
  <c r="G1296" i="1"/>
  <c r="C1138" i="1"/>
  <c r="J1349" i="1"/>
  <c r="K1305" i="1"/>
  <c r="C1231" i="1"/>
  <c r="M1262" i="1"/>
  <c r="C1388" i="1"/>
  <c r="A1327" i="1"/>
  <c r="J1243" i="1"/>
  <c r="G1259" i="1"/>
  <c r="G1340" i="1"/>
  <c r="G1407" i="1"/>
  <c r="D1455" i="1"/>
  <c r="P1425" i="1"/>
  <c r="I1355" i="1"/>
  <c r="D1497" i="1"/>
  <c r="P1437" i="1"/>
  <c r="A1238" i="1"/>
  <c r="K1169" i="1"/>
  <c r="L1336" i="1"/>
  <c r="L1228" i="1"/>
  <c r="D1412" i="1"/>
  <c r="B1341" i="1"/>
  <c r="C1305" i="1"/>
  <c r="E1169" i="1"/>
  <c r="H1354" i="1"/>
  <c r="M1411" i="1"/>
  <c r="C1269" i="1"/>
  <c r="I1128" i="1"/>
  <c r="K1368" i="1"/>
  <c r="M1343" i="1"/>
  <c r="N1287" i="1"/>
  <c r="I1198" i="1"/>
  <c r="J1309" i="1"/>
  <c r="K1311" i="1"/>
  <c r="L1220" i="1"/>
  <c r="P1326" i="1"/>
  <c r="B1269" i="1"/>
  <c r="M1337" i="1"/>
  <c r="A1147" i="1"/>
  <c r="H1370" i="1"/>
  <c r="O1466" i="1"/>
  <c r="C1281" i="1"/>
  <c r="I1140" i="1"/>
  <c r="F1398" i="1"/>
  <c r="C1484" i="1"/>
  <c r="B1495" i="1"/>
  <c r="C1264" i="1"/>
  <c r="D1445" i="1"/>
  <c r="H1330" i="1"/>
  <c r="C1400" i="1"/>
  <c r="I1394" i="1"/>
  <c r="N1255" i="1"/>
  <c r="G1271" i="1"/>
  <c r="A1489" i="1"/>
  <c r="N1270" i="1"/>
  <c r="M1304" i="1"/>
  <c r="K1323" i="1"/>
  <c r="L1304" i="1"/>
  <c r="C1315" i="1"/>
  <c r="F1270" i="1"/>
  <c r="K1397" i="1"/>
  <c r="H1318" i="1"/>
  <c r="H1304" i="1"/>
  <c r="H1328" i="1"/>
  <c r="H1327" i="1"/>
  <c r="D1257" i="1"/>
  <c r="E1223" i="1"/>
  <c r="M1267" i="1"/>
  <c r="N1285" i="1"/>
  <c r="C1216" i="1"/>
  <c r="M1179" i="1"/>
  <c r="C1373" i="1"/>
  <c r="B1317" i="1"/>
  <c r="M1332" i="1"/>
  <c r="K1548" i="1"/>
  <c r="I1395" i="1"/>
  <c r="B1414" i="1"/>
  <c r="E1368" i="1"/>
  <c r="L1416" i="1"/>
  <c r="K1404" i="1"/>
  <c r="C1368" i="1"/>
  <c r="D1304" i="1"/>
  <c r="J1223" i="1"/>
  <c r="M1329" i="1"/>
  <c r="L1308" i="1"/>
  <c r="F1319" i="1"/>
  <c r="F1302" i="1"/>
  <c r="J1289" i="1"/>
  <c r="L1272" i="1"/>
  <c r="C1414" i="1"/>
  <c r="M1224" i="1"/>
  <c r="E1303" i="1"/>
  <c r="G1286" i="1"/>
  <c r="H1272" i="1"/>
  <c r="M1279" i="1"/>
  <c r="N1293" i="1"/>
  <c r="C1224" i="1"/>
  <c r="P1419" i="1"/>
  <c r="L1330" i="1"/>
  <c r="I1445" i="1"/>
  <c r="L1543" i="1"/>
  <c r="F1318" i="1"/>
  <c r="D1261" i="1"/>
  <c r="K1344" i="1"/>
  <c r="M1323" i="1"/>
  <c r="N1267" i="1"/>
  <c r="G1380" i="1"/>
  <c r="B1289" i="1"/>
  <c r="K1291" i="1"/>
  <c r="H1174" i="1"/>
  <c r="A1397" i="1"/>
  <c r="A1394" i="1"/>
  <c r="P1312" i="1"/>
  <c r="A1131" i="1"/>
  <c r="N1296" i="1"/>
  <c r="O1266" i="1"/>
  <c r="K1263" i="1"/>
  <c r="B1158" i="1"/>
  <c r="D1266" i="1"/>
  <c r="G1372" i="1"/>
  <c r="G1346" i="1"/>
  <c r="L1242" i="1"/>
  <c r="K1241" i="1"/>
  <c r="G1442" i="1"/>
  <c r="K1288" i="1"/>
  <c r="G1522" i="1"/>
  <c r="B1265" i="1"/>
  <c r="A1326" i="1"/>
  <c r="A1143" i="1"/>
  <c r="K1461" i="1"/>
  <c r="G1396" i="1"/>
  <c r="B1410" i="1"/>
  <c r="N1392" i="1"/>
  <c r="D1323" i="1"/>
  <c r="O1311" i="1"/>
  <c r="E1283" i="1"/>
  <c r="G1266" i="1"/>
  <c r="K1294" i="1"/>
  <c r="M1400" i="1"/>
  <c r="N1273" i="1"/>
  <c r="C1402" i="1"/>
  <c r="M1167" i="1"/>
  <c r="H1289" i="1"/>
  <c r="C1253" i="1"/>
  <c r="P1339" i="1"/>
  <c r="H1245" i="1"/>
  <c r="O1399" i="1"/>
  <c r="C1185" i="1"/>
  <c r="D1352" i="1"/>
  <c r="H1177" i="1"/>
  <c r="J1373" i="1"/>
  <c r="M1340" i="1"/>
  <c r="K1587" i="1"/>
  <c r="O1409" i="1"/>
  <c r="A1363" i="1"/>
  <c r="L1394" i="1"/>
  <c r="E1284" i="1"/>
  <c r="M1396" i="1"/>
  <c r="C1229" i="1"/>
  <c r="D1404" i="1"/>
  <c r="H1221" i="1"/>
  <c r="J1334" i="1"/>
  <c r="J1298" i="1"/>
  <c r="P1185" i="1"/>
  <c r="L1180" i="1"/>
  <c r="L1384" i="1"/>
  <c r="G1391" i="1"/>
  <c r="I1276" i="1"/>
  <c r="C1134" i="1"/>
  <c r="G1438" i="1"/>
  <c r="K1269" i="1"/>
  <c r="C1195" i="1"/>
  <c r="G1291" i="1"/>
  <c r="A1274" i="1"/>
  <c r="N1290" i="1"/>
  <c r="G1370" i="1"/>
  <c r="C1405" i="1"/>
  <c r="J1322" i="1"/>
  <c r="M1348" i="1"/>
  <c r="K1312" i="1"/>
  <c r="L1400" i="1"/>
  <c r="J1274" i="1"/>
  <c r="P1161" i="1"/>
  <c r="G1450" i="1"/>
  <c r="I1313" i="1"/>
  <c r="P1382" i="1"/>
  <c r="I1444" i="1"/>
  <c r="O1479" i="1"/>
  <c r="N1404" i="1"/>
  <c r="N1368" i="1"/>
  <c r="G1461" i="1"/>
  <c r="D1376" i="1"/>
  <c r="K1417" i="1"/>
  <c r="E1350" i="1"/>
  <c r="P1397" i="1"/>
  <c r="D1363" i="1"/>
  <c r="I1226" i="1"/>
  <c r="I1190" i="1"/>
  <c r="B1474" i="1"/>
  <c r="M1446" i="1"/>
  <c r="L1545" i="1"/>
  <c r="D1402" i="1"/>
  <c r="P1336" i="1"/>
  <c r="C1284" i="1"/>
  <c r="F1493" i="1"/>
  <c r="E1338" i="1"/>
  <c r="N1534" i="1"/>
  <c r="L1406" i="1"/>
  <c r="I1393" i="1"/>
  <c r="O1500" i="1"/>
  <c r="A1385" i="1"/>
  <c r="K1519" i="1"/>
  <c r="D1630" i="1"/>
  <c r="M1350" i="1"/>
  <c r="P1478" i="1"/>
  <c r="H1528" i="1"/>
  <c r="I1535" i="1"/>
  <c r="G1443" i="1"/>
  <c r="A1486" i="1"/>
  <c r="G1487" i="1"/>
  <c r="N1329" i="1"/>
  <c r="D1423" i="1"/>
  <c r="B1386" i="1"/>
  <c r="F1348" i="1"/>
  <c r="N1446" i="1"/>
  <c r="P1421" i="1"/>
  <c r="E1415" i="1"/>
  <c r="A1393" i="1"/>
  <c r="D1575" i="1"/>
  <c r="C1423" i="1"/>
  <c r="M1366" i="1"/>
  <c r="A1357" i="1"/>
  <c r="L1370" i="1"/>
  <c r="D1425" i="1"/>
  <c r="I1357" i="1"/>
  <c r="D1543" i="1"/>
  <c r="C1452" i="1"/>
  <c r="A1356" i="1"/>
  <c r="E1528" i="1"/>
  <c r="F1574" i="1"/>
  <c r="P1445" i="1"/>
  <c r="O1391" i="1"/>
  <c r="I1499" i="1"/>
  <c r="F1554" i="1"/>
  <c r="P1350" i="1"/>
  <c r="N1466" i="1"/>
  <c r="P1557" i="1"/>
  <c r="B1259" i="1"/>
  <c r="H1424" i="1"/>
  <c r="B1345" i="1"/>
  <c r="C1309" i="1"/>
  <c r="C1398" i="1"/>
  <c r="E1344" i="1"/>
  <c r="I1453" i="1"/>
  <c r="G1133" i="1"/>
  <c r="D1293" i="1"/>
  <c r="I1294" i="1"/>
  <c r="D1303" i="1"/>
  <c r="O1208" i="1"/>
  <c r="I1230" i="1"/>
  <c r="J1313" i="1"/>
  <c r="K1315" i="1"/>
  <c r="N1236" i="1"/>
  <c r="C1393" i="1"/>
  <c r="F1320" i="1"/>
  <c r="M1297" i="1"/>
  <c r="B1394" i="1"/>
  <c r="K1416" i="1"/>
  <c r="K1489" i="1"/>
  <c r="E1256" i="1"/>
  <c r="H1391" i="1"/>
  <c r="H1362" i="1"/>
  <c r="J1325" i="1"/>
  <c r="K1281" i="1"/>
  <c r="C1207" i="1"/>
  <c r="G1303" i="1"/>
  <c r="A1286" i="1"/>
  <c r="N1302" i="1"/>
  <c r="N1359" i="1"/>
  <c r="G1267" i="1"/>
  <c r="A1398" i="1"/>
  <c r="N1266" i="1"/>
  <c r="M1272" i="1"/>
  <c r="J1285" i="1"/>
  <c r="L1268" i="1"/>
  <c r="A1382" i="1"/>
  <c r="H1282" i="1"/>
  <c r="I1300" i="1"/>
  <c r="D1240" i="1"/>
  <c r="G1179" i="1"/>
  <c r="M1311" i="1"/>
  <c r="N1317" i="1"/>
  <c r="C1248" i="1"/>
  <c r="M1211" i="1"/>
  <c r="G1279" i="1"/>
  <c r="A1262" i="1"/>
  <c r="N1278" i="1"/>
  <c r="L1293" i="1"/>
  <c r="I1340" i="1"/>
  <c r="P1585" i="1"/>
  <c r="B1406" i="1"/>
  <c r="K1426" i="1"/>
  <c r="C1432" i="1"/>
  <c r="B1311" i="1"/>
  <c r="M1328" i="1"/>
  <c r="I1334" i="1"/>
  <c r="L1126" i="1"/>
  <c r="J1268" i="1"/>
  <c r="A1354" i="1"/>
  <c r="O1167" i="1"/>
  <c r="J1188" i="1"/>
  <c r="G1313" i="1"/>
  <c r="A1296" i="1"/>
  <c r="N1243" i="1"/>
  <c r="E1289" i="1"/>
  <c r="D1302" i="1"/>
  <c r="F1285" i="1"/>
  <c r="M1223" i="1"/>
  <c r="A1218" i="1"/>
  <c r="A1245" i="1"/>
  <c r="O1358" i="1"/>
  <c r="O1335" i="1"/>
  <c r="A1166" i="1"/>
  <c r="L1465" i="1"/>
  <c r="P1332" i="1"/>
  <c r="L1452" i="1"/>
  <c r="C1471" i="1"/>
  <c r="B1381" i="1"/>
  <c r="P1370" i="1"/>
  <c r="H1325" i="1"/>
  <c r="D1433" i="1"/>
  <c r="F1582" i="1"/>
  <c r="K1504" i="1"/>
  <c r="A1222" i="1"/>
  <c r="B1478" i="1"/>
  <c r="M1482" i="1"/>
  <c r="F1406" i="1"/>
  <c r="C1526" i="1"/>
  <c r="J1398" i="1"/>
  <c r="D1418" i="1"/>
  <c r="P1347" i="1"/>
  <c r="L1414" i="1"/>
  <c r="D1414" i="1"/>
  <c r="P1265" i="1"/>
  <c r="B1378" i="1"/>
  <c r="E1310" i="1"/>
  <c r="P1481" i="1"/>
  <c r="K1471" i="1"/>
  <c r="N1500" i="1"/>
  <c r="E1592" i="1"/>
  <c r="O1365" i="1"/>
  <c r="H1515" i="1"/>
  <c r="J1491" i="1"/>
  <c r="L1437" i="1"/>
  <c r="L1366" i="1"/>
  <c r="H1400" i="1"/>
  <c r="M1358" i="1"/>
  <c r="P1465" i="1"/>
  <c r="E1492" i="1"/>
  <c r="F1382" i="1"/>
  <c r="O1329" i="1"/>
  <c r="L1489" i="1"/>
  <c r="J1335" i="1"/>
  <c r="H1407" i="1"/>
  <c r="I1319" i="1"/>
  <c r="L1453" i="1"/>
  <c r="M1401" i="1"/>
  <c r="H1371" i="1"/>
  <c r="H1480" i="1"/>
  <c r="A1328" i="1"/>
  <c r="N1381" i="1"/>
  <c r="P1282" i="1"/>
  <c r="L1445" i="1"/>
  <c r="M1393" i="1"/>
  <c r="H1363" i="1"/>
  <c r="G1538" i="1"/>
  <c r="B1379" i="1"/>
  <c r="L1338" i="1"/>
  <c r="K1329" i="1"/>
  <c r="P1490" i="1"/>
  <c r="F1533" i="1"/>
  <c r="N1474" i="1"/>
  <c r="L1468" i="1"/>
  <c r="E1443" i="1"/>
  <c r="P1366" i="1"/>
  <c r="G1307" i="1"/>
  <c r="A1290" i="1"/>
  <c r="N1306" i="1"/>
  <c r="C1409" i="1"/>
  <c r="C1338" i="1"/>
  <c r="E1236" i="1"/>
  <c r="N1331" i="1"/>
  <c r="O1291" i="1"/>
  <c r="B1292" i="1"/>
  <c r="E1200" i="1"/>
  <c r="O1351" i="1"/>
  <c r="H1290" i="1"/>
  <c r="I1304" i="1"/>
  <c r="D1244" i="1"/>
  <c r="G1195" i="1"/>
  <c r="G1284" i="1"/>
  <c r="L1495" i="1"/>
  <c r="K1224" i="1"/>
  <c r="G1349" i="1"/>
  <c r="D1393" i="1"/>
  <c r="L1337" i="1"/>
  <c r="P1386" i="1"/>
  <c r="F1375" i="1"/>
  <c r="K1494" i="1"/>
  <c r="C1540" i="1"/>
  <c r="K1456" i="1"/>
  <c r="A1340" i="1"/>
  <c r="K1446" i="1"/>
  <c r="B1482" i="1"/>
  <c r="M1486" i="1"/>
  <c r="E1478" i="1"/>
  <c r="B1367" i="1"/>
  <c r="K1331" i="1"/>
  <c r="E1360" i="1"/>
  <c r="N1412" i="1"/>
  <c r="N1482" i="1"/>
  <c r="P1361" i="1"/>
  <c r="D1461" i="1"/>
  <c r="H1261" i="1"/>
  <c r="K1532" i="1"/>
  <c r="K1479" i="1"/>
  <c r="I1597" i="1"/>
  <c r="B1449" i="1"/>
  <c r="O1413" i="1"/>
  <c r="B1334" i="1"/>
  <c r="G1323" i="1"/>
  <c r="D1447" i="1"/>
  <c r="P1486" i="1"/>
  <c r="G1566" i="1"/>
  <c r="G1345" i="1"/>
  <c r="G1484" i="1"/>
  <c r="D1365" i="1"/>
  <c r="P1402" i="1"/>
  <c r="N1450" i="1"/>
  <c r="P1453" i="1"/>
  <c r="I1437" i="1"/>
  <c r="B1461" i="1"/>
  <c r="L1432" i="1"/>
  <c r="K1520" i="1"/>
  <c r="O1309" i="1"/>
  <c r="B1425" i="1"/>
  <c r="G1465" i="1"/>
  <c r="O1381" i="1"/>
  <c r="A1445" i="1"/>
  <c r="B1342" i="1"/>
  <c r="G1508" i="1"/>
  <c r="K1346" i="1"/>
  <c r="B1417" i="1"/>
  <c r="C1443" i="1"/>
  <c r="C1371" i="1"/>
  <c r="J1336" i="1"/>
  <c r="N1403" i="1"/>
  <c r="L1571" i="1"/>
  <c r="B1291" i="1"/>
  <c r="C1469" i="1"/>
  <c r="J1442" i="1"/>
  <c r="G1419" i="1"/>
  <c r="D1395" i="1"/>
  <c r="O1408" i="1"/>
  <c r="M1376" i="1"/>
  <c r="J1304" i="1"/>
  <c r="L1287" i="1"/>
  <c r="O1203" i="1"/>
  <c r="M1364" i="1"/>
  <c r="C1225" i="1"/>
  <c r="P1398" i="1"/>
  <c r="H1217" i="1"/>
  <c r="O1285" i="1"/>
  <c r="C1189" i="1"/>
  <c r="D1356" i="1"/>
  <c r="H1181" i="1"/>
  <c r="I1284" i="1"/>
  <c r="B1233" i="1"/>
  <c r="O1394" i="1"/>
  <c r="M1226" i="1"/>
  <c r="K1420" i="1"/>
  <c r="K1265" i="1"/>
  <c r="A1350" i="1"/>
  <c r="F1328" i="1"/>
  <c r="N1409" i="1"/>
  <c r="M1362" i="1"/>
  <c r="L1473" i="1"/>
  <c r="F1339" i="1"/>
  <c r="O1259" i="1"/>
  <c r="B1268" i="1"/>
  <c r="E1176" i="1"/>
  <c r="F1306" i="1"/>
  <c r="K1197" i="1"/>
  <c r="L1364" i="1"/>
  <c r="M1228" i="1"/>
  <c r="E1332" i="1"/>
  <c r="K1161" i="1"/>
  <c r="L1328" i="1"/>
  <c r="G1246" i="1"/>
  <c r="G1168" i="1"/>
  <c r="I1253" i="1"/>
  <c r="E1367" i="1"/>
  <c r="C1160" i="1"/>
  <c r="K1408" i="1"/>
  <c r="M1371" i="1"/>
  <c r="D1316" i="1"/>
  <c r="N1188" i="1"/>
  <c r="K1352" i="1"/>
  <c r="M1331" i="1"/>
  <c r="N1275" i="1"/>
  <c r="D1134" i="1"/>
  <c r="K1173" i="1"/>
  <c r="L1340" i="1"/>
  <c r="L1244" i="1"/>
  <c r="O1449" i="1"/>
  <c r="L1359" i="1"/>
  <c r="C1427" i="1"/>
  <c r="E1400" i="1"/>
  <c r="K1382" i="1"/>
  <c r="C1292" i="1"/>
  <c r="L1266" i="1"/>
  <c r="B1245" i="1"/>
  <c r="O1406" i="1"/>
  <c r="M1238" i="1"/>
  <c r="C1508" i="1"/>
  <c r="K1277" i="1"/>
  <c r="C1203" i="1"/>
  <c r="L1392" i="1"/>
  <c r="C1392" i="1"/>
  <c r="K1338" i="1"/>
  <c r="J1247" i="1"/>
  <c r="M1300" i="1"/>
  <c r="C1324" i="1"/>
  <c r="D1260" i="1"/>
  <c r="J1179" i="1"/>
  <c r="J1281" i="1"/>
  <c r="L1264" i="1"/>
  <c r="C1350" i="1"/>
  <c r="M1192" i="1"/>
  <c r="K1327" i="1"/>
  <c r="G1306" i="1"/>
  <c r="H1292" i="1"/>
  <c r="E1215" i="1"/>
  <c r="C1404" i="1"/>
  <c r="K1460" i="1"/>
  <c r="K1516" i="1"/>
  <c r="G1459" i="1"/>
  <c r="A1403" i="1"/>
  <c r="K1290" i="1"/>
  <c r="B1366" i="1"/>
  <c r="C1260" i="1"/>
  <c r="A1242" i="1"/>
  <c r="O1269" i="1"/>
  <c r="O1374" i="1"/>
  <c r="M1206" i="1"/>
  <c r="C1396" i="1"/>
  <c r="I1362" i="1"/>
  <c r="J1251" i="1"/>
  <c r="E1352" i="1"/>
  <c r="C1360" i="1"/>
  <c r="D1296" i="1"/>
  <c r="J1215" i="1"/>
  <c r="F1298" i="1"/>
  <c r="P1311" i="1"/>
  <c r="I1309" i="1"/>
  <c r="F1228" i="1"/>
  <c r="K1365" i="1"/>
  <c r="G1314" i="1"/>
  <c r="H1300" i="1"/>
  <c r="N1506" i="1"/>
  <c r="D1329" i="1"/>
  <c r="K1484" i="1"/>
  <c r="F1353" i="1"/>
  <c r="N1369" i="1"/>
  <c r="H1254" i="1"/>
  <c r="I1233" i="1"/>
  <c r="E1347" i="1"/>
  <c r="P1253" i="1"/>
  <c r="K1380" i="1"/>
  <c r="M1351" i="1"/>
  <c r="N1295" i="1"/>
  <c r="D1154" i="1"/>
  <c r="K1332" i="1"/>
  <c r="K1377" i="1"/>
  <c r="N1259" i="1"/>
  <c r="D1249" i="1"/>
  <c r="F1284" i="1"/>
  <c r="K1492" i="1"/>
  <c r="A1273" i="1"/>
  <c r="E1388" i="1"/>
  <c r="O1294" i="1"/>
  <c r="P1272" i="1"/>
  <c r="F1219" i="1"/>
  <c r="N1280" i="1"/>
  <c r="O1254" i="1"/>
  <c r="E1248" i="1"/>
  <c r="P1367" i="1"/>
  <c r="K1348" i="1"/>
  <c r="M1327" i="1"/>
  <c r="N1271" i="1"/>
  <c r="D1130" i="1"/>
  <c r="B1363" i="1"/>
  <c r="N1582" i="1"/>
  <c r="B1485" i="1"/>
  <c r="L1412" i="1"/>
  <c r="B1344" i="1"/>
  <c r="O1349" i="1"/>
  <c r="P1291" i="1"/>
  <c r="I1289" i="1"/>
  <c r="C1178" i="1"/>
  <c r="E1311" i="1"/>
  <c r="G1294" i="1"/>
  <c r="H1280" i="1"/>
  <c r="E1203" i="1"/>
  <c r="E1275" i="1"/>
  <c r="G1258" i="1"/>
  <c r="J1262" i="1"/>
  <c r="E1167" i="1"/>
  <c r="J1292" i="1"/>
  <c r="L1275" i="1"/>
  <c r="O1191" i="1"/>
  <c r="O1317" i="1"/>
  <c r="C1213" i="1"/>
  <c r="I1416" i="1"/>
  <c r="J1424" i="1"/>
  <c r="G1637" i="1"/>
  <c r="H1398" i="1"/>
  <c r="N1413" i="1"/>
  <c r="O1279" i="1"/>
  <c r="C1397" i="1"/>
  <c r="P1319" i="1"/>
  <c r="O1235" i="1"/>
  <c r="H1297" i="1"/>
  <c r="P1257" i="1"/>
  <c r="L1353" i="1"/>
  <c r="H1249" i="1"/>
  <c r="K1341" i="1"/>
  <c r="C1221" i="1"/>
  <c r="B1393" i="1"/>
  <c r="H1213" i="1"/>
  <c r="L1294" i="1"/>
  <c r="K1282" i="1"/>
  <c r="M1491" i="1"/>
  <c r="O1261" i="1"/>
  <c r="J1341" i="1"/>
  <c r="K1297" i="1"/>
  <c r="C1223" i="1"/>
  <c r="E1229" i="1"/>
  <c r="C1408" i="1"/>
  <c r="K1257" i="1"/>
  <c r="G1276" i="1"/>
  <c r="H1265" i="1"/>
  <c r="C1233" i="1"/>
  <c r="B1409" i="1"/>
  <c r="E1300" i="1"/>
  <c r="C1332" i="1"/>
  <c r="K1322" i="1"/>
  <c r="D1216" i="1"/>
  <c r="F1489" i="1"/>
  <c r="N1388" i="1"/>
  <c r="N1274" i="1"/>
  <c r="M1276" i="1"/>
  <c r="P1322" i="1"/>
  <c r="G1234" i="1"/>
  <c r="A1124" i="1"/>
  <c r="O1267" i="1"/>
  <c r="K1363" i="1"/>
  <c r="M1471" i="1"/>
  <c r="N1251" i="1"/>
  <c r="O1292" i="1"/>
  <c r="M1230" i="1"/>
  <c r="B1243" i="1"/>
  <c r="M1314" i="1"/>
  <c r="C1333" i="1"/>
  <c r="J1253" i="1"/>
  <c r="C1208" i="1"/>
  <c r="H1529" i="1"/>
  <c r="B1445" i="1"/>
  <c r="H1262" i="1"/>
  <c r="D1224" i="1"/>
  <c r="J1245" i="1"/>
  <c r="C1200" i="1"/>
  <c r="C1259" i="1"/>
  <c r="C1164" i="1"/>
  <c r="C1468" i="1"/>
  <c r="P1209" i="1"/>
  <c r="C1330" i="1"/>
  <c r="K1536" i="1"/>
  <c r="H1406" i="1"/>
  <c r="E1430" i="1"/>
  <c r="D1314" i="1"/>
  <c r="M1235" i="1"/>
  <c r="F1258" i="1"/>
  <c r="M1202" i="1"/>
  <c r="H1336" i="1"/>
  <c r="B1247" i="1"/>
  <c r="B1405" i="1"/>
  <c r="B1179" i="1"/>
  <c r="I1305" i="1"/>
  <c r="A1461" i="1"/>
  <c r="I1265" i="1"/>
  <c r="A1202" i="1"/>
  <c r="O1346" i="1"/>
  <c r="M1442" i="1"/>
  <c r="P1261" i="1"/>
  <c r="I1407" i="1"/>
  <c r="P1343" i="1"/>
  <c r="P1189" i="1"/>
  <c r="H1307" i="1"/>
  <c r="J1173" i="1"/>
  <c r="H1271" i="1"/>
  <c r="K1130" i="1"/>
  <c r="A1278" i="1"/>
  <c r="N1323" i="1"/>
  <c r="F1483" i="1"/>
  <c r="B1418" i="1"/>
  <c r="B1335" i="1"/>
  <c r="K1405" i="1"/>
  <c r="G1411" i="1"/>
  <c r="O1274" i="1"/>
  <c r="G1173" i="1"/>
  <c r="C1326" i="1"/>
  <c r="G1406" i="1"/>
  <c r="K1389" i="1"/>
  <c r="M1290" i="1"/>
  <c r="L1352" i="1"/>
  <c r="N1224" i="1"/>
  <c r="A1433" i="1"/>
  <c r="N1276" i="1"/>
  <c r="E1244" i="1"/>
  <c r="B1223" i="1"/>
  <c r="N1319" i="1"/>
  <c r="B1276" i="1"/>
  <c r="K1284" i="1"/>
  <c r="H1283" i="1"/>
  <c r="M1242" i="1"/>
  <c r="I1124" i="1"/>
  <c r="D1177" i="1"/>
  <c r="L1299" i="1"/>
  <c r="G1210" i="1"/>
  <c r="D1192" i="1"/>
  <c r="J1284" i="1"/>
  <c r="I1163" i="1"/>
  <c r="P1224" i="1"/>
  <c r="I1040" i="1"/>
  <c r="J1229" i="1"/>
  <c r="K1121" i="1"/>
  <c r="P1184" i="1"/>
  <c r="I1000" i="1"/>
  <c r="P1233" i="1"/>
  <c r="N1209" i="1"/>
  <c r="N1244" i="1"/>
  <c r="P1391" i="1"/>
  <c r="K1109" i="1"/>
  <c r="P1172" i="1"/>
  <c r="I988" i="1"/>
  <c r="B1220" i="1"/>
  <c r="B1258" i="1"/>
  <c r="D1078" i="1"/>
  <c r="F1017" i="1"/>
  <c r="D1567" i="1"/>
  <c r="A1457" i="1"/>
  <c r="G1320" i="1"/>
  <c r="I1120" i="1"/>
  <c r="M1363" i="1"/>
  <c r="N1172" i="1"/>
  <c r="L1372" i="1"/>
  <c r="K1142" i="1"/>
  <c r="L1182" i="1"/>
  <c r="D1235" i="1"/>
  <c r="J1287" i="1"/>
  <c r="N1229" i="1"/>
  <c r="E1100" i="1"/>
  <c r="L1348" i="1"/>
  <c r="G1174" i="1"/>
  <c r="G1140" i="1"/>
  <c r="C1058" i="1"/>
  <c r="L1316" i="1"/>
  <c r="L1247" i="1"/>
  <c r="G1252" i="1"/>
  <c r="C1348" i="1"/>
  <c r="M1208" i="1"/>
  <c r="M1306" i="1"/>
  <c r="B1201" i="1"/>
  <c r="I1301" i="1"/>
  <c r="L1235" i="1"/>
  <c r="D1212" i="1"/>
  <c r="B1202" i="1"/>
  <c r="G1205" i="1"/>
  <c r="M1045" i="1"/>
  <c r="B1018" i="1"/>
  <c r="D957" i="1"/>
  <c r="O1430" i="1"/>
  <c r="N1305" i="1"/>
  <c r="C1217" i="1"/>
  <c r="H1219" i="1"/>
  <c r="H1287" i="1"/>
  <c r="K1146" i="1"/>
  <c r="E1383" i="1"/>
  <c r="K1110" i="1"/>
  <c r="I1160" i="1"/>
  <c r="D1203" i="1"/>
  <c r="C1251" i="1"/>
  <c r="N1197" i="1"/>
  <c r="K1292" i="1"/>
  <c r="K1293" i="1"/>
  <c r="I1256" i="1"/>
  <c r="G1108" i="1"/>
  <c r="C1026" i="1"/>
  <c r="K1307" i="1"/>
  <c r="L1215" i="1"/>
  <c r="C1167" i="1"/>
  <c r="B1273" i="1"/>
  <c r="E1175" i="1"/>
  <c r="G1203" i="1"/>
  <c r="G1146" i="1"/>
  <c r="P1268" i="1"/>
  <c r="L1203" i="1"/>
  <c r="H1151" i="1"/>
  <c r="C1090" i="1"/>
  <c r="K1298" i="1"/>
  <c r="E1197" i="1"/>
  <c r="B986" i="1"/>
  <c r="D925" i="1"/>
  <c r="C1351" i="1"/>
  <c r="O1338" i="1"/>
  <c r="C1337" i="1"/>
  <c r="L1210" i="1"/>
  <c r="J1377" i="1"/>
  <c r="A1341" i="1"/>
  <c r="P1292" i="1"/>
  <c r="E1246" i="1"/>
  <c r="G1280" i="1"/>
  <c r="M1150" i="1"/>
  <c r="E1243" i="1"/>
  <c r="J1267" i="1"/>
  <c r="B1173" i="1"/>
  <c r="L1181" i="1"/>
  <c r="N1161" i="1"/>
  <c r="K1247" i="1"/>
  <c r="G1256" i="1"/>
  <c r="G1163" i="1"/>
  <c r="K1166" i="1"/>
  <c r="B1135" i="1"/>
  <c r="C1252" i="1"/>
  <c r="C1206" i="1"/>
  <c r="I1196" i="1"/>
  <c r="L1096" i="1"/>
  <c r="C1286" i="1"/>
  <c r="C1151" i="1"/>
  <c r="F1167" i="1"/>
  <c r="I1127" i="1"/>
  <c r="A1201" i="1"/>
  <c r="J1098" i="1"/>
  <c r="I1102" i="1"/>
  <c r="O1009" i="1"/>
  <c r="N1337" i="1"/>
  <c r="A1295" i="1"/>
  <c r="N1292" i="1"/>
  <c r="E1333" i="1"/>
  <c r="D1287" i="1"/>
  <c r="H1230" i="1"/>
  <c r="B1302" i="1"/>
  <c r="N1133" i="1"/>
  <c r="D1170" i="1"/>
  <c r="L1309" i="1"/>
  <c r="C1122" i="1"/>
  <c r="I1216" i="1"/>
  <c r="H1153" i="1"/>
  <c r="J1244" i="1"/>
  <c r="F1251" i="1"/>
  <c r="G1130" i="1"/>
  <c r="A1121" i="1"/>
  <c r="C1271" i="1"/>
  <c r="I1201" i="1"/>
  <c r="G1090" i="1"/>
  <c r="I1299" i="1"/>
  <c r="P1259" i="1"/>
  <c r="B1242" i="1"/>
  <c r="F1032" i="1"/>
  <c r="E1242" i="1"/>
  <c r="I1189" i="1"/>
  <c r="B1213" i="1"/>
  <c r="D1148" i="1"/>
  <c r="K1250" i="1"/>
  <c r="K1019" i="1"/>
  <c r="M962" i="1"/>
  <c r="N1094" i="1"/>
  <c r="K1340" i="1"/>
  <c r="E1307" i="1"/>
  <c r="C1245" i="1"/>
  <c r="A1250" i="1"/>
  <c r="O1382" i="1"/>
  <c r="J1308" i="1"/>
  <c r="O1207" i="1"/>
  <c r="N1288" i="1"/>
  <c r="B1205" i="1"/>
  <c r="N1166" i="1"/>
  <c r="B1164" i="1"/>
  <c r="H1136" i="1"/>
  <c r="F1052" i="1"/>
  <c r="G1334" i="1"/>
  <c r="K1267" i="1"/>
  <c r="H1076" i="1"/>
  <c r="B1067" i="1"/>
  <c r="G1239" i="1"/>
  <c r="F1221" i="1"/>
  <c r="H1036" i="1"/>
  <c r="O1325" i="1"/>
  <c r="K1194" i="1"/>
  <c r="E1227" i="1"/>
  <c r="J1110" i="1"/>
  <c r="G1175" i="1"/>
  <c r="F1209" i="1"/>
  <c r="F1356" i="1"/>
  <c r="F1349" i="1"/>
  <c r="L1158" i="1"/>
  <c r="J1220" i="1"/>
  <c r="J1184" i="1"/>
  <c r="I1268" i="1"/>
  <c r="A1210" i="1"/>
  <c r="J1276" i="1"/>
  <c r="I1255" i="1"/>
  <c r="I1413" i="1"/>
  <c r="G1243" i="1"/>
  <c r="G1176" i="1"/>
  <c r="A1132" i="1"/>
  <c r="K1364" i="1"/>
  <c r="M1384" i="1"/>
  <c r="P1229" i="1"/>
  <c r="O1320" i="1"/>
  <c r="N1485" i="1"/>
  <c r="M1458" i="1"/>
  <c r="D1523" i="1"/>
  <c r="J1297" i="1"/>
  <c r="C1291" i="1"/>
  <c r="I1312" i="1"/>
  <c r="G1227" i="1"/>
  <c r="M1360" i="1"/>
  <c r="K1244" i="1"/>
  <c r="N1265" i="1"/>
  <c r="M1159" i="1"/>
  <c r="E1331" i="1"/>
  <c r="N1433" i="1"/>
  <c r="P1503" i="1"/>
  <c r="A1355" i="1"/>
  <c r="B1261" i="1"/>
  <c r="A1139" i="1"/>
  <c r="L1326" i="1"/>
  <c r="E1238" i="1"/>
  <c r="F1289" i="1"/>
  <c r="E1202" i="1"/>
  <c r="F1340" i="1"/>
  <c r="H1246" i="1"/>
  <c r="B1314" i="1"/>
  <c r="G1486" i="1"/>
  <c r="B1274" i="1"/>
  <c r="D1318" i="1"/>
  <c r="M1239" i="1"/>
  <c r="L1505" i="1"/>
  <c r="B1360" i="1"/>
  <c r="E1316" i="1"/>
  <c r="B1266" i="1"/>
  <c r="H1253" i="1"/>
  <c r="G1344" i="1"/>
  <c r="N1125" i="1"/>
  <c r="J1294" i="1"/>
  <c r="L1172" i="1"/>
  <c r="K1301" i="1"/>
  <c r="B1323" i="1"/>
  <c r="O1454" i="1"/>
  <c r="F1323" i="1"/>
  <c r="I1375" i="1"/>
  <c r="F1395" i="1"/>
  <c r="K1337" i="1"/>
  <c r="H1275" i="1"/>
  <c r="K1134" i="1"/>
  <c r="A1314" i="1"/>
  <c r="A1247" i="1"/>
  <c r="A1366" i="1"/>
  <c r="O1283" i="1"/>
  <c r="E1192" i="1"/>
  <c r="P1314" i="1"/>
  <c r="A1279" i="1"/>
  <c r="F1268" i="1"/>
  <c r="A1257" i="1"/>
  <c r="J1187" i="1"/>
  <c r="G1342" i="1"/>
  <c r="A1501" i="1"/>
  <c r="I1144" i="1"/>
  <c r="P1403" i="1"/>
  <c r="J1189" i="1"/>
  <c r="L1246" i="1"/>
  <c r="G1300" i="1"/>
  <c r="O1215" i="1"/>
  <c r="E1269" i="1"/>
  <c r="E1132" i="1"/>
  <c r="L1267" i="1"/>
  <c r="G1206" i="1"/>
  <c r="D1184" i="1"/>
  <c r="G1092" i="1"/>
  <c r="E1391" i="1"/>
  <c r="G1166" i="1"/>
  <c r="G1132" i="1"/>
  <c r="I1245" i="1"/>
  <c r="G1338" i="1"/>
  <c r="N1315" i="1"/>
  <c r="A1106" i="1"/>
  <c r="J1314" i="1"/>
  <c r="I1307" i="1"/>
  <c r="G1120" i="1"/>
  <c r="C1038" i="1"/>
  <c r="L1219" i="1"/>
  <c r="K1091" i="1"/>
  <c r="B1050" i="1"/>
  <c r="D989" i="1"/>
  <c r="A1408" i="1"/>
  <c r="P1316" i="1"/>
  <c r="E1228" i="1"/>
  <c r="J1176" i="1"/>
  <c r="C1389" i="1"/>
  <c r="I1369" i="1"/>
  <c r="D1315" i="1"/>
  <c r="J1228" i="1"/>
  <c r="O1214" i="1"/>
  <c r="F1173" i="1"/>
  <c r="K1106" i="1"/>
  <c r="L1313" i="1"/>
  <c r="M1132" i="1"/>
  <c r="M1164" i="1"/>
  <c r="N1225" i="1"/>
  <c r="E1096" i="1"/>
  <c r="P915" i="1"/>
  <c r="J1235" i="1"/>
  <c r="N1185" i="1"/>
  <c r="K1212" i="1"/>
  <c r="D1284" i="1"/>
  <c r="N1137" i="1"/>
  <c r="K1266" i="1"/>
  <c r="G965" i="1"/>
  <c r="K1206" i="1"/>
  <c r="N1173" i="1"/>
  <c r="F1230" i="1"/>
  <c r="C1353" i="1"/>
  <c r="O1140" i="1"/>
  <c r="P1128" i="1"/>
  <c r="P1223" i="1"/>
  <c r="K1170" i="1"/>
  <c r="J1371" i="1"/>
  <c r="C1236" i="1"/>
  <c r="D1388" i="1"/>
  <c r="E1194" i="1"/>
  <c r="C1436" i="1"/>
  <c r="C1275" i="1"/>
  <c r="K1299" i="1"/>
  <c r="J1164" i="1"/>
  <c r="O1182" i="1"/>
  <c r="C1210" i="1"/>
  <c r="F1263" i="1"/>
  <c r="K1300" i="1"/>
  <c r="A1090" i="1"/>
  <c r="C1219" i="1"/>
  <c r="N1193" i="1"/>
  <c r="J1263" i="1"/>
  <c r="K1204" i="1"/>
  <c r="A1211" i="1"/>
  <c r="H1251" i="1"/>
  <c r="C1278" i="1"/>
  <c r="K1353" i="1"/>
  <c r="C1150" i="1"/>
  <c r="I1228" i="1"/>
  <c r="F1425" i="1"/>
  <c r="P1334" i="1"/>
  <c r="O1299" i="1"/>
  <c r="M1408" i="1"/>
  <c r="O1343" i="1"/>
  <c r="J1233" i="1"/>
  <c r="I1241" i="1"/>
  <c r="B1272" i="1"/>
  <c r="C1536" i="1"/>
  <c r="M1287" i="1"/>
  <c r="L1306" i="1"/>
  <c r="L1258" i="1"/>
  <c r="A1182" i="1"/>
  <c r="C1352" i="1"/>
  <c r="M1349" i="1"/>
  <c r="J1167" i="1"/>
  <c r="B1249" i="1"/>
  <c r="I1431" i="1"/>
  <c r="D1382" i="1"/>
  <c r="C1512" i="1"/>
  <c r="G1289" i="1"/>
  <c r="G1304" i="1"/>
  <c r="B1241" i="1"/>
  <c r="M1234" i="1"/>
  <c r="A1253" i="1"/>
  <c r="M1198" i="1"/>
  <c r="L1373" i="1"/>
  <c r="B1211" i="1"/>
  <c r="I1417" i="1"/>
  <c r="P1450" i="1"/>
  <c r="P1337" i="1"/>
  <c r="D1305" i="1"/>
  <c r="N1309" i="1"/>
  <c r="M1203" i="1"/>
  <c r="E1375" i="1"/>
  <c r="I1231" i="1"/>
  <c r="E1339" i="1"/>
  <c r="N1153" i="1"/>
  <c r="J1290" i="1"/>
  <c r="F1312" i="1"/>
  <c r="A1301" i="1"/>
  <c r="F1272" i="1"/>
  <c r="A1261" i="1"/>
  <c r="I1237" i="1"/>
  <c r="A1259" i="1"/>
  <c r="O1353" i="1"/>
  <c r="D1487" i="1"/>
  <c r="G1343" i="1"/>
  <c r="I1449" i="1"/>
  <c r="B1191" i="1"/>
  <c r="I1317" i="1"/>
  <c r="F1369" i="1"/>
  <c r="I1281" i="1"/>
  <c r="M1380" i="1"/>
  <c r="D1299" i="1"/>
  <c r="P1320" i="1"/>
  <c r="H1390" i="1"/>
  <c r="M1454" i="1"/>
  <c r="I1408" i="1"/>
  <c r="A1370" i="1"/>
  <c r="G1137" i="1"/>
  <c r="G1262" i="1"/>
  <c r="E1171" i="1"/>
  <c r="L1311" i="1"/>
  <c r="J1248" i="1"/>
  <c r="F1325" i="1"/>
  <c r="O1344" i="1"/>
  <c r="D1348" i="1"/>
  <c r="L1278" i="1"/>
  <c r="J1415" i="1"/>
  <c r="E1255" i="1"/>
  <c r="O1239" i="1"/>
  <c r="J1255" i="1"/>
  <c r="J1240" i="1"/>
  <c r="L1263" i="1"/>
  <c r="J1200" i="1"/>
  <c r="I1293" i="1"/>
  <c r="M1266" i="1"/>
  <c r="P1328" i="1"/>
  <c r="F1205" i="1"/>
  <c r="D1233" i="1"/>
  <c r="G1352" i="1"/>
  <c r="C1190" i="1"/>
  <c r="O1183" i="1"/>
  <c r="N1258" i="1"/>
  <c r="E1128" i="1"/>
  <c r="P947" i="1"/>
  <c r="C1184" i="1"/>
  <c r="N1217" i="1"/>
  <c r="E1088" i="1"/>
  <c r="E1359" i="1"/>
  <c r="A1116" i="1"/>
  <c r="D1179" i="1"/>
  <c r="G997" i="1"/>
  <c r="P1201" i="1"/>
  <c r="N1205" i="1"/>
  <c r="P1399" i="1"/>
  <c r="F1314" i="1"/>
  <c r="G1240" i="1"/>
  <c r="I1303" i="1"/>
  <c r="L1113" i="1"/>
  <c r="J1090" i="1"/>
  <c r="O1389" i="1"/>
  <c r="A1135" i="1"/>
  <c r="G1374" i="1"/>
  <c r="G1398" i="1"/>
  <c r="L1312" i="1"/>
  <c r="O1301" i="1"/>
  <c r="D1368" i="1"/>
  <c r="A1144" i="1"/>
  <c r="O1288" i="1"/>
  <c r="O1120" i="1"/>
  <c r="A1152" i="1"/>
  <c r="D1199" i="1"/>
  <c r="G1017" i="1"/>
  <c r="A1231" i="1"/>
  <c r="L1281" i="1"/>
  <c r="G1127" i="1"/>
  <c r="G1115" i="1"/>
  <c r="J1311" i="1"/>
  <c r="F1290" i="1"/>
  <c r="H1222" i="1"/>
  <c r="J1203" i="1"/>
  <c r="B1240" i="1"/>
  <c r="M1126" i="1"/>
  <c r="K1014" i="1"/>
  <c r="M1176" i="1"/>
  <c r="G1348" i="1"/>
  <c r="P1190" i="1"/>
  <c r="F1171" i="1"/>
  <c r="H1103" i="1"/>
  <c r="D1165" i="1"/>
  <c r="M1058" i="1"/>
  <c r="O995" i="1"/>
  <c r="D1387" i="1"/>
  <c r="M1199" i="1"/>
  <c r="H1209" i="1"/>
  <c r="G1207" i="1"/>
  <c r="I1297" i="1"/>
  <c r="A1246" i="1"/>
  <c r="O1378" i="1"/>
  <c r="C1283" i="1"/>
  <c r="D1234" i="1"/>
  <c r="E1213" i="1"/>
  <c r="P1187" i="1"/>
  <c r="D1167" i="1"/>
  <c r="G985" i="1"/>
  <c r="O1375" i="1"/>
  <c r="K1268" i="1"/>
  <c r="G1272" i="1"/>
  <c r="P1218" i="1"/>
  <c r="E1195" i="1"/>
  <c r="G1235" i="1"/>
  <c r="G1154" i="1"/>
  <c r="A1151" i="1"/>
  <c r="B1208" i="1"/>
  <c r="M1201" i="1"/>
  <c r="P1102" i="1"/>
  <c r="E1163" i="1"/>
  <c r="G1187" i="1"/>
  <c r="G1142" i="1"/>
  <c r="A1133" i="1"/>
  <c r="E1136" i="1"/>
  <c r="O1083" i="1"/>
  <c r="M1026" i="1"/>
  <c r="O963" i="1"/>
  <c r="H1277" i="1"/>
  <c r="B1260" i="1"/>
  <c r="P1275" i="1"/>
  <c r="O1305" i="1"/>
  <c r="D1372" i="1"/>
  <c r="H1320" i="1"/>
  <c r="H1288" i="1"/>
  <c r="J1275" i="1"/>
  <c r="M1149" i="1"/>
  <c r="N1230" i="1"/>
  <c r="B1228" i="1"/>
  <c r="M1114" i="1"/>
  <c r="C1171" i="1"/>
  <c r="I1207" i="1"/>
  <c r="I1244" i="1"/>
  <c r="G949" i="1"/>
  <c r="A940" i="1"/>
  <c r="E1245" i="1"/>
  <c r="I1204" i="1"/>
  <c r="H1110" i="1"/>
  <c r="J1212" i="1"/>
  <c r="K1155" i="1"/>
  <c r="G1332" i="1"/>
  <c r="P1162" i="1"/>
  <c r="J1338" i="1"/>
  <c r="I1192" i="1"/>
  <c r="E1090" i="1"/>
  <c r="B1079" i="1"/>
  <c r="B1115" i="1"/>
  <c r="D1111" i="1"/>
  <c r="G1044" i="1"/>
  <c r="N971" i="1"/>
  <c r="G1392" i="1"/>
  <c r="H1303" i="1"/>
  <c r="K1334" i="1"/>
  <c r="G1283" i="1"/>
  <c r="N1282" i="1"/>
  <c r="P1359" i="1"/>
  <c r="P1193" i="1"/>
  <c r="P1271" i="1"/>
  <c r="G1368" i="1"/>
  <c r="H1198" i="1"/>
  <c r="I1191" i="1"/>
  <c r="K1264" i="1"/>
  <c r="O1252" i="1"/>
  <c r="B1192" i="1"/>
  <c r="F1168" i="1"/>
  <c r="F1080" i="1"/>
  <c r="H1071" i="1"/>
  <c r="M1445" i="1"/>
  <c r="P1262" i="1"/>
  <c r="J1300" i="1"/>
  <c r="J1264" i="1"/>
  <c r="E1364" i="1"/>
  <c r="B1229" i="1"/>
  <c r="A1237" i="1"/>
  <c r="C1428" i="1"/>
  <c r="C1492" i="1"/>
  <c r="H1306" i="1"/>
  <c r="K1165" i="1"/>
  <c r="J1241" i="1"/>
  <c r="I1221" i="1"/>
  <c r="M1339" i="1"/>
  <c r="C1374" i="1"/>
  <c r="B1231" i="1"/>
  <c r="A1308" i="1"/>
  <c r="H1545" i="1"/>
  <c r="M1455" i="1"/>
  <c r="A1387" i="1"/>
  <c r="B1293" i="1"/>
  <c r="H1182" i="1"/>
  <c r="A1300" i="1"/>
  <c r="M1321" i="1"/>
  <c r="E1321" i="1"/>
  <c r="E1234" i="1"/>
  <c r="G1388" i="1"/>
  <c r="A1178" i="1"/>
  <c r="O1326" i="1"/>
  <c r="C1316" i="1"/>
  <c r="C1395" i="1"/>
  <c r="N1300" i="1"/>
  <c r="I1358" i="1"/>
  <c r="F1538" i="1"/>
  <c r="I1311" i="1"/>
  <c r="M1291" i="1"/>
  <c r="C1232" i="1"/>
  <c r="H1285" i="1"/>
  <c r="P1331" i="1"/>
  <c r="P1407" i="1"/>
  <c r="P1205" i="1"/>
  <c r="J1405" i="1"/>
  <c r="P1165" i="1"/>
  <c r="N1313" i="1"/>
  <c r="M1207" i="1"/>
  <c r="E1374" i="1"/>
  <c r="P1469" i="1"/>
  <c r="I1327" i="1"/>
  <c r="P1387" i="1"/>
  <c r="C1270" i="1"/>
  <c r="C1327" i="1"/>
  <c r="G1273" i="1"/>
  <c r="B1290" i="1"/>
  <c r="D1396" i="1"/>
  <c r="C1297" i="1"/>
  <c r="J1318" i="1"/>
  <c r="P1333" i="1"/>
  <c r="D1579" i="1"/>
  <c r="E1298" i="1"/>
  <c r="P1378" i="1"/>
  <c r="J1411" i="1"/>
  <c r="I1285" i="1"/>
  <c r="L1349" i="1"/>
  <c r="I1386" i="1"/>
  <c r="E1372" i="1"/>
  <c r="D1267" i="1"/>
  <c r="J1288" i="1"/>
  <c r="O1187" i="1"/>
  <c r="O1339" i="1"/>
  <c r="I1263" i="1"/>
  <c r="A1402" i="1"/>
  <c r="I1472" i="1"/>
  <c r="F1244" i="1"/>
  <c r="C1126" i="1"/>
  <c r="K1289" i="1"/>
  <c r="H1305" i="1"/>
  <c r="L1385" i="1"/>
  <c r="G1192" i="1"/>
  <c r="O1217" i="1"/>
  <c r="O1152" i="1"/>
  <c r="L1174" i="1"/>
  <c r="D1231" i="1"/>
  <c r="G1049" i="1"/>
  <c r="N1208" i="1"/>
  <c r="G1474" i="1"/>
  <c r="G1180" i="1"/>
  <c r="A1158" i="1"/>
  <c r="J1397" i="1"/>
  <c r="M1292" i="1"/>
  <c r="M1116" i="1"/>
  <c r="M1289" i="1"/>
  <c r="K1413" i="1"/>
  <c r="M1158" i="1"/>
  <c r="K1046" i="1"/>
  <c r="E1384" i="1"/>
  <c r="F1283" i="1"/>
  <c r="M1100" i="1"/>
  <c r="M1088" i="1"/>
  <c r="G1236" i="1"/>
  <c r="K1104" i="1"/>
  <c r="L1094" i="1"/>
  <c r="O1027" i="1"/>
  <c r="P1226" i="1"/>
  <c r="A1325" i="1"/>
  <c r="K1249" i="1"/>
  <c r="H1274" i="1"/>
  <c r="D1232" i="1"/>
  <c r="G1311" i="1"/>
  <c r="N1310" i="1"/>
  <c r="L1321" i="1"/>
  <c r="F1137" i="1"/>
  <c r="A1181" i="1"/>
  <c r="O1178" i="1"/>
  <c r="I1199" i="1"/>
  <c r="K1066" i="1"/>
  <c r="A1148" i="1"/>
  <c r="D1195" i="1"/>
  <c r="G1013" i="1"/>
  <c r="A1004" i="1"/>
  <c r="N1149" i="1"/>
  <c r="K1310" i="1"/>
  <c r="G973" i="1"/>
  <c r="F1257" i="1"/>
  <c r="D1178" i="1"/>
  <c r="G1354" i="1"/>
  <c r="F1226" i="1"/>
  <c r="N1129" i="1"/>
  <c r="L1257" i="1"/>
  <c r="G961" i="1"/>
  <c r="A952" i="1"/>
  <c r="G969" i="1"/>
  <c r="L1050" i="1"/>
  <c r="J1133" i="1"/>
  <c r="O930" i="1"/>
  <c r="N1268" i="1"/>
  <c r="M1368" i="1"/>
  <c r="L1422" i="1"/>
  <c r="H1313" i="1"/>
  <c r="L1401" i="1"/>
  <c r="J1301" i="1"/>
  <c r="C1295" i="1"/>
  <c r="K1308" i="1"/>
  <c r="H1206" i="1"/>
  <c r="A1275" i="1"/>
  <c r="L1265" i="1"/>
  <c r="M1146" i="1"/>
  <c r="K1034" i="1"/>
  <c r="P1179" i="1"/>
  <c r="D1163" i="1"/>
  <c r="G981" i="1"/>
  <c r="A972" i="1"/>
  <c r="L1164" i="1"/>
  <c r="I1236" i="1"/>
  <c r="G941" i="1"/>
  <c r="E1187" i="1"/>
  <c r="F1223" i="1"/>
  <c r="F1279" i="1"/>
  <c r="H1164" i="1"/>
  <c r="C1142" i="1"/>
  <c r="I1224" i="1"/>
  <c r="C1222" i="1"/>
  <c r="P1149" i="1"/>
  <c r="H1072" i="1"/>
  <c r="L1018" i="1"/>
  <c r="G1076" i="1"/>
  <c r="D1060" i="1"/>
  <c r="D1282" i="1"/>
  <c r="L1389" i="1"/>
  <c r="I1273" i="1"/>
  <c r="G1315" i="1"/>
  <c r="N1314" i="1"/>
  <c r="G1408" i="1"/>
  <c r="P1225" i="1"/>
  <c r="F1411" i="1"/>
  <c r="K1105" i="1"/>
  <c r="P1168" i="1"/>
  <c r="D1166" i="1"/>
  <c r="L1277" i="1"/>
  <c r="K1243" i="1"/>
  <c r="B1224" i="1"/>
  <c r="P1256" i="1"/>
  <c r="H1149" i="1"/>
  <c r="F1117" i="1"/>
  <c r="B1184" i="1"/>
  <c r="H1156" i="1"/>
  <c r="F1072" i="1"/>
  <c r="M1275" i="1"/>
  <c r="N1156" i="1"/>
  <c r="H1256" i="1"/>
  <c r="I1109" i="1"/>
  <c r="B1172" i="1"/>
  <c r="H1144" i="1"/>
  <c r="F1060" i="1"/>
  <c r="H1051" i="1"/>
  <c r="I1089" i="1"/>
  <c r="J958" i="1"/>
  <c r="F1275" i="1"/>
  <c r="P936" i="1"/>
  <c r="A1374" i="1"/>
  <c r="A1309" i="1"/>
  <c r="A1324" i="1"/>
  <c r="K1177" i="1"/>
  <c r="O1265" i="1"/>
  <c r="O1282" i="1"/>
  <c r="L1130" i="1"/>
  <c r="I1269" i="1"/>
  <c r="L1231" i="1"/>
  <c r="J1319" i="1"/>
  <c r="H1194" i="1"/>
  <c r="N1162" i="1"/>
  <c r="I1129" i="1"/>
  <c r="I1183" i="1"/>
  <c r="G1318" i="1"/>
  <c r="J1166" i="1"/>
  <c r="P1227" i="1"/>
  <c r="A1553" i="1"/>
  <c r="G1275" i="1"/>
  <c r="B1296" i="1"/>
  <c r="G1478" i="1"/>
  <c r="E1341" i="1"/>
  <c r="E1395" i="1"/>
  <c r="E1355" i="1"/>
  <c r="E1180" i="1"/>
  <c r="D1429" i="1"/>
  <c r="F1321" i="1"/>
  <c r="C1161" i="1"/>
  <c r="B1237" i="1"/>
  <c r="G1454" i="1"/>
  <c r="D1288" i="1"/>
  <c r="B1319" i="1"/>
  <c r="B1198" i="1"/>
  <c r="A1417" i="1"/>
  <c r="K1521" i="1"/>
  <c r="I1356" i="1"/>
  <c r="I1381" i="1"/>
  <c r="O1474" i="1"/>
  <c r="F1227" i="1"/>
  <c r="E1407" i="1"/>
  <c r="A1136" i="1"/>
  <c r="E1371" i="1"/>
  <c r="D1217" i="1"/>
  <c r="L1322" i="1"/>
  <c r="K1324" i="1"/>
  <c r="O1379" i="1"/>
  <c r="O1415" i="1"/>
  <c r="F1386" i="1"/>
  <c r="H1309" i="1"/>
  <c r="F1297" i="1"/>
  <c r="A1234" i="1"/>
  <c r="O1370" i="1"/>
  <c r="A1186" i="1"/>
  <c r="O1334" i="1"/>
  <c r="A1260" i="1"/>
  <c r="B1286" i="1"/>
  <c r="P1307" i="1"/>
  <c r="E1217" i="1"/>
  <c r="N1566" i="1"/>
  <c r="G1145" i="1"/>
  <c r="A1233" i="1"/>
  <c r="M1261" i="1"/>
  <c r="N1344" i="1"/>
  <c r="J1431" i="1"/>
  <c r="C1410" i="1"/>
  <c r="J1302" i="1"/>
  <c r="G1324" i="1"/>
  <c r="A1313" i="1"/>
  <c r="F1288" i="1"/>
  <c r="A1277" i="1"/>
  <c r="G1295" i="1"/>
  <c r="N1294" i="1"/>
  <c r="B1316" i="1"/>
  <c r="N1401" i="1"/>
  <c r="H1414" i="1"/>
  <c r="F1407" i="1"/>
  <c r="B1322" i="1"/>
  <c r="N1308" i="1"/>
  <c r="C1298" i="1"/>
  <c r="C1377" i="1"/>
  <c r="E1232" i="1"/>
  <c r="I1347" i="1"/>
  <c r="E1164" i="1"/>
  <c r="K1185" i="1"/>
  <c r="M1180" i="1"/>
  <c r="D1259" i="1"/>
  <c r="C1212" i="1"/>
  <c r="K1393" i="1"/>
  <c r="N1395" i="1"/>
  <c r="B1397" i="1"/>
  <c r="O1271" i="1"/>
  <c r="E1184" i="1"/>
  <c r="F1300" i="1"/>
  <c r="A1289" i="1"/>
  <c r="G1384" i="1"/>
  <c r="B1178" i="1"/>
  <c r="A1213" i="1"/>
  <c r="O1210" i="1"/>
  <c r="F1169" i="1"/>
  <c r="N1106" i="1"/>
  <c r="L1170" i="1"/>
  <c r="D1227" i="1"/>
  <c r="G1045" i="1"/>
  <c r="A1036" i="1"/>
  <c r="A1128" i="1"/>
  <c r="D1187" i="1"/>
  <c r="G1005" i="1"/>
  <c r="G1402" i="1"/>
  <c r="D1210" i="1"/>
  <c r="E1160" i="1"/>
  <c r="J1413" i="1"/>
  <c r="I1247" i="1"/>
  <c r="D1175" i="1"/>
  <c r="G993" i="1"/>
  <c r="A984" i="1"/>
  <c r="G1053" i="1"/>
  <c r="L1082" i="1"/>
  <c r="N1025" i="1"/>
  <c r="O962" i="1"/>
  <c r="I1335" i="1"/>
  <c r="O1302" i="1"/>
  <c r="F1332" i="1"/>
  <c r="K1396" i="1"/>
  <c r="N1307" i="1"/>
  <c r="K1205" i="1"/>
  <c r="O1264" i="1"/>
  <c r="E1263" i="1"/>
  <c r="I1179" i="1"/>
  <c r="P1232" i="1"/>
  <c r="D1230" i="1"/>
  <c r="K1202" i="1"/>
  <c r="F924" i="1"/>
  <c r="O1174" i="1"/>
  <c r="M1189" i="1"/>
  <c r="K1062" i="1"/>
  <c r="M1053" i="1"/>
  <c r="B1248" i="1"/>
  <c r="M1134" i="1"/>
  <c r="K1022" i="1"/>
  <c r="N1141" i="1"/>
  <c r="M1125" i="1"/>
  <c r="N1206" i="1"/>
  <c r="B1189" i="1"/>
  <c r="B1236" i="1"/>
  <c r="M1122" i="1"/>
  <c r="M1270" i="1"/>
  <c r="A1164" i="1"/>
  <c r="E1189" i="1"/>
  <c r="J1022" i="1"/>
  <c r="L965" i="1"/>
  <c r="K1191" i="1"/>
  <c r="E1315" i="1"/>
  <c r="N1269" i="1"/>
  <c r="J1286" i="1"/>
  <c r="F1304" i="1"/>
  <c r="A1293" i="1"/>
  <c r="M1322" i="1"/>
  <c r="C1176" i="1"/>
  <c r="K1245" i="1"/>
  <c r="K1137" i="1"/>
  <c r="P1200" i="1"/>
  <c r="D1198" i="1"/>
  <c r="F1433" i="1"/>
  <c r="A1272" i="1"/>
  <c r="B1257" i="1"/>
  <c r="M1142" i="1"/>
  <c r="K1030" i="1"/>
  <c r="M1021" i="1"/>
  <c r="B1216" i="1"/>
  <c r="G1224" i="1"/>
  <c r="L1119" i="1"/>
  <c r="A1365" i="1"/>
  <c r="I1227" i="1"/>
  <c r="N1174" i="1"/>
  <c r="I1141" i="1"/>
  <c r="B1204" i="1"/>
  <c r="F1192" i="1"/>
  <c r="E1097" i="1"/>
  <c r="A1083" i="1"/>
  <c r="P1199" i="1"/>
  <c r="J990" i="1"/>
  <c r="L933" i="1"/>
  <c r="P1000" i="1"/>
  <c r="D1334" i="1"/>
  <c r="C1322" i="1"/>
  <c r="A1269" i="1"/>
  <c r="K1209" i="1"/>
  <c r="F1261" i="1"/>
  <c r="O1314" i="1"/>
  <c r="A1251" i="1"/>
  <c r="J1282" i="1"/>
  <c r="K1278" i="1"/>
  <c r="F1327" i="1"/>
  <c r="M1113" i="1"/>
  <c r="N1194" i="1"/>
  <c r="D1164" i="1"/>
  <c r="D1162" i="1"/>
  <c r="K1320" i="1"/>
  <c r="K1211" i="1"/>
  <c r="H1220" i="1"/>
  <c r="I1167" i="1"/>
  <c r="O1371" i="1"/>
  <c r="P1243" i="1"/>
  <c r="N1289" i="1"/>
  <c r="F1287" i="1"/>
  <c r="E1122" i="1"/>
  <c r="J1089" i="1"/>
  <c r="K1151" i="1"/>
  <c r="J1295" i="1"/>
  <c r="E1145" i="1"/>
  <c r="E1109" i="1"/>
  <c r="P1079" i="1"/>
  <c r="M1185" i="1"/>
  <c r="G1091" i="1"/>
  <c r="B1473" i="1"/>
  <c r="P1221" i="1"/>
  <c r="J1165" i="1"/>
  <c r="G1121" i="1"/>
  <c r="I1278" i="1"/>
  <c r="L1173" i="1"/>
  <c r="C1496" i="1"/>
  <c r="M1175" i="1"/>
  <c r="G1149" i="1"/>
  <c r="N1169" i="1"/>
  <c r="B1312" i="1"/>
  <c r="L1285" i="1"/>
  <c r="E1142" i="1"/>
  <c r="O1275" i="1"/>
  <c r="M1186" i="1"/>
  <c r="K1381" i="1"/>
  <c r="I1125" i="1"/>
  <c r="H1259" i="1"/>
  <c r="N1132" i="1"/>
  <c r="A1232" i="1"/>
  <c r="I1085" i="1"/>
  <c r="H1585" i="1"/>
  <c r="D1258" i="1"/>
  <c r="H1091" i="1"/>
  <c r="H1242" i="1"/>
  <c r="N1120" i="1"/>
  <c r="A1220" i="1"/>
  <c r="F1172" i="1"/>
  <c r="L1138" i="1"/>
  <c r="C1166" i="1"/>
  <c r="C1015" i="1"/>
  <c r="E954" i="1"/>
  <c r="B1633" i="1"/>
  <c r="J1261" i="1"/>
  <c r="J1327" i="1"/>
  <c r="M1254" i="1"/>
  <c r="L1318" i="1"/>
  <c r="M1214" i="1"/>
  <c r="L1291" i="1"/>
  <c r="E1185" i="1"/>
  <c r="K1314" i="1"/>
  <c r="G1171" i="1"/>
  <c r="B1377" i="1"/>
  <c r="L1163" i="1"/>
  <c r="H1111" i="1"/>
  <c r="C1177" i="1"/>
  <c r="A1331" i="1"/>
  <c r="K1238" i="1"/>
  <c r="J1071" i="1"/>
  <c r="M1367" i="1"/>
  <c r="M1220" i="1"/>
  <c r="J1151" i="1"/>
  <c r="K1360" i="1"/>
  <c r="I1148" i="1"/>
  <c r="J1193" i="1"/>
  <c r="D1117" i="1"/>
  <c r="H1291" i="1"/>
  <c r="M1172" i="1"/>
  <c r="G1413" i="1"/>
  <c r="I1270" i="1"/>
  <c r="L1283" i="1"/>
  <c r="E1336" i="1"/>
  <c r="F1317" i="1"/>
  <c r="O1390" i="1"/>
  <c r="O1350" i="1"/>
  <c r="O1175" i="1"/>
  <c r="F1368" i="1"/>
  <c r="I1316" i="1"/>
  <c r="L1332" i="1"/>
  <c r="E1403" i="1"/>
  <c r="E1335" i="1"/>
  <c r="N1283" i="1"/>
  <c r="E1323" i="1"/>
  <c r="P1310" i="1"/>
  <c r="N1264" i="1"/>
  <c r="A1339" i="1"/>
  <c r="G1479" i="1"/>
  <c r="A1377" i="1"/>
  <c r="L1280" i="1"/>
  <c r="H1298" i="1"/>
  <c r="D1252" i="1"/>
  <c r="C1369" i="1"/>
  <c r="E1282" i="1"/>
  <c r="I1343" i="1"/>
  <c r="C1370" i="1"/>
  <c r="I1217" i="1"/>
  <c r="P1237" i="1"/>
  <c r="E1370" i="1"/>
  <c r="O1570" i="1"/>
  <c r="A1405" i="1"/>
  <c r="N1320" i="1"/>
  <c r="G1285" i="1"/>
  <c r="I1280" i="1"/>
  <c r="D1306" i="1"/>
  <c r="M1227" i="1"/>
  <c r="K1253" i="1"/>
  <c r="F1303" i="1"/>
  <c r="L1357" i="1"/>
  <c r="B1207" i="1"/>
  <c r="B1389" i="1"/>
  <c r="B1167" i="1"/>
  <c r="F1301" i="1"/>
  <c r="E1214" i="1"/>
  <c r="F1408" i="1"/>
  <c r="E1386" i="1"/>
  <c r="H1301" i="1"/>
  <c r="L1369" i="1"/>
  <c r="G1376" i="1"/>
  <c r="P1217" i="1"/>
  <c r="C1516" i="1"/>
  <c r="P1181" i="1"/>
  <c r="J1345" i="1"/>
  <c r="C1227" i="1"/>
  <c r="A1306" i="1"/>
  <c r="K1444" i="1"/>
  <c r="M1427" i="1"/>
  <c r="L1361" i="1"/>
  <c r="J1270" i="1"/>
  <c r="F1292" i="1"/>
  <c r="A1281" i="1"/>
  <c r="A1346" i="1"/>
  <c r="O1348" i="1"/>
  <c r="G1263" i="1"/>
  <c r="N1262" i="1"/>
  <c r="B1284" i="1"/>
  <c r="F1267" i="1"/>
  <c r="B1326" i="1"/>
  <c r="J1259" i="1"/>
  <c r="P1327" i="1"/>
  <c r="F1342" i="1"/>
  <c r="G1125" i="1"/>
  <c r="P1374" i="1"/>
  <c r="C1285" i="1"/>
  <c r="O1308" i="1"/>
  <c r="L1269" i="1"/>
  <c r="F1276" i="1"/>
  <c r="N1084" i="1"/>
  <c r="M1281" i="1"/>
  <c r="A1271" i="1"/>
  <c r="O1116" i="1"/>
  <c r="F956" i="1"/>
  <c r="O1206" i="1"/>
  <c r="F1165" i="1"/>
  <c r="P1100" i="1"/>
  <c r="A1086" i="1"/>
  <c r="O1166" i="1"/>
  <c r="M1173" i="1"/>
  <c r="K1054" i="1"/>
  <c r="A1120" i="1"/>
  <c r="M1157" i="1"/>
  <c r="N1238" i="1"/>
  <c r="O1099" i="1"/>
  <c r="A1311" i="1"/>
  <c r="M1154" i="1"/>
  <c r="K1042" i="1"/>
  <c r="M1033" i="1"/>
  <c r="N1196" i="1"/>
  <c r="J1054" i="1"/>
  <c r="L997" i="1"/>
  <c r="H906" i="1"/>
  <c r="H1311" i="1"/>
  <c r="P1280" i="1"/>
  <c r="B1282" i="1"/>
  <c r="G1297" i="1"/>
  <c r="N1227" i="1"/>
  <c r="I1306" i="1"/>
  <c r="C1186" i="1"/>
  <c r="A1358" i="1"/>
  <c r="G1214" i="1"/>
  <c r="L1201" i="1"/>
  <c r="N1195" i="1"/>
  <c r="B1262" i="1"/>
  <c r="I1126" i="1"/>
  <c r="D1226" i="1"/>
  <c r="A1192" i="1"/>
  <c r="F920" i="1"/>
  <c r="I1239" i="1"/>
  <c r="D1186" i="1"/>
  <c r="I1429" i="1"/>
  <c r="K1176" i="1"/>
  <c r="C1381" i="1"/>
  <c r="B1250" i="1"/>
  <c r="N1219" i="1"/>
  <c r="I960" i="1"/>
  <c r="D1174" i="1"/>
  <c r="L1496" i="1"/>
  <c r="F1194" i="1"/>
  <c r="K1235" i="1"/>
  <c r="C1062" i="1"/>
  <c r="D1141" i="1"/>
  <c r="C1194" i="1"/>
  <c r="F1089" i="1"/>
  <c r="G1298" i="1"/>
  <c r="C1386" i="1"/>
  <c r="I1326" i="1"/>
  <c r="E1471" i="1"/>
  <c r="L1301" i="1"/>
  <c r="B1297" i="1"/>
  <c r="G1141" i="1"/>
  <c r="A1485" i="1"/>
  <c r="G1182" i="1"/>
  <c r="G1148" i="1"/>
  <c r="M1145" i="1"/>
  <c r="N1226" i="1"/>
  <c r="G1261" i="1"/>
  <c r="D1194" i="1"/>
  <c r="L1376" i="1"/>
  <c r="F1247" i="1"/>
  <c r="K1168" i="1"/>
  <c r="D1253" i="1"/>
  <c r="M1256" i="1"/>
  <c r="H1228" i="1"/>
  <c r="D1326" i="1"/>
  <c r="G1362" i="1"/>
  <c r="J1355" i="1"/>
  <c r="A1258" i="1"/>
  <c r="E1204" i="1"/>
  <c r="E1168" i="1"/>
  <c r="M1265" i="1"/>
  <c r="C1188" i="1"/>
  <c r="I1271" i="1"/>
  <c r="O1407" i="1"/>
  <c r="O1380" i="1"/>
  <c r="A1304" i="1"/>
  <c r="D1328" i="1"/>
  <c r="O1398" i="1"/>
  <c r="O1330" i="1"/>
  <c r="J1207" i="1"/>
  <c r="G1351" i="1"/>
  <c r="L1274" i="1"/>
  <c r="O1410" i="1"/>
  <c r="I1451" i="1"/>
  <c r="F1364" i="1"/>
  <c r="M1255" i="1"/>
  <c r="I1339" i="1"/>
  <c r="L1262" i="1"/>
  <c r="O1402" i="1"/>
  <c r="A1230" i="1"/>
  <c r="O1366" i="1"/>
  <c r="H1250" i="1"/>
  <c r="B1318" i="1"/>
  <c r="C1413" i="1"/>
  <c r="J1175" i="1"/>
  <c r="N1340" i="1"/>
  <c r="M1525" i="1"/>
  <c r="M1299" i="1"/>
  <c r="C1240" i="1"/>
  <c r="K1271" i="1"/>
  <c r="C1168" i="1"/>
  <c r="I1225" i="1"/>
  <c r="P1245" i="1"/>
  <c r="A1453" i="1"/>
  <c r="P1177" i="1"/>
  <c r="H1295" i="1"/>
  <c r="K1154" i="1"/>
  <c r="I1342" i="1"/>
  <c r="K1114" i="1"/>
  <c r="E1351" i="1"/>
  <c r="M1515" i="1"/>
  <c r="P1297" i="1"/>
  <c r="H1348" i="1"/>
  <c r="H1226" i="1"/>
  <c r="B1298" i="1"/>
  <c r="K1319" i="1"/>
  <c r="G1260" i="1"/>
  <c r="P1283" i="1"/>
  <c r="C1162" i="1"/>
  <c r="I1290" i="1"/>
  <c r="C1198" i="1"/>
  <c r="L1303" i="1"/>
  <c r="B1490" i="1"/>
  <c r="A1413" i="1"/>
  <c r="J1358" i="1"/>
  <c r="I1257" i="1"/>
  <c r="E1279" i="1"/>
  <c r="O1273" i="1"/>
  <c r="M1341" i="1"/>
  <c r="O1227" i="1"/>
  <c r="A1517" i="1"/>
  <c r="O1363" i="1"/>
  <c r="C1181" i="1"/>
  <c r="H1173" i="1"/>
  <c r="B1253" i="1"/>
  <c r="M1246" i="1"/>
  <c r="G1325" i="1"/>
  <c r="P1281" i="1"/>
  <c r="E1267" i="1"/>
  <c r="J1280" i="1"/>
  <c r="O1179" i="1"/>
  <c r="P1295" i="1"/>
  <c r="J1163" i="1"/>
  <c r="I1366" i="1"/>
  <c r="O1304" i="1"/>
  <c r="J1135" i="1"/>
  <c r="F1133" i="1"/>
  <c r="A1177" i="1"/>
  <c r="K1178" i="1"/>
  <c r="L1259" i="1"/>
  <c r="O1112" i="1"/>
  <c r="F952" i="1"/>
  <c r="H943" i="1"/>
  <c r="D1218" i="1"/>
  <c r="A1176" i="1"/>
  <c r="M1253" i="1"/>
  <c r="D1338" i="1"/>
  <c r="K1113" i="1"/>
  <c r="P1176" i="1"/>
  <c r="I992" i="1"/>
  <c r="D1206" i="1"/>
  <c r="P1155" i="1"/>
  <c r="L1273" i="1"/>
  <c r="G1231" i="1"/>
  <c r="L1156" i="1"/>
  <c r="I1123" i="1"/>
  <c r="B1102" i="1"/>
  <c r="D1475" i="1"/>
  <c r="A1317" i="1"/>
  <c r="O1248" i="1"/>
  <c r="P1173" i="1"/>
  <c r="C1376" i="1"/>
  <c r="J1231" i="1"/>
  <c r="C1201" i="1"/>
  <c r="A1421" i="1"/>
  <c r="O1247" i="1"/>
  <c r="E1285" i="1"/>
  <c r="K1213" i="1"/>
  <c r="K1133" i="1"/>
  <c r="P1196" i="1"/>
  <c r="I1012" i="1"/>
  <c r="N1187" i="1"/>
  <c r="N1254" i="1"/>
  <c r="C1121" i="1"/>
  <c r="C1109" i="1"/>
  <c r="M1133" i="1"/>
  <c r="N1214" i="1"/>
  <c r="J1210" i="1"/>
  <c r="G1383" i="1"/>
  <c r="L1239" i="1"/>
  <c r="L1221" i="1"/>
  <c r="B1255" i="1"/>
  <c r="M1121" i="1"/>
  <c r="N1202" i="1"/>
  <c r="D1180" i="1"/>
  <c r="P1269" i="1"/>
  <c r="B1159" i="1"/>
  <c r="L1144" i="1"/>
  <c r="E1050" i="1"/>
  <c r="J1460" i="1"/>
  <c r="H1284" i="1"/>
  <c r="M1163" i="1"/>
  <c r="D1255" i="1"/>
  <c r="P1299" i="1"/>
  <c r="P1194" i="1"/>
  <c r="K1286" i="1"/>
  <c r="E1261" i="1"/>
  <c r="J1323" i="1"/>
  <c r="N1233" i="1"/>
  <c r="J1369" i="1"/>
  <c r="K1101" i="1"/>
  <c r="P1164" i="1"/>
  <c r="I980" i="1"/>
  <c r="M1141" i="1"/>
  <c r="N1222" i="1"/>
  <c r="L1237" i="1"/>
  <c r="I1166" i="1"/>
  <c r="M1258" i="1"/>
  <c r="N1182" i="1"/>
  <c r="I1149" i="1"/>
  <c r="P1300" i="1"/>
  <c r="L1207" i="1"/>
  <c r="H1155" i="1"/>
  <c r="E1337" i="1"/>
  <c r="N1215" i="1"/>
  <c r="N1170" i="1"/>
  <c r="I1137" i="1"/>
  <c r="K1401" i="1"/>
  <c r="K1163" i="1"/>
  <c r="C1079" i="1"/>
  <c r="E1018" i="1"/>
  <c r="M1501" i="1"/>
  <c r="A1194" i="1"/>
  <c r="L1393" i="1"/>
  <c r="H1237" i="1"/>
  <c r="C1205" i="1"/>
  <c r="H1197" i="1"/>
  <c r="G1302" i="1"/>
  <c r="B1195" i="1"/>
  <c r="A1335" i="1"/>
  <c r="E1376" i="1"/>
  <c r="N1324" i="1"/>
  <c r="L1227" i="1"/>
  <c r="C1191" i="1"/>
  <c r="I1282" i="1"/>
  <c r="F1387" i="1"/>
  <c r="O1180" i="1"/>
  <c r="I944" i="1"/>
  <c r="I1296" i="1"/>
  <c r="M1264" i="1"/>
  <c r="E1130" i="1"/>
  <c r="M1315" i="1"/>
  <c r="M1183" i="1"/>
  <c r="C1155" i="1"/>
  <c r="G1200" i="1"/>
  <c r="O1395" i="1"/>
  <c r="E1408" i="1"/>
  <c r="E1118" i="1"/>
  <c r="N1083" i="1"/>
  <c r="F1157" i="1"/>
  <c r="A996" i="1"/>
  <c r="L1103" i="1"/>
  <c r="I1035" i="1"/>
  <c r="E1264" i="1"/>
  <c r="K1409" i="1"/>
  <c r="A1310" i="1"/>
  <c r="B1218" i="1"/>
  <c r="A1266" i="1"/>
  <c r="J1326" i="1"/>
  <c r="J1306" i="1"/>
  <c r="K1280" i="1"/>
  <c r="H1247" i="1"/>
  <c r="I1252" i="1"/>
  <c r="O1340" i="1"/>
  <c r="K1190" i="1"/>
  <c r="O1145" i="1"/>
  <c r="E1188" i="1"/>
  <c r="L1191" i="1"/>
  <c r="H1139" i="1"/>
  <c r="P1075" i="1"/>
  <c r="O1386" i="1"/>
  <c r="K1283" i="1"/>
  <c r="H1099" i="1"/>
  <c r="A1241" i="1"/>
  <c r="E1250" i="1"/>
  <c r="I1193" i="1"/>
  <c r="E1348" i="1"/>
  <c r="B1310" i="1"/>
  <c r="G1253" i="1"/>
  <c r="H1087" i="1"/>
  <c r="P1023" i="1"/>
  <c r="G1251" i="1"/>
  <c r="H1031" i="1"/>
  <c r="F1242" i="1"/>
  <c r="K1219" i="1"/>
  <c r="M1273" i="1"/>
  <c r="H1312" i="1"/>
  <c r="O1223" i="1"/>
  <c r="A1156" i="1"/>
  <c r="E1387" i="1"/>
  <c r="O1307" i="1"/>
  <c r="E1212" i="1"/>
  <c r="L1230" i="1"/>
  <c r="B1200" i="1"/>
  <c r="F1184" i="1"/>
  <c r="J1172" i="1"/>
  <c r="I1213" i="1"/>
  <c r="G1102" i="1"/>
  <c r="H1169" i="1"/>
  <c r="C1139" i="1"/>
  <c r="I1115" i="1"/>
  <c r="I1195" i="1"/>
  <c r="E1177" i="1"/>
  <c r="L1213" i="1"/>
  <c r="P1127" i="1"/>
  <c r="N1279" i="1"/>
  <c r="G1191" i="1"/>
  <c r="F1213" i="1"/>
  <c r="H1028" i="1"/>
  <c r="I1136" i="1"/>
  <c r="D1185" i="1"/>
  <c r="E1521" i="1"/>
  <c r="D1279" i="1"/>
  <c r="O1199" i="1"/>
  <c r="O1163" i="1"/>
  <c r="J1256" i="1"/>
  <c r="M1222" i="1"/>
  <c r="K1274" i="1"/>
  <c r="J1196" i="1"/>
  <c r="O1427" i="1"/>
  <c r="E1257" i="1"/>
  <c r="A1268" i="1"/>
  <c r="C1196" i="1"/>
  <c r="P1241" i="1"/>
  <c r="D1142" i="1"/>
  <c r="I1402" i="1"/>
  <c r="M1326" i="1"/>
  <c r="L1256" i="1"/>
  <c r="J1495" i="1"/>
  <c r="K1447" i="1"/>
  <c r="O1230" i="1"/>
  <c r="K1295" i="1"/>
  <c r="G1317" i="1"/>
  <c r="N1247" i="1"/>
  <c r="E1396" i="1"/>
  <c r="I1264" i="1"/>
  <c r="D1270" i="1"/>
  <c r="G1378" i="1"/>
  <c r="C1406" i="1"/>
  <c r="D1511" i="1"/>
  <c r="E1334" i="1"/>
  <c r="E1442" i="1"/>
  <c r="J1265" i="1"/>
  <c r="H1316" i="1"/>
  <c r="M1392" i="1"/>
  <c r="H1263" i="1"/>
  <c r="N1301" i="1"/>
  <c r="M1195" i="1"/>
  <c r="C1249" i="1"/>
  <c r="H1241" i="1"/>
  <c r="K1318" i="1"/>
  <c r="H1231" i="1"/>
  <c r="J1278" i="1"/>
  <c r="M1307" i="1"/>
  <c r="C1244" i="1"/>
  <c r="E1571" i="1"/>
  <c r="F1372" i="1"/>
  <c r="L1559" i="1"/>
  <c r="M1282" i="1"/>
  <c r="M1312" i="1"/>
  <c r="L1405" i="1"/>
  <c r="B1219" i="1"/>
  <c r="P1410" i="1"/>
  <c r="B1183" i="1"/>
  <c r="B1333" i="1"/>
  <c r="F1359" i="1"/>
  <c r="E1505" i="1"/>
  <c r="I1194" i="1"/>
  <c r="G1477" i="1"/>
  <c r="C1378" i="1"/>
  <c r="M1435" i="1"/>
  <c r="P1287" i="1"/>
  <c r="C1170" i="1"/>
  <c r="N1328" i="1"/>
  <c r="G1129" i="1"/>
  <c r="I1258" i="1"/>
  <c r="L1146" i="1"/>
  <c r="L1271" i="1"/>
  <c r="J1208" i="1"/>
  <c r="A1312" i="1"/>
  <c r="J1390" i="1"/>
  <c r="I1261" i="1"/>
  <c r="K1342" i="1"/>
  <c r="A1390" i="1"/>
  <c r="J1333" i="1"/>
  <c r="C1215" i="1"/>
  <c r="C1279" i="1"/>
  <c r="F1403" i="1"/>
  <c r="A1265" i="1"/>
  <c r="G1217" i="1"/>
  <c r="J1316" i="1"/>
  <c r="I1171" i="1"/>
  <c r="P1228" i="1"/>
  <c r="I1044" i="1"/>
  <c r="F1129" i="1"/>
  <c r="A1173" i="1"/>
  <c r="A1167" i="1"/>
  <c r="O1151" i="1"/>
  <c r="N1171" i="1"/>
  <c r="N1246" i="1"/>
  <c r="I1110" i="1"/>
  <c r="E1327" i="1"/>
  <c r="C1385" i="1"/>
  <c r="G1124" i="1"/>
  <c r="C1042" i="1"/>
  <c r="M1153" i="1"/>
  <c r="N1234" i="1"/>
  <c r="I1094" i="1"/>
  <c r="L1253" i="1"/>
  <c r="F1190" i="1"/>
  <c r="C1100" i="1"/>
  <c r="E1082" i="1"/>
  <c r="A1495" i="1"/>
  <c r="A1401" i="1"/>
  <c r="O1347" i="1"/>
  <c r="J1315" i="1"/>
  <c r="I1292" i="1"/>
  <c r="E1262" i="1"/>
  <c r="A1294" i="1"/>
  <c r="M1210" i="1"/>
  <c r="D1126" i="1"/>
  <c r="P1136" i="1"/>
  <c r="F1383" i="1"/>
  <c r="G1178" i="1"/>
  <c r="G1144" i="1"/>
  <c r="K1181" i="1"/>
  <c r="K1129" i="1"/>
  <c r="P1192" i="1"/>
  <c r="I1008" i="1"/>
  <c r="C1380" i="1"/>
  <c r="K1089" i="1"/>
  <c r="P1247" i="1"/>
  <c r="I968" i="1"/>
  <c r="J1171" i="1"/>
  <c r="N1177" i="1"/>
  <c r="E1273" i="1"/>
  <c r="P1303" i="1"/>
  <c r="B1234" i="1"/>
  <c r="B1209" i="1"/>
  <c r="I956" i="1"/>
  <c r="O1205" i="1"/>
  <c r="H1084" i="1"/>
  <c r="D1046" i="1"/>
  <c r="J1108" i="1"/>
  <c r="B1283" i="1"/>
  <c r="M1295" i="1"/>
  <c r="O1321" i="1"/>
  <c r="M1187" i="1"/>
  <c r="E1305" i="1"/>
  <c r="M1269" i="1"/>
  <c r="L1284" i="1"/>
  <c r="B1227" i="1"/>
  <c r="K1118" i="1"/>
  <c r="G1326" i="1"/>
  <c r="B1327" i="1"/>
  <c r="G1264" i="1"/>
  <c r="G1112" i="1"/>
  <c r="J1337" i="1"/>
  <c r="K1097" i="1"/>
  <c r="P1160" i="1"/>
  <c r="I976" i="1"/>
  <c r="B1305" i="1"/>
  <c r="C1488" i="1"/>
  <c r="O1164" i="1"/>
  <c r="P1330" i="1"/>
  <c r="A1119" i="1"/>
  <c r="B1222" i="1"/>
  <c r="H1200" i="1"/>
  <c r="O1290" i="1"/>
  <c r="G1330" i="1"/>
  <c r="E1150" i="1"/>
  <c r="C1179" i="1"/>
  <c r="O1312" i="1"/>
  <c r="A1040" i="1"/>
  <c r="D1014" i="1"/>
  <c r="I1067" i="1"/>
  <c r="A1368" i="1"/>
  <c r="A1225" i="1"/>
  <c r="B1365" i="1"/>
  <c r="K1122" i="1"/>
  <c r="A1298" i="1"/>
  <c r="G1400" i="1"/>
  <c r="A1406" i="1"/>
  <c r="P1351" i="1"/>
  <c r="J1206" i="1"/>
  <c r="D1171" i="1"/>
  <c r="G1117" i="1"/>
  <c r="N1165" i="1"/>
  <c r="F1166" i="1"/>
  <c r="D1291" i="1"/>
  <c r="L1223" i="1"/>
  <c r="C1183" i="1"/>
  <c r="L1131" i="1"/>
  <c r="D1236" i="1"/>
  <c r="L1183" i="1"/>
  <c r="H1131" i="1"/>
  <c r="N1321" i="1"/>
  <c r="J1204" i="1"/>
  <c r="E1239" i="1"/>
  <c r="G1114" i="1"/>
  <c r="L1426" i="1"/>
  <c r="L1171" i="1"/>
  <c r="H1119" i="1"/>
  <c r="P1055" i="1"/>
  <c r="P1156" i="1"/>
  <c r="H1075" i="1"/>
  <c r="B954" i="1"/>
  <c r="G1167" i="1"/>
  <c r="A1359" i="1"/>
  <c r="N1263" i="1"/>
  <c r="O1332" i="1"/>
  <c r="L1178" i="1"/>
  <c r="L1344" i="1"/>
  <c r="L1320" i="1"/>
  <c r="P1260" i="1"/>
  <c r="O1272" i="1"/>
  <c r="B1232" i="1"/>
  <c r="M1118" i="1"/>
  <c r="M1257" i="1"/>
  <c r="C1294" i="1"/>
  <c r="G1134" i="1"/>
  <c r="K1316" i="1"/>
  <c r="K1182" i="1"/>
  <c r="D1325" i="1"/>
  <c r="B1131" i="1"/>
  <c r="M1218" i="1"/>
  <c r="C1131" i="1"/>
  <c r="F1200" i="1"/>
  <c r="O1354" i="1"/>
  <c r="F1259" i="1"/>
  <c r="F1245" i="1"/>
  <c r="H1060" i="1"/>
  <c r="B1203" i="1"/>
  <c r="C1119" i="1"/>
  <c r="J1154" i="1"/>
  <c r="B1142" i="1"/>
  <c r="N1186" i="1"/>
  <c r="C1157" i="1"/>
  <c r="A1195" i="1"/>
  <c r="A1059" i="1"/>
  <c r="B1408" i="1"/>
  <c r="L1224" i="1"/>
  <c r="H1281" i="1"/>
  <c r="P1246" i="1"/>
  <c r="K1303" i="1"/>
  <c r="J1536" i="1"/>
  <c r="C1313" i="1"/>
  <c r="O1196" i="1"/>
  <c r="A1203" i="1"/>
  <c r="K1296" i="1"/>
  <c r="G1366" i="1"/>
  <c r="I1283" i="1"/>
  <c r="H1080" i="1"/>
  <c r="J1168" i="1"/>
  <c r="I1209" i="1"/>
  <c r="G1098" i="1"/>
  <c r="A1089" i="1"/>
  <c r="E1198" i="1"/>
  <c r="I1169" i="1"/>
  <c r="F1113" i="1"/>
  <c r="I1156" i="1"/>
  <c r="O1225" i="1"/>
  <c r="B1161" i="1"/>
  <c r="F1000" i="1"/>
  <c r="J1260" i="1"/>
  <c r="M1356" i="1"/>
  <c r="E1154" i="1"/>
  <c r="A1187" i="1"/>
  <c r="A1134" i="1"/>
  <c r="G1153" i="1"/>
  <c r="F1243" i="1"/>
  <c r="J1330" i="1"/>
  <c r="N1190" i="1"/>
  <c r="A1280" i="1"/>
  <c r="H1123" i="1"/>
  <c r="I1105" i="1"/>
  <c r="E986" i="1"/>
  <c r="H1205" i="1"/>
  <c r="B1163" i="1"/>
  <c r="L1195" i="1"/>
  <c r="E1138" i="1"/>
  <c r="F1262" i="1"/>
  <c r="A1214" i="1"/>
  <c r="C1123" i="1"/>
  <c r="L1341" i="1"/>
  <c r="H1183" i="1"/>
  <c r="M1105" i="1"/>
  <c r="O1064" i="1"/>
  <c r="A1537" i="1"/>
  <c r="L1307" i="1"/>
  <c r="L1288" i="1"/>
  <c r="K1317" i="1"/>
  <c r="C1130" i="1"/>
  <c r="H1201" i="1"/>
  <c r="I1131" i="1"/>
  <c r="L1159" i="1"/>
  <c r="P1043" i="1"/>
  <c r="G1233" i="1"/>
  <c r="M1335" i="1"/>
  <c r="I1161" i="1"/>
  <c r="A1297" i="1"/>
  <c r="J1139" i="1"/>
  <c r="J1019" i="1"/>
  <c r="N1232" i="1"/>
  <c r="N1118" i="1"/>
  <c r="O1032" i="1"/>
  <c r="G1085" i="1"/>
  <c r="J1359" i="1"/>
  <c r="F1293" i="1"/>
  <c r="J1393" i="1"/>
  <c r="K1232" i="1"/>
  <c r="G1274" i="1"/>
  <c r="E1183" i="1"/>
  <c r="D1308" i="1"/>
  <c r="E1211" i="1"/>
  <c r="D1563" i="1"/>
  <c r="M1313" i="1"/>
  <c r="O1502" i="1"/>
  <c r="K1259" i="1"/>
  <c r="P1143" i="1"/>
  <c r="C1289" i="1"/>
  <c r="G1241" i="1"/>
  <c r="L1241" i="1"/>
  <c r="P1011" i="1"/>
  <c r="C1303" i="1"/>
  <c r="G1201" i="1"/>
  <c r="E1152" i="1"/>
  <c r="L1260" i="1"/>
  <c r="L1202" i="1"/>
  <c r="D1243" i="1"/>
  <c r="G1061" i="1"/>
  <c r="H1264" i="1"/>
  <c r="J1324" i="1"/>
  <c r="B1171" i="1"/>
  <c r="I1072" i="1"/>
  <c r="D1262" i="1"/>
  <c r="F960" i="1"/>
  <c r="C1154" i="1"/>
  <c r="F1163" i="1"/>
  <c r="C947" i="1"/>
  <c r="F1077" i="1"/>
  <c r="C1110" i="1"/>
  <c r="A1157" i="1"/>
  <c r="C943" i="1"/>
  <c r="F1073" i="1"/>
  <c r="G1265" i="1"/>
  <c r="O1135" i="1"/>
  <c r="L1168" i="1"/>
  <c r="N1076" i="1"/>
  <c r="A1236" i="1"/>
  <c r="I1130" i="1"/>
  <c r="M1160" i="1"/>
  <c r="G1111" i="1"/>
  <c r="K967" i="1"/>
  <c r="D1115" i="1"/>
  <c r="O1038" i="1"/>
  <c r="P1124" i="1"/>
  <c r="I962" i="1"/>
  <c r="K977" i="1"/>
  <c r="L1135" i="1"/>
  <c r="G990" i="1"/>
  <c r="P1022" i="1"/>
  <c r="H965" i="1"/>
  <c r="A1112" i="1"/>
  <c r="C1420" i="1"/>
  <c r="E1230" i="1"/>
  <c r="E1221" i="1"/>
  <c r="G1356" i="1"/>
  <c r="O1260" i="1"/>
  <c r="G1242" i="1"/>
  <c r="A1117" i="1"/>
  <c r="F1130" i="1"/>
  <c r="F1045" i="1"/>
  <c r="O1202" i="1"/>
  <c r="A1113" i="1"/>
  <c r="H1116" i="1"/>
  <c r="F1041" i="1"/>
  <c r="P1212" i="1"/>
  <c r="F1232" i="1"/>
  <c r="M1131" i="1"/>
  <c r="P1150" i="1"/>
  <c r="P1188" i="1"/>
  <c r="L1217" i="1"/>
  <c r="M1127" i="1"/>
  <c r="G1126" i="1"/>
  <c r="K935" i="1"/>
  <c r="N1069" i="1"/>
  <c r="O1006" i="1"/>
  <c r="O1155" i="1"/>
  <c r="M1237" i="1"/>
  <c r="K945" i="1"/>
  <c r="C1018" i="1"/>
  <c r="G958" i="1"/>
  <c r="D952" i="1"/>
  <c r="N911" i="1"/>
  <c r="E1179" i="1"/>
  <c r="O1160" i="1"/>
  <c r="G1029" i="1"/>
  <c r="I1240" i="1"/>
  <c r="L1087" i="1"/>
  <c r="K1239" i="1"/>
  <c r="C1096" i="1"/>
  <c r="E1078" i="1"/>
  <c r="G1050" i="1"/>
  <c r="K1207" i="1"/>
  <c r="C1092" i="1"/>
  <c r="E1074" i="1"/>
  <c r="I1200" i="1"/>
  <c r="H931" i="1"/>
  <c r="E1121" i="1"/>
  <c r="O1169" i="1"/>
  <c r="C1258" i="1"/>
  <c r="H927" i="1"/>
  <c r="I1374" i="1"/>
  <c r="G1128" i="1"/>
  <c r="K1116" i="1"/>
  <c r="J1116" i="1"/>
  <c r="O1039" i="1"/>
  <c r="H1186" i="1"/>
  <c r="A1051" i="1"/>
  <c r="P1056" i="1"/>
  <c r="P1231" i="1"/>
  <c r="N948" i="1"/>
  <c r="A1081" i="1"/>
  <c r="A1263" i="1"/>
  <c r="L1238" i="1"/>
  <c r="N1347" i="1"/>
  <c r="P1222" i="1"/>
  <c r="O1129" i="1"/>
  <c r="O1132" i="1"/>
  <c r="P1186" i="1"/>
  <c r="L1209" i="1"/>
  <c r="D1160" i="1"/>
  <c r="O1108" i="1"/>
  <c r="E1157" i="1"/>
  <c r="H1195" i="1"/>
  <c r="I1154" i="1"/>
  <c r="H1196" i="1"/>
  <c r="J1074" i="1"/>
  <c r="L1017" i="1"/>
  <c r="D930" i="1"/>
  <c r="O1141" i="1"/>
  <c r="J1070" i="1"/>
  <c r="L1013" i="1"/>
  <c r="C1082" i="1"/>
  <c r="J1158" i="1"/>
  <c r="H1243" i="1"/>
  <c r="F1109" i="1"/>
  <c r="F1170" i="1"/>
  <c r="H1029" i="1"/>
  <c r="F1093" i="1"/>
  <c r="D1083" i="1"/>
  <c r="B914" i="1"/>
  <c r="N996" i="1"/>
  <c r="L1305" i="1"/>
  <c r="G1059" i="1"/>
  <c r="O1315" i="1"/>
  <c r="F1201" i="1"/>
  <c r="G1037" i="1"/>
  <c r="F1220" i="1"/>
  <c r="M1111" i="1"/>
  <c r="E1124" i="1"/>
  <c r="K1079" i="1"/>
  <c r="M1022" i="1"/>
  <c r="O959" i="1"/>
  <c r="E1116" i="1"/>
  <c r="K1075" i="1"/>
  <c r="M1018" i="1"/>
  <c r="O955" i="1"/>
  <c r="B1100" i="1"/>
  <c r="E1190" i="1"/>
  <c r="B1086" i="1"/>
  <c r="B1133" i="1"/>
  <c r="L1086" i="1"/>
  <c r="E1174" i="1"/>
  <c r="C1361" i="1"/>
  <c r="I1111" i="1"/>
  <c r="F1095" i="1"/>
  <c r="E1030" i="1"/>
  <c r="A1140" i="1"/>
  <c r="N939" i="1"/>
  <c r="C1087" i="1"/>
  <c r="C941" i="1"/>
  <c r="N1098" i="1"/>
  <c r="I1021" i="1"/>
  <c r="K1036" i="1"/>
  <c r="I1481" i="1"/>
  <c r="B1170" i="1"/>
  <c r="M1320" i="1"/>
  <c r="P1236" i="1"/>
  <c r="C951" i="1"/>
  <c r="N1178" i="1"/>
  <c r="I1146" i="1"/>
  <c r="J1185" i="1"/>
  <c r="A1027" i="1"/>
  <c r="A1307" i="1"/>
  <c r="C1141" i="1"/>
  <c r="L1176" i="1"/>
  <c r="D1135" i="1"/>
  <c r="I1145" i="1"/>
  <c r="J978" i="1"/>
  <c r="L921" i="1"/>
  <c r="P976" i="1"/>
  <c r="I1133" i="1"/>
  <c r="J974" i="1"/>
  <c r="L917" i="1"/>
  <c r="P1051" i="1"/>
  <c r="A1146" i="1"/>
  <c r="H1203" i="1"/>
  <c r="G1003" i="1"/>
  <c r="C1234" i="1"/>
  <c r="I1184" i="1"/>
  <c r="N992" i="1"/>
  <c r="G1185" i="1"/>
  <c r="I1022" i="1"/>
  <c r="K1037" i="1"/>
  <c r="P1213" i="1"/>
  <c r="A1319" i="1"/>
  <c r="O1268" i="1"/>
  <c r="D1207" i="1"/>
  <c r="A1172" i="1"/>
  <c r="D1247" i="1"/>
  <c r="G933" i="1"/>
  <c r="O1137" i="1"/>
  <c r="I1122" i="1"/>
  <c r="I1401" i="1"/>
  <c r="P1171" i="1"/>
  <c r="I1248" i="1"/>
  <c r="B1165" i="1"/>
  <c r="G1122" i="1"/>
  <c r="F1064" i="1"/>
  <c r="A1101" i="1"/>
  <c r="L1261" i="1"/>
  <c r="O1322" i="1"/>
  <c r="A1375" i="1"/>
  <c r="F1176" i="1"/>
  <c r="H1137" i="1"/>
  <c r="F1253" i="1"/>
  <c r="E1254" i="1"/>
  <c r="M1184" i="1"/>
  <c r="K1276" i="1"/>
  <c r="H1056" i="1"/>
  <c r="K1018" i="1"/>
  <c r="G1012" i="1"/>
  <c r="O1323" i="1"/>
  <c r="N1256" i="1"/>
  <c r="C1299" i="1"/>
  <c r="C1243" i="1"/>
  <c r="L1317" i="1"/>
  <c r="K1143" i="1"/>
  <c r="E1113" i="1"/>
  <c r="H1132" i="1"/>
  <c r="H1039" i="1"/>
  <c r="B1177" i="1"/>
  <c r="O1422" i="1"/>
  <c r="I1406" i="1"/>
  <c r="O1221" i="1"/>
  <c r="O1184" i="1"/>
  <c r="P991" i="1"/>
  <c r="F1255" i="1"/>
  <c r="H991" i="1"/>
  <c r="H1180" i="1"/>
  <c r="J1182" i="1"/>
  <c r="E1464" i="1"/>
  <c r="M1231" i="1"/>
  <c r="M1294" i="1"/>
  <c r="N1145" i="1"/>
  <c r="J1310" i="1"/>
  <c r="H1266" i="1"/>
  <c r="D1228" i="1"/>
  <c r="L1198" i="1"/>
  <c r="B1168" i="1"/>
  <c r="H1140" i="1"/>
  <c r="E1222" i="1"/>
  <c r="I1181" i="1"/>
  <c r="J1153" i="1"/>
  <c r="J1226" i="1"/>
  <c r="C1242" i="1"/>
  <c r="B1138" i="1"/>
  <c r="B1126" i="1"/>
  <c r="N1180" i="1"/>
  <c r="P1152" i="1"/>
  <c r="D1085" i="1"/>
  <c r="C1334" i="1"/>
  <c r="E1231" i="1"/>
  <c r="F1181" i="1"/>
  <c r="H1142" i="1"/>
  <c r="D1138" i="1"/>
  <c r="M1171" i="1"/>
  <c r="C1115" i="1"/>
  <c r="G1301" i="1"/>
  <c r="K1141" i="1"/>
  <c r="B1059" i="1"/>
  <c r="G1394" i="1"/>
  <c r="B1055" i="1"/>
  <c r="F1142" i="1"/>
  <c r="D1049" i="1"/>
  <c r="M1296" i="1"/>
  <c r="B1051" i="1"/>
  <c r="F1126" i="1"/>
  <c r="D1045" i="1"/>
  <c r="D1133" i="1"/>
  <c r="K1007" i="1"/>
  <c r="M950" i="1"/>
  <c r="O1078" i="1"/>
  <c r="B1122" i="1"/>
  <c r="K1003" i="1"/>
  <c r="M946" i="1"/>
  <c r="F992" i="1"/>
  <c r="E1017" i="1"/>
  <c r="L1073" i="1"/>
  <c r="F1074" i="1"/>
  <c r="F1175" i="1"/>
  <c r="L1056" i="1"/>
  <c r="A1239" i="1"/>
  <c r="H951" i="1"/>
  <c r="P945" i="1"/>
  <c r="F981" i="1"/>
  <c r="L914" i="1"/>
  <c r="O971" i="1"/>
  <c r="I1229" i="1"/>
  <c r="I1185" i="1"/>
  <c r="G1446" i="1"/>
  <c r="G1186" i="1"/>
  <c r="B1019" i="1"/>
  <c r="K1240" i="1"/>
  <c r="O1316" i="1"/>
  <c r="B1078" i="1"/>
  <c r="D1017" i="1"/>
  <c r="G1202" i="1"/>
  <c r="L1216" i="1"/>
  <c r="B1074" i="1"/>
  <c r="D1013" i="1"/>
  <c r="A1138" i="1"/>
  <c r="K975" i="1"/>
  <c r="J1144" i="1"/>
  <c r="O1046" i="1"/>
  <c r="A1122" i="1"/>
  <c r="K971" i="1"/>
  <c r="J1128" i="1"/>
  <c r="D1201" i="1"/>
  <c r="K1107" i="1"/>
  <c r="L1041" i="1"/>
  <c r="N978" i="1"/>
  <c r="G1208" i="1"/>
  <c r="B969" i="1"/>
  <c r="F999" i="1"/>
  <c r="O1161" i="1"/>
  <c r="J901" i="1"/>
  <c r="O921" i="1"/>
  <c r="I1351" i="1"/>
  <c r="F1266" i="1"/>
  <c r="P979" i="1"/>
  <c r="G1363" i="1"/>
  <c r="J1109" i="1"/>
  <c r="B1212" i="1"/>
  <c r="I1203" i="1"/>
  <c r="D1074" i="1"/>
  <c r="F1013" i="1"/>
  <c r="B1188" i="1"/>
  <c r="N1168" i="1"/>
  <c r="D1070" i="1"/>
  <c r="E1241" i="1"/>
  <c r="E1126" i="1"/>
  <c r="K1156" i="1"/>
  <c r="M1099" i="1"/>
  <c r="O1079" i="1"/>
  <c r="A1223" i="1"/>
  <c r="K1152" i="1"/>
  <c r="M1095" i="1"/>
  <c r="D1086" i="1"/>
  <c r="D1100" i="1"/>
  <c r="N1037" i="1"/>
  <c r="O974" i="1"/>
  <c r="M1119" i="1"/>
  <c r="G1093" i="1"/>
  <c r="J1121" i="1"/>
  <c r="P955" i="1"/>
  <c r="G926" i="1"/>
  <c r="A906" i="1"/>
  <c r="C1158" i="1"/>
  <c r="O1276" i="1"/>
  <c r="H1159" i="1"/>
  <c r="E1108" i="1"/>
  <c r="L1157" i="1"/>
  <c r="H1095" i="1"/>
  <c r="H1146" i="1"/>
  <c r="M1054" i="1"/>
  <c r="O991" i="1"/>
  <c r="H1083" i="1"/>
  <c r="H1130" i="1"/>
  <c r="M1050" i="1"/>
  <c r="O987" i="1"/>
  <c r="J1031" i="1"/>
  <c r="B1127" i="1"/>
  <c r="D1129" i="1"/>
  <c r="N1040" i="1"/>
  <c r="J1027" i="1"/>
  <c r="M1221" i="1"/>
  <c r="P1123" i="1"/>
  <c r="J1217" i="1"/>
  <c r="N1220" i="1"/>
  <c r="K1483" i="1"/>
  <c r="I1310" i="1"/>
  <c r="P1169" i="1"/>
  <c r="O1188" i="1"/>
  <c r="I1157" i="1"/>
  <c r="I1117" i="1"/>
  <c r="H1317" i="1"/>
  <c r="O1414" i="1"/>
  <c r="C1331" i="1"/>
  <c r="C1173" i="1"/>
  <c r="L1240" i="1"/>
  <c r="H1143" i="1"/>
  <c r="B1121" i="1"/>
  <c r="H1124" i="1"/>
  <c r="A1170" i="1"/>
  <c r="A1224" i="1"/>
  <c r="O1253" i="1"/>
  <c r="F1028" i="1"/>
  <c r="I1048" i="1"/>
  <c r="F1174" i="1"/>
  <c r="O1324" i="1"/>
  <c r="O1251" i="1"/>
  <c r="C1180" i="1"/>
  <c r="H1190" i="1"/>
  <c r="L1199" i="1"/>
  <c r="N1144" i="1"/>
  <c r="I1097" i="1"/>
  <c r="M1248" i="1"/>
  <c r="O1177" i="1"/>
  <c r="K1248" i="1"/>
  <c r="C1323" i="1"/>
  <c r="J1143" i="1"/>
  <c r="B1186" i="1"/>
  <c r="P1111" i="1"/>
  <c r="P1099" i="1"/>
  <c r="P1252" i="1"/>
  <c r="I1098" i="1"/>
  <c r="M1143" i="1"/>
  <c r="B934" i="1"/>
  <c r="J1402" i="1"/>
  <c r="E1206" i="1"/>
  <c r="G1250" i="1"/>
  <c r="C1325" i="1"/>
  <c r="P1264" i="1"/>
  <c r="K1392" i="1"/>
  <c r="N1303" i="1"/>
  <c r="C1146" i="1"/>
  <c r="K1147" i="1"/>
  <c r="F1265" i="1"/>
  <c r="I1410" i="1"/>
  <c r="F1233" i="1"/>
  <c r="H1048" i="1"/>
  <c r="E1218" i="1"/>
  <c r="I1177" i="1"/>
  <c r="J1137" i="1"/>
  <c r="J1111" i="1"/>
  <c r="L1214" i="1"/>
  <c r="D1251" i="1"/>
  <c r="G1069" i="1"/>
  <c r="D1158" i="1"/>
  <c r="O1193" i="1"/>
  <c r="O1128" i="1"/>
  <c r="F968" i="1"/>
  <c r="L1194" i="1"/>
  <c r="A1283" i="1"/>
  <c r="A1302" i="1"/>
  <c r="K1153" i="1"/>
  <c r="F1177" i="1"/>
  <c r="L1192" i="1"/>
  <c r="I1232" i="1"/>
  <c r="H939" i="1"/>
  <c r="E1153" i="1"/>
  <c r="P1203" i="1"/>
  <c r="I1208" i="1"/>
  <c r="H935" i="1"/>
  <c r="E1137" i="1"/>
  <c r="O1185" i="1"/>
  <c r="E1110" i="1"/>
  <c r="E1057" i="1"/>
  <c r="J1156" i="1"/>
  <c r="O903" i="1"/>
  <c r="N1090" i="1"/>
  <c r="E1053" i="1"/>
  <c r="J1140" i="1"/>
  <c r="A1334" i="1"/>
  <c r="F1246" i="1"/>
  <c r="F1212" i="1"/>
  <c r="O1069" i="1"/>
  <c r="I1011" i="1"/>
  <c r="D998" i="1"/>
  <c r="J1045" i="1"/>
  <c r="F1182" i="1"/>
  <c r="O1212" i="1"/>
  <c r="M925" i="1"/>
  <c r="F1225" i="1"/>
  <c r="I901" i="1"/>
  <c r="F1379" i="1"/>
  <c r="P1318" i="1"/>
  <c r="G1198" i="1"/>
  <c r="O1220" i="1"/>
  <c r="L1088" i="1"/>
  <c r="F1185" i="1"/>
  <c r="M1284" i="1"/>
  <c r="J1150" i="1"/>
  <c r="F1128" i="1"/>
  <c r="F1161" i="1"/>
  <c r="F1282" i="1"/>
  <c r="L1145" i="1"/>
  <c r="J1122" i="1"/>
  <c r="F1012" i="1"/>
  <c r="E1025" i="1"/>
  <c r="L1081" i="1"/>
  <c r="D1127" i="1"/>
  <c r="F1004" i="1"/>
  <c r="E1021" i="1"/>
  <c r="L1077" i="1"/>
  <c r="J1067" i="1"/>
  <c r="H1184" i="1"/>
  <c r="K1171" i="1"/>
  <c r="O1192" i="1"/>
  <c r="D1037" i="1"/>
  <c r="D934" i="1"/>
  <c r="H964" i="1"/>
  <c r="P1103" i="1"/>
  <c r="O969" i="1"/>
  <c r="E1093" i="1"/>
  <c r="E1343" i="1"/>
  <c r="F1237" i="1"/>
  <c r="N1231" i="1"/>
  <c r="E1317" i="1"/>
  <c r="H947" i="1"/>
  <c r="L1211" i="1"/>
  <c r="M1081" i="1"/>
  <c r="B1046" i="1"/>
  <c r="D985" i="1"/>
  <c r="L1187" i="1"/>
  <c r="M1077" i="1"/>
  <c r="B1042" i="1"/>
  <c r="D981" i="1"/>
  <c r="G1150" i="1"/>
  <c r="K943" i="1"/>
  <c r="N1077" i="1"/>
  <c r="O1014" i="1"/>
  <c r="G1138" i="1"/>
  <c r="K939" i="1"/>
  <c r="N1073" i="1"/>
  <c r="P1132" i="1"/>
  <c r="J1066" i="1"/>
  <c r="L1009" i="1"/>
  <c r="B920" i="1"/>
  <c r="N1192" i="1"/>
  <c r="P914" i="1"/>
  <c r="F935" i="1"/>
  <c r="F1187" i="1"/>
  <c r="N1111" i="1"/>
  <c r="D1209" i="1"/>
  <c r="K1321" i="1"/>
  <c r="G1081" i="1"/>
  <c r="M1247" i="1"/>
  <c r="F932" i="1"/>
  <c r="D1145" i="1"/>
  <c r="G957" i="1"/>
  <c r="L1046" i="1"/>
  <c r="L1118" i="1"/>
  <c r="O926" i="1"/>
  <c r="G945" i="1"/>
  <c r="L1042" i="1"/>
  <c r="H1109" i="1"/>
  <c r="O922" i="1"/>
  <c r="G1247" i="1"/>
  <c r="C1120" i="1"/>
  <c r="F1115" i="1"/>
  <c r="G1074" i="1"/>
  <c r="F1231" i="1"/>
  <c r="C1116" i="1"/>
  <c r="G1269" i="1"/>
  <c r="C1103" i="1"/>
  <c r="D1058" i="1"/>
  <c r="N1147" i="1"/>
  <c r="E1156" i="1"/>
  <c r="G1071" i="1"/>
  <c r="A1053" i="1"/>
  <c r="L1112" i="1"/>
  <c r="J1222" i="1"/>
  <c r="I878" i="1"/>
  <c r="K893" i="1"/>
  <c r="K1059" i="1"/>
  <c r="B983" i="1"/>
  <c r="M1352" i="1"/>
  <c r="L1234" i="1"/>
  <c r="D1242" i="1"/>
  <c r="G1188" i="1"/>
  <c r="H1096" i="1"/>
  <c r="D1172" i="1"/>
  <c r="J986" i="1"/>
  <c r="L929" i="1"/>
  <c r="P992" i="1"/>
  <c r="I1153" i="1"/>
  <c r="J982" i="1"/>
  <c r="L925" i="1"/>
  <c r="B1180" i="1"/>
  <c r="D1132" i="1"/>
  <c r="D1066" i="1"/>
  <c r="L1197" i="1"/>
  <c r="M1317" i="1"/>
  <c r="B1120" i="1"/>
  <c r="D1062" i="1"/>
  <c r="N1213" i="1"/>
  <c r="M1017" i="1"/>
  <c r="B998" i="1"/>
  <c r="D937" i="1"/>
  <c r="K1198" i="1"/>
  <c r="P970" i="1"/>
  <c r="D1007" i="1"/>
  <c r="J955" i="1"/>
  <c r="F1144" i="1"/>
  <c r="G948" i="1"/>
  <c r="O1053" i="1"/>
  <c r="O1211" i="1"/>
  <c r="J1094" i="1"/>
  <c r="D1294" i="1"/>
  <c r="I1052" i="1"/>
  <c r="F1081" i="1"/>
  <c r="P1206" i="1"/>
  <c r="E1065" i="1"/>
  <c r="L1208" i="1"/>
  <c r="M1288" i="1"/>
  <c r="F1378" i="1"/>
  <c r="G1319" i="1"/>
  <c r="D1202" i="1"/>
  <c r="G953" i="1"/>
  <c r="A1153" i="1"/>
  <c r="M1215" i="1"/>
  <c r="J1192" i="1"/>
  <c r="K1180" i="1"/>
  <c r="C1341" i="1"/>
  <c r="D1340" i="1"/>
  <c r="M1117" i="1"/>
  <c r="D1084" i="1"/>
  <c r="L1108" i="1"/>
  <c r="M1216" i="1"/>
  <c r="C1390" i="1"/>
  <c r="H1191" i="1"/>
  <c r="K1119" i="1"/>
  <c r="F1148" i="1"/>
  <c r="P1035" i="1"/>
  <c r="N1175" i="1"/>
  <c r="J1159" i="1"/>
  <c r="L1142" i="1"/>
  <c r="F1199" i="1"/>
  <c r="E1258" i="1"/>
  <c r="N1200" i="1"/>
  <c r="K1272" i="1"/>
  <c r="C1329" i="1"/>
  <c r="A1240" i="1"/>
  <c r="K1400" i="1"/>
  <c r="A1200" i="1"/>
  <c r="C1349" i="1"/>
  <c r="B1193" i="1"/>
  <c r="N1088" i="1"/>
  <c r="I1092" i="1"/>
  <c r="A1080" i="1"/>
  <c r="O1204" i="1"/>
  <c r="K987" i="1"/>
  <c r="K1242" i="1"/>
  <c r="O1058" i="1"/>
  <c r="A1337" i="1"/>
  <c r="D1274" i="1"/>
  <c r="D1400" i="1"/>
  <c r="H1234" i="1"/>
  <c r="B1306" i="1"/>
  <c r="G1293" i="1"/>
  <c r="K1424" i="1"/>
  <c r="H1273" i="1"/>
  <c r="N1148" i="1"/>
  <c r="A1248" i="1"/>
  <c r="O1245" i="1"/>
  <c r="P1202" i="1"/>
  <c r="F1020" i="1"/>
  <c r="J1307" i="1"/>
  <c r="F1229" i="1"/>
  <c r="H1044" i="1"/>
  <c r="B1035" i="1"/>
  <c r="H1255" i="1"/>
  <c r="F1189" i="1"/>
  <c r="D1189" i="1"/>
  <c r="L1206" i="1"/>
  <c r="F1145" i="1"/>
  <c r="A1189" i="1"/>
  <c r="N1216" i="1"/>
  <c r="A1221" i="1"/>
  <c r="B1154" i="1"/>
  <c r="L1252" i="1"/>
  <c r="P1216" i="1"/>
  <c r="J1213" i="1"/>
  <c r="F1158" i="1"/>
  <c r="E1158" i="1"/>
  <c r="H1170" i="1"/>
  <c r="M1107" i="1"/>
  <c r="M1090" i="1"/>
  <c r="E1134" i="1"/>
  <c r="H1162" i="1"/>
  <c r="M1103" i="1"/>
  <c r="B1084" i="1"/>
  <c r="I1016" i="1"/>
  <c r="J914" i="1"/>
  <c r="A1378" i="1"/>
  <c r="N1146" i="1"/>
  <c r="I1004" i="1"/>
  <c r="G1232" i="1"/>
  <c r="H1240" i="1"/>
  <c r="P967" i="1"/>
  <c r="F1196" i="1"/>
  <c r="E1115" i="1"/>
  <c r="G939" i="1"/>
  <c r="O999" i="1"/>
  <c r="C1202" i="1"/>
  <c r="C1069" i="1"/>
  <c r="P1215" i="1"/>
  <c r="I958" i="1"/>
  <c r="K973" i="1"/>
  <c r="J1063" i="1"/>
  <c r="G986" i="1"/>
  <c r="B1175" i="1"/>
  <c r="G1213" i="1"/>
  <c r="D1168" i="1"/>
  <c r="G1152" i="1"/>
  <c r="B1082" i="1"/>
  <c r="F1240" i="1"/>
  <c r="K1132" i="1"/>
  <c r="B1190" i="1"/>
  <c r="O1055" i="1"/>
  <c r="D1176" i="1"/>
  <c r="K1128" i="1"/>
  <c r="P1158" i="1"/>
  <c r="O1051" i="1"/>
  <c r="I940" i="1"/>
  <c r="K1196" i="1"/>
  <c r="B1143" i="1"/>
  <c r="O1090" i="1"/>
  <c r="I936" i="1"/>
  <c r="K1164" i="1"/>
  <c r="H1324" i="1"/>
  <c r="P923" i="1"/>
  <c r="C1144" i="1"/>
  <c r="E1083" i="1"/>
  <c r="F1106" i="1"/>
  <c r="D1107" i="1"/>
  <c r="O965" i="1"/>
  <c r="C1037" i="1"/>
  <c r="I1150" i="1"/>
  <c r="P1183" i="1"/>
  <c r="K941" i="1"/>
  <c r="G1359" i="1"/>
  <c r="I1116" i="1"/>
  <c r="N1249" i="1"/>
  <c r="O1124" i="1"/>
  <c r="E1278" i="1"/>
  <c r="G1212" i="1"/>
  <c r="K1203" i="1"/>
  <c r="F1108" i="1"/>
  <c r="L1085" i="1"/>
  <c r="G1160" i="1"/>
  <c r="H1252" i="1"/>
  <c r="J1102" i="1"/>
  <c r="H1267" i="1"/>
  <c r="F928" i="1"/>
  <c r="B1128" i="1"/>
  <c r="L1049" i="1"/>
  <c r="N994" i="1"/>
  <c r="F916" i="1"/>
  <c r="B1116" i="1"/>
  <c r="L1045" i="1"/>
  <c r="J1015" i="1"/>
  <c r="F1183" i="1"/>
  <c r="B1118" i="1"/>
  <c r="N976" i="1"/>
  <c r="D961" i="1"/>
  <c r="K896" i="1"/>
  <c r="M911" i="1"/>
  <c r="J1177" i="1"/>
  <c r="A1019" i="1"/>
  <c r="P1024" i="1"/>
  <c r="M1263" i="1"/>
  <c r="E1233" i="1"/>
  <c r="O1190" i="1"/>
  <c r="P927" i="1"/>
  <c r="L1133" i="1"/>
  <c r="I1158" i="1"/>
  <c r="J1018" i="1"/>
  <c r="L961" i="1"/>
  <c r="N1115" i="1"/>
  <c r="O1147" i="1"/>
  <c r="J1014" i="1"/>
  <c r="L957" i="1"/>
  <c r="O1194" i="1"/>
  <c r="A1109" i="1"/>
  <c r="P1106" i="1"/>
  <c r="F1037" i="1"/>
  <c r="O1170" i="1"/>
  <c r="A1105" i="1"/>
  <c r="J1099" i="1"/>
  <c r="P1267" i="1"/>
  <c r="M1061" i="1"/>
  <c r="B1030" i="1"/>
  <c r="D969" i="1"/>
  <c r="K1234" i="1"/>
  <c r="H1058" i="1"/>
  <c r="A878" i="1"/>
  <c r="N1027" i="1"/>
  <c r="K1251" i="1"/>
  <c r="H1013" i="1"/>
  <c r="P1073" i="1"/>
  <c r="C1055" i="1"/>
  <c r="J1170" i="1"/>
  <c r="D1324" i="1"/>
  <c r="C1263" i="1"/>
  <c r="C1238" i="1"/>
  <c r="A1175" i="1"/>
  <c r="N916" i="1"/>
  <c r="K1167" i="1"/>
  <c r="D1093" i="1"/>
  <c r="M1128" i="1"/>
  <c r="G1051" i="1"/>
  <c r="L1147" i="1"/>
  <c r="P1087" i="1"/>
  <c r="G1123" i="1"/>
  <c r="L1179" i="1"/>
  <c r="M1073" i="1"/>
  <c r="B1038" i="1"/>
  <c r="D977" i="1"/>
  <c r="C1314" i="1"/>
  <c r="M1069" i="1"/>
  <c r="B1034" i="1"/>
  <c r="A1168" i="1"/>
  <c r="M1225" i="1"/>
  <c r="K1162" i="1"/>
  <c r="I1138" i="1"/>
  <c r="K963" i="1"/>
  <c r="B935" i="1"/>
  <c r="I947" i="1"/>
  <c r="P1163" i="1"/>
  <c r="M926" i="1"/>
  <c r="A1082" i="1"/>
  <c r="C937" i="1"/>
  <c r="M1333" i="1"/>
  <c r="O1209" i="1"/>
  <c r="K1145" i="1"/>
  <c r="A1048" i="1"/>
  <c r="O1026" i="1"/>
  <c r="I1036" i="1"/>
  <c r="J922" i="1"/>
  <c r="L1212" i="1"/>
  <c r="C1014" i="1"/>
  <c r="N1367" i="1"/>
  <c r="M1309" i="1"/>
  <c r="N1201" i="1"/>
  <c r="E1272" i="1"/>
  <c r="H1278" i="1"/>
  <c r="C1220" i="1"/>
  <c r="N1152" i="1"/>
  <c r="D1105" i="1"/>
  <c r="K1336" i="1"/>
  <c r="H1165" i="1"/>
  <c r="J1299" i="1"/>
  <c r="B1280" i="1"/>
  <c r="B1225" i="1"/>
  <c r="F1211" i="1"/>
  <c r="B1235" i="1"/>
  <c r="E1166" i="1"/>
  <c r="J1303" i="1"/>
  <c r="J1051" i="1"/>
  <c r="A956" i="1"/>
  <c r="E1178" i="1"/>
  <c r="I1338" i="1"/>
  <c r="F1295" i="1"/>
  <c r="J1279" i="1"/>
  <c r="G1367" i="1"/>
  <c r="I1220" i="1"/>
  <c r="C1143" i="1"/>
  <c r="D1344" i="1"/>
  <c r="H1107" i="1"/>
  <c r="D1312" i="1"/>
  <c r="H1214" i="1"/>
  <c r="G1292" i="1"/>
  <c r="D1098" i="1"/>
  <c r="G1221" i="1"/>
  <c r="H1024" i="1"/>
  <c r="B1015" i="1"/>
  <c r="F1044" i="1"/>
  <c r="E1037" i="1"/>
  <c r="F1099" i="1"/>
  <c r="O883" i="1"/>
  <c r="O1310" i="1"/>
  <c r="G1404" i="1"/>
  <c r="E1224" i="1"/>
  <c r="E1291" i="1"/>
  <c r="H1260" i="1"/>
  <c r="C1372" i="1"/>
  <c r="A1264" i="1"/>
  <c r="C1241" i="1"/>
  <c r="K1304" i="1"/>
  <c r="E1114" i="1"/>
  <c r="A1276" i="1"/>
  <c r="L1248" i="1"/>
  <c r="L1137" i="1"/>
  <c r="O1241" i="1"/>
  <c r="E1193" i="1"/>
  <c r="F1016" i="1"/>
  <c r="H1007" i="1"/>
  <c r="O1201" i="1"/>
  <c r="O1136" i="1"/>
  <c r="F976" i="1"/>
  <c r="A1342" i="1"/>
  <c r="L1196" i="1"/>
  <c r="P1240" i="1"/>
  <c r="I1056" i="1"/>
  <c r="D1321" i="1"/>
  <c r="B1308" i="1"/>
  <c r="J1131" i="1"/>
  <c r="I1032" i="1"/>
  <c r="H1126" i="1"/>
  <c r="L1061" i="1"/>
  <c r="P1182" i="1"/>
  <c r="K951" i="1"/>
  <c r="M1086" i="1"/>
  <c r="O1022" i="1"/>
  <c r="G1158" i="1"/>
  <c r="K947" i="1"/>
  <c r="N1081" i="1"/>
  <c r="O1018" i="1"/>
  <c r="P1019" i="1"/>
  <c r="A1114" i="1"/>
  <c r="E1155" i="1"/>
  <c r="G979" i="1"/>
  <c r="P1015" i="1"/>
  <c r="M1108" i="1"/>
  <c r="L1162" i="1"/>
  <c r="E1209" i="1"/>
  <c r="C963" i="1"/>
  <c r="C1098" i="1"/>
  <c r="A1410" i="1"/>
  <c r="J913" i="1"/>
  <c r="A958" i="1"/>
  <c r="C1004" i="1"/>
  <c r="I1151" i="1"/>
  <c r="L1040" i="1"/>
  <c r="N1121" i="1"/>
  <c r="H915" i="1"/>
  <c r="P937" i="1"/>
  <c r="B1353" i="1"/>
  <c r="O1168" i="1"/>
  <c r="E1328" i="1"/>
  <c r="K1074" i="1"/>
  <c r="L1029" i="1"/>
  <c r="G1086" i="1"/>
  <c r="B1148" i="1"/>
  <c r="N1053" i="1"/>
  <c r="O990" i="1"/>
  <c r="P1175" i="1"/>
  <c r="B1132" i="1"/>
  <c r="N1049" i="1"/>
  <c r="O986" i="1"/>
  <c r="P975" i="1"/>
  <c r="G1216" i="1"/>
  <c r="E1123" i="1"/>
  <c r="G947" i="1"/>
  <c r="P971" i="1"/>
  <c r="M1205" i="1"/>
  <c r="F1291" i="1"/>
  <c r="A1141" i="1"/>
  <c r="M1249" i="1"/>
  <c r="F1061" i="1"/>
  <c r="N1343" i="1"/>
  <c r="D1114" i="1"/>
  <c r="F1180" i="1"/>
  <c r="C972" i="1"/>
  <c r="G1155" i="1"/>
  <c r="B961" i="1"/>
  <c r="F991" i="1"/>
  <c r="E1159" i="1"/>
  <c r="D1169" i="1"/>
  <c r="E1120" i="1"/>
  <c r="E1140" i="1"/>
  <c r="P1178" i="1"/>
  <c r="J1201" i="1"/>
  <c r="K1100" i="1"/>
  <c r="D1088" i="1"/>
  <c r="O1023" i="1"/>
  <c r="C1175" i="1"/>
  <c r="K1096" i="1"/>
  <c r="M1082" i="1"/>
  <c r="O1019" i="1"/>
  <c r="J1079" i="1"/>
  <c r="H1248" i="1"/>
  <c r="M1209" i="1"/>
  <c r="P1068" i="1"/>
  <c r="J1075" i="1"/>
  <c r="H1216" i="1"/>
  <c r="K1187" i="1"/>
  <c r="K1172" i="1"/>
  <c r="C1112" i="1"/>
  <c r="K1099" i="1"/>
  <c r="G1066" i="1"/>
  <c r="O1010" i="1"/>
  <c r="A1015" i="1"/>
  <c r="C1005" i="1"/>
  <c r="M1115" i="1"/>
  <c r="A1087" i="1"/>
  <c r="L1111" i="1"/>
  <c r="H1332" i="1"/>
  <c r="D1161" i="1"/>
  <c r="L1233" i="1"/>
  <c r="H923" i="1"/>
  <c r="A1023" i="1"/>
  <c r="C1054" i="1"/>
  <c r="P1135" i="1"/>
  <c r="C1182" i="1"/>
  <c r="J1083" i="1"/>
  <c r="C1050" i="1"/>
  <c r="B1130" i="1"/>
  <c r="G1172" i="1"/>
  <c r="G1194" i="1"/>
  <c r="P1154" i="1"/>
  <c r="B1070" i="1"/>
  <c r="D1009" i="1"/>
  <c r="G1170" i="1"/>
  <c r="P1138" i="1"/>
  <c r="B1066" i="1"/>
  <c r="I1259" i="1"/>
  <c r="A1171" i="1"/>
  <c r="J1086" i="1"/>
  <c r="B1206" i="1"/>
  <c r="A1096" i="1"/>
  <c r="B999" i="1"/>
  <c r="L1011" i="1"/>
  <c r="C1412" i="1"/>
  <c r="O914" i="1"/>
  <c r="H1163" i="1"/>
  <c r="C969" i="1"/>
  <c r="M1002" i="1"/>
  <c r="I1049" i="1"/>
  <c r="C1114" i="1"/>
  <c r="G1077" i="1"/>
  <c r="F936" i="1"/>
  <c r="O1172" i="1"/>
  <c r="A1338" i="1"/>
  <c r="D1153" i="1"/>
  <c r="C1075" i="1"/>
  <c r="E1014" i="1"/>
  <c r="H1258" i="1"/>
  <c r="P1147" i="1"/>
  <c r="C1071" i="1"/>
  <c r="E1010" i="1"/>
  <c r="H1152" i="1"/>
  <c r="H1188" i="1"/>
  <c r="L1097" i="1"/>
  <c r="P1239" i="1"/>
  <c r="H1128" i="1"/>
  <c r="K1270" i="1"/>
  <c r="F1092" i="1"/>
  <c r="O1176" i="1"/>
  <c r="H1102" i="1"/>
  <c r="M1038" i="1"/>
  <c r="O975" i="1"/>
  <c r="C959" i="1"/>
  <c r="A1095" i="1"/>
  <c r="N1127" i="1"/>
  <c r="H1239" i="1"/>
  <c r="G999" i="1"/>
  <c r="A1017" i="1"/>
  <c r="H982" i="1"/>
  <c r="J1227" i="1"/>
  <c r="O1144" i="1"/>
  <c r="P1208" i="1"/>
  <c r="L1188" i="1"/>
  <c r="G1023" i="1"/>
  <c r="P1031" i="1"/>
  <c r="M1124" i="1"/>
  <c r="N1167" i="1"/>
  <c r="G987" i="1"/>
  <c r="P1027" i="1"/>
  <c r="G1119" i="1"/>
  <c r="F1159" i="1"/>
  <c r="C1159" i="1"/>
  <c r="I1108" i="1"/>
  <c r="B974" i="1"/>
  <c r="K1302" i="1"/>
  <c r="C1135" i="1"/>
  <c r="H1101" i="1"/>
  <c r="B970" i="1"/>
  <c r="N1242" i="1"/>
  <c r="D1200" i="1"/>
  <c r="N1228" i="1"/>
  <c r="P1040" i="1"/>
  <c r="E1013" i="1"/>
  <c r="D1031" i="1"/>
  <c r="J1113" i="1"/>
  <c r="C1302" i="1"/>
  <c r="D914" i="1"/>
  <c r="A1018" i="1"/>
  <c r="C1064" i="1"/>
  <c r="N1281" i="1"/>
  <c r="B1162" i="1"/>
  <c r="G1190" i="1"/>
  <c r="A1016" i="1"/>
  <c r="O994" i="1"/>
  <c r="I952" i="1"/>
  <c r="H1211" i="1"/>
  <c r="F1152" i="1"/>
  <c r="B1251" i="1"/>
  <c r="A1162" i="1"/>
  <c r="J1419" i="1"/>
  <c r="G1222" i="1"/>
  <c r="J1224" i="1"/>
  <c r="B1176" i="1"/>
  <c r="K1228" i="1"/>
  <c r="K1051" i="1"/>
  <c r="C1320" i="1"/>
  <c r="E1287" i="1"/>
  <c r="N1198" i="1"/>
  <c r="C1118" i="1"/>
  <c r="M1268" i="1"/>
  <c r="H1068" i="1"/>
  <c r="K1123" i="1"/>
  <c r="L1153" i="1"/>
  <c r="F1241" i="1"/>
  <c r="B1047" i="1"/>
  <c r="E1069" i="1"/>
  <c r="A916" i="1"/>
  <c r="G1290" i="1"/>
  <c r="J1305" i="1"/>
  <c r="J1361" i="1"/>
  <c r="O1258" i="1"/>
  <c r="E1146" i="1"/>
  <c r="G1277" i="1"/>
  <c r="B1160" i="1"/>
  <c r="F1048" i="1"/>
  <c r="O1233" i="1"/>
  <c r="F1008" i="1"/>
  <c r="N1092" i="1"/>
  <c r="N1091" i="1"/>
  <c r="O1156" i="1"/>
  <c r="F996" i="1"/>
  <c r="H987" i="1"/>
  <c r="I964" i="1"/>
  <c r="C1345" i="1"/>
  <c r="O1153" i="1"/>
  <c r="I1223" i="1"/>
  <c r="P1288" i="1"/>
  <c r="G1410" i="1"/>
  <c r="O1219" i="1"/>
  <c r="P1375" i="1"/>
  <c r="P1197" i="1"/>
  <c r="I1288" i="1"/>
  <c r="A1111" i="1"/>
  <c r="O1438" i="1"/>
  <c r="L1167" i="1"/>
  <c r="L1345" i="1"/>
  <c r="N1112" i="1"/>
  <c r="A1212" i="1"/>
  <c r="N1135" i="1"/>
  <c r="M1245" i="1"/>
  <c r="L1232" i="1"/>
  <c r="F1132" i="1"/>
  <c r="F1120" i="1"/>
  <c r="F1153" i="1"/>
  <c r="A1197" i="1"/>
  <c r="D1256" i="1"/>
  <c r="G1310" i="1"/>
  <c r="G1230" i="1"/>
  <c r="F1224" i="1"/>
  <c r="L1124" i="1"/>
  <c r="F1141" i="1"/>
  <c r="L1297" i="1"/>
  <c r="G1287" i="1"/>
  <c r="D1330" i="1"/>
  <c r="P1113" i="1"/>
  <c r="D1053" i="1"/>
  <c r="F948" i="1"/>
  <c r="L1160" i="1"/>
  <c r="L1057" i="1"/>
  <c r="N1010" i="1"/>
  <c r="F940" i="1"/>
  <c r="B1144" i="1"/>
  <c r="L1053" i="1"/>
  <c r="J1205" i="1"/>
  <c r="A1142" i="1"/>
  <c r="C1003" i="1"/>
  <c r="E942" i="1"/>
  <c r="B1197" i="1"/>
  <c r="M1136" i="1"/>
  <c r="C999" i="1"/>
  <c r="K1117" i="1"/>
  <c r="B1075" i="1"/>
  <c r="O1012" i="1"/>
  <c r="D1065" i="1"/>
  <c r="L1151" i="1"/>
  <c r="G994" i="1"/>
  <c r="P1038" i="1"/>
  <c r="H973" i="1"/>
  <c r="F1216" i="1"/>
  <c r="D990" i="1"/>
  <c r="J1029" i="1"/>
  <c r="B1246" i="1"/>
  <c r="O1150" i="1"/>
  <c r="L1193" i="1"/>
  <c r="A1270" i="1"/>
  <c r="K1138" i="1"/>
  <c r="C1070" i="1"/>
  <c r="D1021" i="1"/>
  <c r="F1162" i="1"/>
  <c r="J1082" i="1"/>
  <c r="L1025" i="1"/>
  <c r="N946" i="1"/>
  <c r="E1265" i="1"/>
  <c r="J1078" i="1"/>
  <c r="L1021" i="1"/>
  <c r="E1210" i="1"/>
  <c r="K1255" i="1"/>
  <c r="C971" i="1"/>
  <c r="D1112" i="1"/>
  <c r="L1226" i="1"/>
  <c r="P1235" i="1"/>
  <c r="C967" i="1"/>
  <c r="M1310" i="1"/>
  <c r="B1031" i="1"/>
  <c r="A1100" i="1"/>
  <c r="D1033" i="1"/>
  <c r="C1022" i="1"/>
  <c r="G962" i="1"/>
  <c r="D960" i="1"/>
  <c r="J916" i="1"/>
  <c r="D1029" i="1"/>
  <c r="N927" i="1"/>
  <c r="H956" i="1"/>
  <c r="L1295" i="1"/>
  <c r="D1101" i="1"/>
  <c r="F1309" i="1"/>
  <c r="F964" i="1"/>
  <c r="I1135" i="1"/>
  <c r="G1041" i="1"/>
  <c r="L1078" i="1"/>
  <c r="N1021" i="1"/>
  <c r="O958" i="1"/>
  <c r="G1033" i="1"/>
  <c r="L1074" i="1"/>
  <c r="N1017" i="1"/>
  <c r="O954" i="1"/>
  <c r="P935" i="1"/>
  <c r="C1152" i="1"/>
  <c r="E1091" i="1"/>
  <c r="F1127" i="1"/>
  <c r="P931" i="1"/>
  <c r="C1148" i="1"/>
  <c r="O1162" i="1"/>
  <c r="A1097" i="1"/>
  <c r="B1093" i="1"/>
  <c r="F1029" i="1"/>
  <c r="M1277" i="1"/>
  <c r="N1008" i="1"/>
  <c r="F1086" i="1"/>
  <c r="C940" i="1"/>
  <c r="L1184" i="1"/>
  <c r="I910" i="1"/>
  <c r="M929" i="1"/>
  <c r="L1166" i="1"/>
  <c r="P1095" i="1"/>
  <c r="K1078" i="1"/>
  <c r="F1193" i="1"/>
  <c r="E1324" i="1"/>
  <c r="J1238" i="1"/>
  <c r="L1128" i="1"/>
  <c r="E1046" i="1"/>
  <c r="L1282" i="1"/>
  <c r="F1191" i="1"/>
  <c r="N1117" i="1"/>
  <c r="E1042" i="1"/>
  <c r="L1249" i="1"/>
  <c r="M1278" i="1"/>
  <c r="F1140" i="1"/>
  <c r="L1117" i="1"/>
  <c r="M1181" i="1"/>
  <c r="K1200" i="1"/>
  <c r="J1134" i="1"/>
  <c r="H1135" i="1"/>
  <c r="G1347" i="1"/>
  <c r="B1098" i="1"/>
  <c r="B1215" i="1"/>
  <c r="C1358" i="1"/>
  <c r="I1314" i="1"/>
  <c r="M1109" i="1"/>
  <c r="M1170" i="1"/>
  <c r="L1175" i="1"/>
  <c r="A1252" i="1"/>
  <c r="C1047" i="1"/>
  <c r="A1330" i="1"/>
  <c r="G1270" i="1"/>
  <c r="E1220" i="1"/>
  <c r="G1335" i="1"/>
  <c r="M1285" i="1"/>
  <c r="F1040" i="1"/>
  <c r="N1124" i="1"/>
  <c r="F1208" i="1"/>
  <c r="B1226" i="1"/>
  <c r="H1019" i="1"/>
  <c r="J926" i="1"/>
  <c r="I897" i="1"/>
  <c r="H1276" i="1"/>
  <c r="J1225" i="1"/>
  <c r="B1304" i="1"/>
  <c r="E1252" i="1"/>
  <c r="O1313" i="1"/>
  <c r="A1244" i="1"/>
  <c r="K1139" i="1"/>
  <c r="M1241" i="1"/>
  <c r="P1214" i="1"/>
  <c r="L1121" i="1"/>
  <c r="M1188" i="1"/>
  <c r="J1023" i="1"/>
  <c r="G1218" i="1"/>
  <c r="L1105" i="1"/>
  <c r="L1093" i="1"/>
  <c r="P995" i="1"/>
  <c r="G1087" i="1"/>
  <c r="E1135" i="1"/>
  <c r="B1336" i="1"/>
  <c r="A1107" i="1"/>
  <c r="L1250" i="1"/>
  <c r="A1123" i="1"/>
  <c r="O1286" i="1"/>
  <c r="A1199" i="1"/>
  <c r="M1359" i="1"/>
  <c r="H1225" i="1"/>
  <c r="H1233" i="1"/>
  <c r="C1147" i="1"/>
  <c r="B1357" i="1"/>
  <c r="M1301" i="1"/>
  <c r="H1167" i="1"/>
  <c r="B1385" i="1"/>
  <c r="N1108" i="1"/>
  <c r="A1208" i="1"/>
  <c r="F1121" i="1"/>
  <c r="H1310" i="1"/>
  <c r="A1219" i="1"/>
  <c r="P1248" i="1"/>
  <c r="I1064" i="1"/>
  <c r="H1296" i="1"/>
  <c r="G1193" i="1"/>
  <c r="E1144" i="1"/>
  <c r="E1295" i="1"/>
  <c r="I1187" i="1"/>
  <c r="H1315" i="1"/>
  <c r="N1248" i="1"/>
  <c r="N1241" i="1"/>
  <c r="B1105" i="1"/>
  <c r="F1026" i="1"/>
  <c r="F1102" i="1"/>
  <c r="K1231" i="1"/>
  <c r="I1119" i="1"/>
  <c r="O941" i="1"/>
  <c r="D1095" i="1"/>
  <c r="K1199" i="1"/>
  <c r="G1281" i="1"/>
  <c r="M1162" i="1"/>
  <c r="A936" i="1"/>
  <c r="O1052" i="1"/>
  <c r="D1123" i="1"/>
  <c r="N1136" i="1"/>
  <c r="O1277" i="1"/>
  <c r="O1048" i="1"/>
  <c r="D1183" i="1"/>
  <c r="H963" i="1"/>
  <c r="B1147" i="1"/>
  <c r="E1149" i="1"/>
  <c r="H959" i="1"/>
  <c r="P953" i="1"/>
  <c r="F989" i="1"/>
  <c r="J920" i="1"/>
  <c r="O979" i="1"/>
  <c r="O1146" i="1"/>
  <c r="C1065" i="1"/>
  <c r="I1188" i="1"/>
  <c r="I954" i="1"/>
  <c r="F1269" i="1"/>
  <c r="L1236" i="1"/>
  <c r="G1390" i="1"/>
  <c r="M1065" i="1"/>
  <c r="N954" i="1"/>
  <c r="J1043" i="1"/>
  <c r="B1210" i="1"/>
  <c r="P1139" i="1"/>
  <c r="P1120" i="1"/>
  <c r="J1035" i="1"/>
  <c r="B1151" i="1"/>
  <c r="B1134" i="1"/>
  <c r="K1149" i="1"/>
  <c r="P1088" i="1"/>
  <c r="O1020" i="1"/>
  <c r="D1073" i="1"/>
  <c r="K1125" i="1"/>
  <c r="C1083" i="1"/>
  <c r="O1016" i="1"/>
  <c r="F1249" i="1"/>
  <c r="H919" i="1"/>
  <c r="J1214" i="1"/>
  <c r="L1149" i="1"/>
  <c r="D1193" i="1"/>
  <c r="J905" i="1"/>
  <c r="C927" i="1"/>
  <c r="F886" i="1"/>
  <c r="E1101" i="1"/>
  <c r="O933" i="1"/>
  <c r="C1033" i="1"/>
  <c r="J1232" i="1"/>
  <c r="N1286" i="1"/>
  <c r="F1204" i="1"/>
  <c r="P959" i="1"/>
  <c r="F1256" i="1"/>
  <c r="I1164" i="1"/>
  <c r="J1050" i="1"/>
  <c r="L993" i="1"/>
  <c r="H902" i="1"/>
  <c r="J1142" i="1"/>
  <c r="J1046" i="1"/>
  <c r="L989" i="1"/>
  <c r="O1216" i="1"/>
  <c r="A1149" i="1"/>
  <c r="C939" i="1"/>
  <c r="F1069" i="1"/>
  <c r="L1289" i="1"/>
  <c r="A1145" i="1"/>
  <c r="C935" i="1"/>
  <c r="G1162" i="1"/>
  <c r="F1123" i="1"/>
  <c r="B1062" i="1"/>
  <c r="D1001" i="1"/>
  <c r="P963" i="1"/>
  <c r="G930" i="1"/>
  <c r="A910" i="1"/>
  <c r="N883" i="1"/>
  <c r="D941" i="1"/>
  <c r="K892" i="1"/>
  <c r="M1414" i="1"/>
  <c r="O1249" i="1"/>
  <c r="P1083" i="1"/>
  <c r="K1126" i="1"/>
  <c r="J1047" i="1"/>
  <c r="O1197" i="1"/>
  <c r="A1076" i="1"/>
  <c r="D1042" i="1"/>
  <c r="E1102" i="1"/>
  <c r="D1254" i="1"/>
  <c r="A1072" i="1"/>
  <c r="D1038" i="1"/>
  <c r="C1095" i="1"/>
  <c r="F1160" i="1"/>
  <c r="K1124" i="1"/>
  <c r="P1142" i="1"/>
  <c r="O1047" i="1"/>
  <c r="G1136" i="1"/>
  <c r="K1120" i="1"/>
  <c r="P1126" i="1"/>
  <c r="G1001" i="1"/>
  <c r="L1062" i="1"/>
  <c r="H1202" i="1"/>
  <c r="O942" i="1"/>
  <c r="M1034" i="1"/>
  <c r="I1057" i="1"/>
  <c r="K1072" i="1"/>
  <c r="K1179" i="1"/>
  <c r="H1042" i="1"/>
  <c r="O1165" i="1"/>
  <c r="N1011" i="1"/>
  <c r="H1172" i="1"/>
  <c r="N1157" i="1"/>
  <c r="O1280" i="1"/>
  <c r="N1240" i="1"/>
  <c r="P1140" i="1"/>
  <c r="H1178" i="1"/>
  <c r="H1235" i="1"/>
  <c r="P1145" i="1"/>
  <c r="B982" i="1"/>
  <c r="D921" i="1"/>
  <c r="K1174" i="1"/>
  <c r="P1129" i="1"/>
  <c r="B978" i="1"/>
  <c r="D917" i="1"/>
  <c r="G1021" i="1"/>
  <c r="L1070" i="1"/>
  <c r="N1013" i="1"/>
  <c r="O950" i="1"/>
  <c r="G1009" i="1"/>
  <c r="L1066" i="1"/>
  <c r="G1248" i="1"/>
  <c r="C1105" i="1"/>
  <c r="J1002" i="1"/>
  <c r="L945" i="1"/>
  <c r="L1036" i="1"/>
  <c r="E1054" i="1"/>
  <c r="N1022" i="1"/>
  <c r="H1081" i="1"/>
  <c r="K959" i="1"/>
  <c r="G928" i="1"/>
  <c r="I939" i="1"/>
  <c r="N1277" i="1"/>
  <c r="J1271" i="1"/>
  <c r="H975" i="1"/>
  <c r="D1238" i="1"/>
  <c r="F1179" i="1"/>
  <c r="I1243" i="1"/>
  <c r="A948" i="1"/>
  <c r="O1060" i="1"/>
  <c r="N1154" i="1"/>
  <c r="M1178" i="1"/>
  <c r="A944" i="1"/>
  <c r="O1056" i="1"/>
  <c r="N1138" i="1"/>
  <c r="E1104" i="1"/>
  <c r="K1071" i="1"/>
  <c r="M1014" i="1"/>
  <c r="O951" i="1"/>
  <c r="E1092" i="1"/>
  <c r="K1067" i="1"/>
  <c r="M1010" i="1"/>
  <c r="K1050" i="1"/>
  <c r="E1081" i="1"/>
  <c r="G1024" i="1"/>
  <c r="A932" i="1"/>
  <c r="L1069" i="1"/>
  <c r="I961" i="1"/>
  <c r="K976" i="1"/>
  <c r="B1063" i="1"/>
  <c r="G879" i="1"/>
  <c r="L896" i="1"/>
  <c r="B1056" i="1"/>
  <c r="B1278" i="1"/>
  <c r="L1089" i="1"/>
  <c r="C1074" i="1"/>
  <c r="G1094" i="1"/>
  <c r="J1236" i="1"/>
  <c r="H1168" i="1"/>
  <c r="C1145" i="1"/>
  <c r="A1407" i="1"/>
  <c r="I1370" i="1"/>
  <c r="C1218" i="1"/>
  <c r="A1291" i="1"/>
  <c r="O1300" i="1"/>
  <c r="H1148" i="1"/>
  <c r="G1110" i="1"/>
  <c r="M994" i="1"/>
  <c r="O1262" i="1"/>
  <c r="I1330" i="1"/>
  <c r="B1196" i="1"/>
  <c r="I1212" i="1"/>
  <c r="K1131" i="1"/>
  <c r="I1180" i="1"/>
  <c r="I1378" i="1"/>
  <c r="J1055" i="1"/>
  <c r="M1168" i="1"/>
  <c r="F1136" i="1"/>
  <c r="A1130" i="1"/>
  <c r="G1415" i="1"/>
  <c r="E1199" i="1"/>
  <c r="B1301" i="1"/>
  <c r="B1349" i="1"/>
  <c r="I1421" i="1"/>
  <c r="C1209" i="1"/>
  <c r="K1254" i="1"/>
  <c r="N1140" i="1"/>
  <c r="I1093" i="1"/>
  <c r="N1100" i="1"/>
  <c r="J1104" i="1"/>
  <c r="G1225" i="1"/>
  <c r="F1308" i="1"/>
  <c r="C1310" i="1"/>
  <c r="K1085" i="1"/>
  <c r="E1207" i="1"/>
  <c r="M1104" i="1"/>
  <c r="C983" i="1"/>
  <c r="N1158" i="1"/>
  <c r="D1367" i="1"/>
  <c r="D1310" i="1"/>
  <c r="K1221" i="1"/>
  <c r="B1239" i="1"/>
  <c r="L1333" i="1"/>
  <c r="B1199" i="1"/>
  <c r="C1357" i="1"/>
  <c r="E1249" i="1"/>
  <c r="J1180" i="1"/>
  <c r="E1219" i="1"/>
  <c r="B1321" i="1"/>
  <c r="G1245" i="1"/>
  <c r="K1258" i="1"/>
  <c r="B1325" i="1"/>
  <c r="M1252" i="1"/>
  <c r="N1159" i="1"/>
  <c r="J1039" i="1"/>
  <c r="L1292" i="1"/>
  <c r="K1252" i="1"/>
  <c r="O1256" i="1"/>
  <c r="J1277" i="1"/>
  <c r="D1146" i="1"/>
  <c r="P1144" i="1"/>
  <c r="B1238" i="1"/>
  <c r="G1278" i="1"/>
  <c r="K1220" i="1"/>
  <c r="H1193" i="1"/>
  <c r="J1257" i="1"/>
  <c r="E1112" i="1"/>
  <c r="N1351" i="1"/>
  <c r="G959" i="1"/>
  <c r="P943" i="1"/>
  <c r="J1161" i="1"/>
  <c r="E1099" i="1"/>
  <c r="G1159" i="1"/>
  <c r="P939" i="1"/>
  <c r="C1156" i="1"/>
  <c r="E1095" i="1"/>
  <c r="E1251" i="1"/>
  <c r="H1015" i="1"/>
  <c r="F1264" i="1"/>
  <c r="H1204" i="1"/>
  <c r="I1205" i="1"/>
  <c r="H1011" i="1"/>
  <c r="K1227" i="1"/>
  <c r="P1180" i="1"/>
  <c r="D1208" i="1"/>
  <c r="M1123" i="1"/>
  <c r="L1120" i="1"/>
  <c r="F1214" i="1"/>
  <c r="O1111" i="1"/>
  <c r="H930" i="1"/>
  <c r="O1281" i="1"/>
  <c r="I905" i="1"/>
  <c r="A954" i="1"/>
  <c r="C1000" i="1"/>
  <c r="D1157" i="1"/>
  <c r="L1024" i="1"/>
  <c r="N1164" i="1"/>
  <c r="J1127" i="1"/>
  <c r="M1148" i="1"/>
  <c r="A1315" i="1"/>
  <c r="H1187" i="1"/>
  <c r="N1371" i="1"/>
  <c r="C1128" i="1"/>
  <c r="B1141" i="1"/>
  <c r="G1082" i="1"/>
  <c r="M1316" i="1"/>
  <c r="C1124" i="1"/>
  <c r="B1125" i="1"/>
  <c r="D1215" i="1"/>
  <c r="H971" i="1"/>
  <c r="O1125" i="1"/>
  <c r="D1205" i="1"/>
  <c r="D1191" i="1"/>
  <c r="H967" i="1"/>
  <c r="H1199" i="1"/>
  <c r="L1200" i="1"/>
  <c r="K1148" i="1"/>
  <c r="M1091" i="1"/>
  <c r="O1071" i="1"/>
  <c r="D1109" i="1"/>
  <c r="O1001" i="1"/>
  <c r="M1217" i="1"/>
  <c r="G1386" i="1"/>
  <c r="O1037" i="1"/>
  <c r="N1155" i="1"/>
  <c r="C968" i="1"/>
  <c r="M1336" i="1"/>
  <c r="G1209" i="1"/>
  <c r="D1211" i="1"/>
  <c r="H955" i="1"/>
  <c r="O973" i="1"/>
  <c r="L1140" i="1"/>
  <c r="I1107" i="1"/>
  <c r="D1097" i="1"/>
  <c r="B1174" i="1"/>
  <c r="P1105" i="1"/>
  <c r="G1220" i="1"/>
  <c r="P1091" i="1"/>
  <c r="A1321" i="1"/>
  <c r="B1043" i="1"/>
  <c r="P1114" i="1"/>
  <c r="D1041" i="1"/>
  <c r="F1294" i="1"/>
  <c r="B1039" i="1"/>
  <c r="M1106" i="1"/>
  <c r="M1165" i="1"/>
  <c r="F1250" i="1"/>
  <c r="L1129" i="1"/>
  <c r="J1106" i="1"/>
  <c r="J1197" i="1"/>
  <c r="G1177" i="1"/>
  <c r="C892" i="1"/>
  <c r="D1032" i="1"/>
  <c r="O1002" i="1"/>
  <c r="K1103" i="1"/>
  <c r="P1249" i="1"/>
  <c r="K1214" i="1"/>
  <c r="K1158" i="1"/>
  <c r="N1237" i="1"/>
  <c r="N1339" i="1"/>
  <c r="G1197" i="1"/>
  <c r="M1041" i="1"/>
  <c r="B1014" i="1"/>
  <c r="D953" i="1"/>
  <c r="N1253" i="1"/>
  <c r="M1037" i="1"/>
  <c r="B1010" i="1"/>
  <c r="D949" i="1"/>
  <c r="H1122" i="1"/>
  <c r="J1117" i="1"/>
  <c r="N1045" i="1"/>
  <c r="O982" i="1"/>
  <c r="F1105" i="1"/>
  <c r="N1107" i="1"/>
  <c r="N1041" i="1"/>
  <c r="F1100" i="1"/>
  <c r="J1034" i="1"/>
  <c r="L977" i="1"/>
  <c r="H886" i="1"/>
  <c r="E1087" i="1"/>
  <c r="I882" i="1"/>
  <c r="K897" i="1"/>
  <c r="F1090" i="1"/>
  <c r="B991" i="1"/>
  <c r="I1003" i="1"/>
  <c r="E1463" i="1"/>
  <c r="M1102" i="1"/>
  <c r="F1280" i="1"/>
  <c r="A1256" i="1"/>
  <c r="D1219" i="1"/>
  <c r="A1185" i="1"/>
  <c r="J1169" i="1"/>
  <c r="N1311" i="1"/>
  <c r="J1146" i="1"/>
  <c r="O1139" i="1"/>
  <c r="D1241" i="1"/>
  <c r="F1286" i="1"/>
  <c r="L1141" i="1"/>
  <c r="I1134" i="1"/>
  <c r="O1158" i="1"/>
  <c r="J1126" i="1"/>
  <c r="J1042" i="1"/>
  <c r="L985" i="1"/>
  <c r="H894" i="1"/>
  <c r="F1116" i="1"/>
  <c r="J1038" i="1"/>
  <c r="L981" i="1"/>
  <c r="C1030" i="1"/>
  <c r="B1114" i="1"/>
  <c r="A1150" i="1"/>
  <c r="G1067" i="1"/>
  <c r="F1156" i="1"/>
  <c r="G956" i="1"/>
  <c r="N1086" i="1"/>
  <c r="C955" i="1"/>
  <c r="J1088" i="1"/>
  <c r="N1114" i="1"/>
  <c r="O1328" i="1"/>
  <c r="H1175" i="1"/>
  <c r="D1250" i="1"/>
  <c r="D1239" i="1"/>
  <c r="K955" i="1"/>
  <c r="G1219" i="1"/>
  <c r="H1027" i="1"/>
  <c r="F1210" i="1"/>
  <c r="K1306" i="1"/>
  <c r="F1235" i="1"/>
  <c r="H1023" i="1"/>
  <c r="F1178" i="1"/>
  <c r="H1236" i="1"/>
  <c r="H1040" i="1"/>
  <c r="P1211" i="1"/>
  <c r="G1064" i="1"/>
  <c r="D1012" i="1"/>
  <c r="H1032" i="1"/>
  <c r="J1178" i="1"/>
  <c r="G1060" i="1"/>
  <c r="I1080" i="1"/>
  <c r="J938" i="1"/>
  <c r="G1327" i="1"/>
  <c r="I909" i="1"/>
  <c r="F1065" i="1"/>
  <c r="B905" i="1"/>
  <c r="I922" i="1"/>
  <c r="M1233" i="1"/>
  <c r="D1015" i="1"/>
  <c r="H1086" i="1"/>
  <c r="K1428" i="1"/>
  <c r="G1249" i="1"/>
  <c r="F1252" i="1"/>
  <c r="B1217" i="1"/>
  <c r="A1125" i="1"/>
  <c r="F1207" i="1"/>
  <c r="H1160" i="1"/>
  <c r="O934" i="1"/>
  <c r="I1053" i="1"/>
  <c r="E1216" i="1"/>
  <c r="E1103" i="1"/>
  <c r="D1044" i="1"/>
  <c r="D1028" i="1"/>
  <c r="G1042" i="1"/>
  <c r="A1056" i="1"/>
  <c r="G1007" i="1"/>
  <c r="B1008" i="1"/>
  <c r="F944" i="1"/>
  <c r="K1015" i="1"/>
  <c r="I893" i="1"/>
  <c r="J918" i="1"/>
  <c r="O1159" i="1"/>
  <c r="H1171" i="1"/>
  <c r="K1135" i="1"/>
  <c r="F1151" i="1"/>
  <c r="H1047" i="1"/>
  <c r="F1202" i="1"/>
  <c r="G883" i="1"/>
  <c r="B1072" i="1"/>
  <c r="D1118" i="1"/>
  <c r="C1247" i="1"/>
  <c r="F1277" i="1"/>
  <c r="F1049" i="1"/>
  <c r="H983" i="1"/>
  <c r="B1230" i="1"/>
  <c r="B1139" i="1"/>
  <c r="D1223" i="1"/>
  <c r="H979" i="1"/>
  <c r="O1157" i="1"/>
  <c r="P1263" i="1"/>
  <c r="K1070" i="1"/>
  <c r="P1090" i="1"/>
  <c r="G1032" i="1"/>
  <c r="N947" i="1"/>
  <c r="K1058" i="1"/>
  <c r="H1085" i="1"/>
  <c r="G1028" i="1"/>
  <c r="I996" i="1"/>
  <c r="F1188" i="1"/>
  <c r="H1208" i="1"/>
  <c r="N1082" i="1"/>
  <c r="H1117" i="1"/>
  <c r="C1163" i="1"/>
  <c r="D888" i="1"/>
  <c r="J994" i="1"/>
  <c r="E949" i="1"/>
  <c r="N1116" i="1"/>
  <c r="F1125" i="1"/>
  <c r="N1203" i="1"/>
  <c r="I993" i="1"/>
  <c r="K1260" i="1"/>
  <c r="I1082" i="1"/>
  <c r="K1001" i="1"/>
  <c r="D1005" i="1"/>
  <c r="M917" i="1"/>
  <c r="H940" i="1"/>
  <c r="E1077" i="1"/>
  <c r="O1101" i="1"/>
  <c r="D887" i="1"/>
  <c r="B1090" i="1"/>
  <c r="G1027" i="1"/>
  <c r="A1029" i="1"/>
  <c r="H1006" i="1"/>
  <c r="G977" i="1"/>
  <c r="G951" i="1"/>
  <c r="A993" i="1"/>
  <c r="H934" i="1"/>
  <c r="P994" i="1"/>
  <c r="E900" i="1"/>
  <c r="D1059" i="1"/>
  <c r="P756" i="1"/>
  <c r="J1103" i="1"/>
  <c r="H1070" i="1"/>
  <c r="P1049" i="1"/>
  <c r="J831" i="1"/>
  <c r="N984" i="1"/>
  <c r="G868" i="1"/>
  <c r="K894" i="1"/>
  <c r="G1358" i="1"/>
  <c r="F1307" i="1"/>
  <c r="J1096" i="1"/>
  <c r="L1022" i="1"/>
  <c r="N1119" i="1"/>
  <c r="D982" i="1"/>
  <c r="J1147" i="1"/>
  <c r="B1149" i="1"/>
  <c r="A1073" i="1"/>
  <c r="C928" i="1"/>
  <c r="L1005" i="1"/>
  <c r="I945" i="1"/>
  <c r="K960" i="1"/>
  <c r="L1058" i="1"/>
  <c r="A905" i="1"/>
  <c r="D911" i="1"/>
  <c r="P1048" i="1"/>
  <c r="E1041" i="1"/>
  <c r="D1047" i="1"/>
  <c r="E1170" i="1"/>
  <c r="N988" i="1"/>
  <c r="C1060" i="1"/>
  <c r="B871" i="1"/>
  <c r="L741" i="1"/>
  <c r="I1005" i="1"/>
  <c r="M924" i="1"/>
  <c r="N805" i="1"/>
  <c r="H929" i="1"/>
  <c r="I1038" i="1"/>
  <c r="C930" i="1"/>
  <c r="O1213" i="1"/>
  <c r="A1169" i="1"/>
  <c r="O1115" i="1"/>
  <c r="L907" i="1"/>
  <c r="I1096" i="1"/>
  <c r="I1018" i="1"/>
  <c r="K937" i="1"/>
  <c r="O1149" i="1"/>
  <c r="G996" i="1"/>
  <c r="O1095" i="1"/>
  <c r="J934" i="1"/>
  <c r="E928" i="1"/>
  <c r="H960" i="1"/>
  <c r="F1068" i="1"/>
  <c r="C1094" i="1"/>
  <c r="A965" i="1"/>
  <c r="C901" i="1"/>
  <c r="F1236" i="1"/>
  <c r="G1030" i="1"/>
  <c r="A929" i="1"/>
  <c r="L1079" i="1"/>
  <c r="F1118" i="1"/>
  <c r="J1120" i="1"/>
  <c r="N841" i="1"/>
  <c r="P882" i="1"/>
  <c r="E1008" i="1"/>
  <c r="P1058" i="1"/>
  <c r="D913" i="1"/>
  <c r="J767" i="1"/>
  <c r="E1044" i="1"/>
  <c r="C921" i="1"/>
  <c r="I959" i="1"/>
  <c r="F1087" i="1"/>
  <c r="K1043" i="1"/>
  <c r="P1119" i="1"/>
  <c r="N1110" i="1"/>
  <c r="B1137" i="1"/>
  <c r="I906" i="1"/>
  <c r="G1223" i="1"/>
  <c r="O907" i="1"/>
  <c r="A1074" i="1"/>
  <c r="C1214" i="1"/>
  <c r="F1124" i="1"/>
  <c r="I946" i="1"/>
  <c r="K961" i="1"/>
  <c r="M1057" i="1"/>
  <c r="J1056" i="1"/>
  <c r="L876" i="1"/>
  <c r="M993" i="1"/>
  <c r="H995" i="1"/>
  <c r="P961" i="1"/>
  <c r="F997" i="1"/>
  <c r="P925" i="1"/>
  <c r="K1052" i="1"/>
  <c r="I868" i="1"/>
  <c r="I707" i="1"/>
  <c r="F1096" i="1"/>
  <c r="C1317" i="1"/>
  <c r="N963" i="1"/>
  <c r="G1255" i="1"/>
  <c r="G943" i="1"/>
  <c r="A1284" i="1"/>
  <c r="E1005" i="1"/>
  <c r="N964" i="1"/>
  <c r="I1235" i="1"/>
  <c r="H928" i="1"/>
  <c r="F958" i="1"/>
  <c r="K1186" i="1"/>
  <c r="J889" i="1"/>
  <c r="C908" i="1"/>
  <c r="I1173" i="1"/>
  <c r="P944" i="1"/>
  <c r="A966" i="1"/>
  <c r="C1012" i="1"/>
  <c r="B1169" i="1"/>
  <c r="O1122" i="1"/>
  <c r="K1230" i="1"/>
  <c r="C976" i="1"/>
  <c r="J1087" i="1"/>
  <c r="E947" i="1"/>
  <c r="K839" i="1"/>
  <c r="F897" i="1"/>
  <c r="N989" i="1"/>
  <c r="D814" i="1"/>
  <c r="K994" i="1"/>
  <c r="O765" i="1"/>
  <c r="L1143" i="1"/>
  <c r="D842" i="1"/>
  <c r="M920" i="1"/>
  <c r="F1239" i="1"/>
  <c r="N1151" i="1"/>
  <c r="A1060" i="1"/>
  <c r="D943" i="1"/>
  <c r="A1008" i="1"/>
  <c r="I1081" i="1"/>
  <c r="K1032" i="1"/>
  <c r="N980" i="1"/>
  <c r="F1071" i="1"/>
  <c r="N924" i="1"/>
  <c r="C1108" i="1"/>
  <c r="N1036" i="1"/>
  <c r="A1043" i="1"/>
  <c r="C1078" i="1"/>
  <c r="G970" i="1"/>
  <c r="D976" i="1"/>
  <c r="L926" i="1"/>
  <c r="P999" i="1"/>
  <c r="G934" i="1"/>
  <c r="E914" i="1"/>
  <c r="N887" i="1"/>
  <c r="G980" i="1"/>
  <c r="I927" i="1"/>
  <c r="F995" i="1"/>
  <c r="G1065" i="1"/>
  <c r="P1116" i="1"/>
  <c r="E1009" i="1"/>
  <c r="M846" i="1"/>
  <c r="M1129" i="1"/>
  <c r="E940" i="1"/>
  <c r="K1218" i="1"/>
  <c r="M874" i="1"/>
  <c r="G1019" i="1"/>
  <c r="O937" i="1"/>
  <c r="D876" i="1"/>
  <c r="A1204" i="1"/>
  <c r="H1115" i="1"/>
  <c r="N987" i="1"/>
  <c r="D1139" i="1"/>
  <c r="N864" i="1"/>
  <c r="N833" i="1"/>
  <c r="J973" i="1"/>
  <c r="C946" i="1"/>
  <c r="F797" i="1"/>
  <c r="J896" i="1"/>
  <c r="J965" i="1"/>
  <c r="C938" i="1"/>
  <c r="F793" i="1"/>
  <c r="L920" i="1"/>
  <c r="O1224" i="1"/>
  <c r="D970" i="1"/>
  <c r="H756" i="1"/>
  <c r="M937" i="1"/>
  <c r="O872" i="1"/>
  <c r="A899" i="1"/>
  <c r="K1084" i="1"/>
  <c r="B930" i="1"/>
  <c r="A1049" i="1"/>
  <c r="K1115" i="1"/>
  <c r="D1237" i="1"/>
  <c r="I1175" i="1"/>
  <c r="I1159" i="1"/>
  <c r="H1147" i="1"/>
  <c r="L1030" i="1"/>
  <c r="I1025" i="1"/>
  <c r="D999" i="1"/>
  <c r="I1024" i="1"/>
  <c r="C1011" i="1"/>
  <c r="M1250" i="1"/>
  <c r="C1007" i="1"/>
  <c r="M1302" i="1"/>
  <c r="C1129" i="1"/>
  <c r="M1232" i="1"/>
  <c r="O1123" i="1"/>
  <c r="K1031" i="1"/>
  <c r="L1115" i="1"/>
  <c r="I1026" i="1"/>
  <c r="F972" i="1"/>
  <c r="A953" i="1"/>
  <c r="G1189" i="1"/>
  <c r="G1156" i="1"/>
  <c r="G991" i="1"/>
  <c r="C1093" i="1"/>
  <c r="M1139" i="1"/>
  <c r="B918" i="1"/>
  <c r="P1220" i="1"/>
  <c r="O1087" i="1"/>
  <c r="M1135" i="1"/>
  <c r="L1177" i="1"/>
  <c r="H1112" i="1"/>
  <c r="J946" i="1"/>
  <c r="G1226" i="1"/>
  <c r="P918" i="1"/>
  <c r="H1097" i="1"/>
  <c r="J942" i="1"/>
  <c r="K1188" i="1"/>
  <c r="P1007" i="1"/>
  <c r="G1103" i="1"/>
  <c r="E1147" i="1"/>
  <c r="G971" i="1"/>
  <c r="O1075" i="1"/>
  <c r="F1001" i="1"/>
  <c r="N1113" i="1"/>
  <c r="B990" i="1"/>
  <c r="I990" i="1"/>
  <c r="B1182" i="1"/>
  <c r="A988" i="1"/>
  <c r="L1110" i="1"/>
  <c r="K1008" i="1"/>
  <c r="L1109" i="1"/>
  <c r="I953" i="1"/>
  <c r="K936" i="1"/>
  <c r="O1066" i="1"/>
  <c r="P1060" i="1"/>
  <c r="C1025" i="1"/>
  <c r="O1072" i="1"/>
  <c r="I1042" i="1"/>
  <c r="K1057" i="1"/>
  <c r="M1120" i="1"/>
  <c r="P986" i="1"/>
  <c r="D1035" i="1"/>
  <c r="J971" i="1"/>
  <c r="B1091" i="1"/>
  <c r="D920" i="1"/>
  <c r="D951" i="1"/>
  <c r="E911" i="1"/>
  <c r="D1051" i="1"/>
  <c r="A947" i="1"/>
  <c r="I803" i="1"/>
  <c r="D1082" i="1"/>
  <c r="E1007" i="1"/>
  <c r="H978" i="1"/>
  <c r="M750" i="1"/>
  <c r="E1073" i="1"/>
  <c r="E1035" i="1"/>
  <c r="B898" i="1"/>
  <c r="M778" i="1"/>
  <c r="K1136" i="1"/>
  <c r="K1184" i="1"/>
  <c r="I1121" i="1"/>
  <c r="A893" i="1"/>
  <c r="D1220" i="1"/>
  <c r="O1114" i="1"/>
  <c r="K1246" i="1"/>
  <c r="G918" i="1"/>
  <c r="A898" i="1"/>
  <c r="B1140" i="1"/>
  <c r="F1025" i="1"/>
  <c r="B889" i="1"/>
  <c r="D904" i="1"/>
  <c r="D1054" i="1"/>
  <c r="I1066" i="1"/>
  <c r="K1081" i="1"/>
  <c r="D1119" i="1"/>
  <c r="O1036" i="1"/>
  <c r="I1030" i="1"/>
  <c r="K1045" i="1"/>
  <c r="M1067" i="1"/>
  <c r="B938" i="1"/>
  <c r="O768" i="1"/>
  <c r="L905" i="1"/>
  <c r="K1020" i="1"/>
  <c r="I864" i="1"/>
  <c r="I703" i="1"/>
  <c r="E866" i="1"/>
  <c r="K1053" i="1"/>
  <c r="E925" i="1"/>
  <c r="O1284" i="1"/>
  <c r="D1320" i="1"/>
  <c r="J1006" i="1"/>
  <c r="P1020" i="1"/>
  <c r="H1257" i="1"/>
  <c r="B953" i="1"/>
  <c r="K1261" i="1"/>
  <c r="D1076" i="1"/>
  <c r="J1129" i="1"/>
  <c r="C961" i="1"/>
  <c r="K1192" i="1"/>
  <c r="I978" i="1"/>
  <c r="K993" i="1"/>
  <c r="K1175" i="1"/>
  <c r="G891" i="1"/>
  <c r="L908" i="1"/>
  <c r="J1115" i="1"/>
  <c r="M1049" i="1"/>
  <c r="J1040" i="1"/>
  <c r="F1154" i="1"/>
  <c r="M985" i="1"/>
  <c r="E1225" i="1"/>
  <c r="B989" i="1"/>
  <c r="I739" i="1"/>
  <c r="E994" i="1"/>
  <c r="E943" i="1"/>
  <c r="K835" i="1"/>
  <c r="A884" i="1"/>
  <c r="G1016" i="1"/>
  <c r="E971" i="1"/>
  <c r="K863" i="1"/>
  <c r="F1114" i="1"/>
  <c r="G1143" i="1"/>
  <c r="M986" i="1"/>
  <c r="A1316" i="1"/>
  <c r="G1080" i="1"/>
  <c r="B962" i="1"/>
  <c r="C1230" i="1"/>
  <c r="G1106" i="1"/>
  <c r="G983" i="1"/>
  <c r="A1009" i="1"/>
  <c r="H966" i="1"/>
  <c r="D1113" i="1"/>
  <c r="B1001" i="1"/>
  <c r="A1243" i="1"/>
  <c r="E1266" i="1"/>
  <c r="K1068" i="1"/>
  <c r="H1016" i="1"/>
  <c r="H1064" i="1"/>
  <c r="H1052" i="1"/>
  <c r="H1224" i="1"/>
  <c r="H1192" i="1"/>
  <c r="D1026" i="1"/>
  <c r="A1021" i="1"/>
  <c r="H1065" i="1"/>
  <c r="G1057" i="1"/>
  <c r="M958" i="1"/>
  <c r="D1149" i="1"/>
  <c r="M954" i="1"/>
  <c r="H1118" i="1"/>
  <c r="A1118" i="1"/>
  <c r="G1109" i="1"/>
  <c r="E1277" i="1"/>
  <c r="C1027" i="1"/>
  <c r="K1093" i="1"/>
  <c r="A1022" i="1"/>
  <c r="L1065" i="1"/>
  <c r="K972" i="1"/>
  <c r="C1274" i="1"/>
  <c r="P1204" i="1"/>
  <c r="P1244" i="1"/>
  <c r="K983" i="1"/>
  <c r="M1193" i="1"/>
  <c r="O1054" i="1"/>
  <c r="A1154" i="1"/>
  <c r="K979" i="1"/>
  <c r="G1161" i="1"/>
  <c r="O1050" i="1"/>
  <c r="P1063" i="1"/>
  <c r="M1156" i="1"/>
  <c r="D1225" i="1"/>
  <c r="G1011" i="1"/>
  <c r="P1059" i="1"/>
  <c r="G1151" i="1"/>
  <c r="J1181" i="1"/>
  <c r="A1126" i="1"/>
  <c r="C995" i="1"/>
  <c r="E934" i="1"/>
  <c r="N1189" i="1"/>
  <c r="L1052" i="1"/>
  <c r="A990" i="1"/>
  <c r="C1036" i="1"/>
  <c r="L937" i="1"/>
  <c r="I925" i="1"/>
  <c r="O1186" i="1"/>
  <c r="D1090" i="1"/>
  <c r="M1042" i="1"/>
  <c r="A1044" i="1"/>
  <c r="J1198" i="1"/>
  <c r="B1081" i="1"/>
  <c r="G1238" i="1"/>
  <c r="F1111" i="1"/>
  <c r="N1122" i="1"/>
  <c r="C960" i="1"/>
  <c r="G1020" i="1"/>
  <c r="I977" i="1"/>
  <c r="K992" i="1"/>
  <c r="K995" i="1"/>
  <c r="B951" i="1"/>
  <c r="I963" i="1"/>
  <c r="F1155" i="1"/>
  <c r="L1054" i="1"/>
  <c r="A901" i="1"/>
  <c r="D907" i="1"/>
  <c r="P1016" i="1"/>
  <c r="C997" i="1"/>
  <c r="F1010" i="1"/>
  <c r="L773" i="1"/>
  <c r="I1070" i="1"/>
  <c r="N993" i="1"/>
  <c r="N837" i="1"/>
  <c r="H1022" i="1"/>
  <c r="D1079" i="1"/>
  <c r="B1060" i="1"/>
  <c r="D866" i="1"/>
  <c r="K870" i="1"/>
  <c r="P1148" i="1"/>
  <c r="G937" i="1"/>
  <c r="J970" i="1"/>
  <c r="F1079" i="1"/>
  <c r="D933" i="1"/>
  <c r="A950" i="1"/>
  <c r="K1140" i="1"/>
  <c r="P1066" i="1"/>
  <c r="B1096" i="1"/>
  <c r="L998" i="1"/>
  <c r="B950" i="1"/>
  <c r="F1055" i="1"/>
  <c r="K1210" i="1"/>
  <c r="P1167" i="1"/>
  <c r="I1001" i="1"/>
  <c r="K1016" i="1"/>
  <c r="J933" i="1"/>
  <c r="O1105" i="1"/>
  <c r="I965" i="1"/>
  <c r="K980" i="1"/>
  <c r="M892" i="1"/>
  <c r="M967" i="1"/>
  <c r="G900" i="1"/>
  <c r="N873" i="1"/>
  <c r="J1148" i="1"/>
  <c r="L802" i="1"/>
  <c r="C934" i="1"/>
  <c r="H804" i="1"/>
  <c r="F1067" i="1"/>
  <c r="L830" i="1"/>
  <c r="O1296" i="1"/>
  <c r="O1091" i="1"/>
  <c r="L949" i="1"/>
  <c r="D1018" i="1"/>
  <c r="F1094" i="1"/>
  <c r="H922" i="1"/>
  <c r="I1275" i="1"/>
  <c r="G1047" i="1"/>
  <c r="A1041" i="1"/>
  <c r="F1051" i="1"/>
  <c r="F1238" i="1"/>
  <c r="I913" i="1"/>
  <c r="K928" i="1"/>
  <c r="E1045" i="1"/>
  <c r="D1063" i="1"/>
  <c r="D879" i="1"/>
  <c r="N1020" i="1"/>
  <c r="J1026" i="1"/>
  <c r="E965" i="1"/>
  <c r="H1000" i="1"/>
  <c r="P1112" i="1"/>
  <c r="C932" i="1"/>
  <c r="L838" i="1"/>
  <c r="P890" i="1"/>
  <c r="B976" i="1"/>
  <c r="N1035" i="1"/>
  <c r="N773" i="1"/>
  <c r="L1044" i="1"/>
  <c r="I973" i="1"/>
  <c r="N910" i="1"/>
  <c r="N801" i="1"/>
  <c r="L1243" i="1"/>
  <c r="O1228" i="1"/>
  <c r="J1162" i="1"/>
  <c r="D1121" i="1"/>
  <c r="I989" i="1"/>
  <c r="E1151" i="1"/>
  <c r="N1064" i="1"/>
  <c r="A1129" i="1"/>
  <c r="P946" i="1"/>
  <c r="D983" i="1"/>
  <c r="F931" i="1"/>
  <c r="D1092" i="1"/>
  <c r="D966" i="1"/>
  <c r="H996" i="1"/>
  <c r="B1026" i="1"/>
  <c r="I1002" i="1"/>
  <c r="K1017" i="1"/>
  <c r="M1039" i="1"/>
  <c r="H1212" i="1"/>
  <c r="I966" i="1"/>
  <c r="K981" i="1"/>
  <c r="M1003" i="1"/>
  <c r="M1032" i="1"/>
  <c r="O704" i="1"/>
  <c r="C871" i="1"/>
  <c r="D900" i="1"/>
  <c r="M1213" i="1"/>
  <c r="M1098" i="1"/>
  <c r="N1101" i="1"/>
  <c r="B929" i="1"/>
  <c r="O1100" i="1"/>
  <c r="A1180" i="1"/>
  <c r="E1205" i="1"/>
  <c r="N1002" i="1"/>
  <c r="A1042" i="1"/>
  <c r="K1090" i="1"/>
  <c r="F1215" i="1"/>
  <c r="J1125" i="1"/>
  <c r="N1223" i="1"/>
  <c r="H999" i="1"/>
  <c r="P969" i="1"/>
  <c r="F1005" i="1"/>
  <c r="L930" i="1"/>
  <c r="B1155" i="1"/>
  <c r="J909" i="1"/>
  <c r="F933" i="1"/>
  <c r="F890" i="1"/>
  <c r="N923" i="1"/>
  <c r="I836" i="1"/>
  <c r="P1021" i="1"/>
  <c r="O891" i="1"/>
  <c r="L996" i="1"/>
  <c r="K771" i="1"/>
  <c r="P816" i="1"/>
  <c r="O1073" i="1"/>
  <c r="J1105" i="1"/>
  <c r="K799" i="1"/>
  <c r="P844" i="1"/>
  <c r="G1131" i="1"/>
  <c r="G1183" i="1"/>
  <c r="C1127" i="1"/>
  <c r="O1143" i="1"/>
  <c r="M1087" i="1"/>
  <c r="G940" i="1"/>
  <c r="K1208" i="1"/>
  <c r="G1054" i="1"/>
  <c r="A945" i="1"/>
  <c r="C881" i="1"/>
  <c r="E1139" i="1"/>
  <c r="I898" i="1"/>
  <c r="M913" i="1"/>
  <c r="P1151" i="1"/>
  <c r="O1065" i="1"/>
  <c r="O1142" i="1"/>
  <c r="M1040" i="1"/>
  <c r="M1092" i="1"/>
  <c r="B1083" i="1"/>
  <c r="A1091" i="1"/>
  <c r="M1004" i="1"/>
  <c r="I1176" i="1"/>
  <c r="H970" i="1"/>
  <c r="K931" i="1"/>
  <c r="A1001" i="1"/>
  <c r="A1003" i="1"/>
  <c r="I831" i="1"/>
  <c r="K1006" i="1"/>
  <c r="A1034" i="1"/>
  <c r="D1143" i="1"/>
  <c r="I859" i="1"/>
  <c r="J1058" i="1"/>
  <c r="N1221" i="1"/>
  <c r="K1065" i="1"/>
  <c r="K1027" i="1"/>
  <c r="A1055" i="1"/>
  <c r="G1079" i="1"/>
  <c r="L1004" i="1"/>
  <c r="L939" i="1"/>
  <c r="A969" i="1"/>
  <c r="F833" i="1"/>
  <c r="E1040" i="1"/>
  <c r="J908" i="1"/>
  <c r="I951" i="1"/>
  <c r="J791" i="1"/>
  <c r="E1036" i="1"/>
  <c r="J900" i="1"/>
  <c r="I943" i="1"/>
  <c r="M900" i="1"/>
  <c r="J894" i="1"/>
  <c r="F757" i="1"/>
  <c r="B947" i="1"/>
  <c r="P1013" i="1"/>
  <c r="E906" i="1"/>
  <c r="M1070" i="1"/>
  <c r="N1028" i="1"/>
  <c r="I1083" i="1"/>
  <c r="A1068" i="1"/>
  <c r="A1032" i="1"/>
  <c r="A1028" i="1"/>
  <c r="K1092" i="1"/>
  <c r="K1088" i="1"/>
  <c r="H1089" i="1"/>
  <c r="K1040" i="1"/>
  <c r="J947" i="1"/>
  <c r="N1211" i="1"/>
  <c r="B1221" i="1"/>
  <c r="H1133" i="1"/>
  <c r="O1181" i="1"/>
  <c r="D1137" i="1"/>
  <c r="E1006" i="1"/>
  <c r="P1131" i="1"/>
  <c r="N1163" i="1"/>
  <c r="O1076" i="1"/>
  <c r="F980" i="1"/>
  <c r="A957" i="1"/>
  <c r="F1057" i="1"/>
  <c r="C917" i="1"/>
  <c r="J1266" i="1"/>
  <c r="G1025" i="1"/>
  <c r="M1169" i="1"/>
  <c r="E1033" i="1"/>
  <c r="M1093" i="1"/>
  <c r="O879" i="1"/>
  <c r="F1024" i="1"/>
  <c r="E1029" i="1"/>
  <c r="K1086" i="1"/>
  <c r="C1257" i="1"/>
  <c r="B1254" i="1"/>
  <c r="C1035" i="1"/>
  <c r="E974" i="1"/>
  <c r="G1375" i="1"/>
  <c r="J1234" i="1"/>
  <c r="C1031" i="1"/>
  <c r="N1128" i="1"/>
  <c r="N1212" i="1"/>
  <c r="O1044" i="1"/>
  <c r="G1104" i="1"/>
  <c r="C1089" i="1"/>
  <c r="G1026" i="1"/>
  <c r="A925" i="1"/>
  <c r="L1063" i="1"/>
  <c r="L1083" i="1"/>
  <c r="D1108" i="1"/>
  <c r="G1196" i="1"/>
  <c r="I1027" i="1"/>
  <c r="H1020" i="1"/>
  <c r="G911" i="1"/>
  <c r="L1037" i="1"/>
  <c r="F985" i="1"/>
  <c r="K1083" i="1"/>
  <c r="G950" i="1"/>
  <c r="D936" i="1"/>
  <c r="N903" i="1"/>
  <c r="O1189" i="1"/>
  <c r="L923" i="1"/>
  <c r="F950" i="1"/>
  <c r="C991" i="1"/>
  <c r="H1108" i="1"/>
  <c r="A1160" i="1"/>
  <c r="M944" i="1"/>
  <c r="D1050" i="1"/>
  <c r="I1062" i="1"/>
  <c r="K1077" i="1"/>
  <c r="P1109" i="1"/>
  <c r="D1155" i="1"/>
  <c r="O800" i="1"/>
  <c r="G952" i="1"/>
  <c r="I1086" i="1"/>
  <c r="B957" i="1"/>
  <c r="I735" i="1"/>
  <c r="N967" i="1"/>
  <c r="D883" i="1"/>
  <c r="H895" i="1"/>
  <c r="I763" i="1"/>
  <c r="F1021" i="1"/>
  <c r="H1067" i="1"/>
  <c r="L1038" i="1"/>
  <c r="L913" i="1"/>
  <c r="D884" i="1"/>
  <c r="F1042" i="1"/>
  <c r="D1008" i="1"/>
  <c r="C1136" i="1"/>
  <c r="N1068" i="1"/>
  <c r="A1075" i="1"/>
  <c r="L1251" i="1"/>
  <c r="H890" i="1"/>
  <c r="A1006" i="1"/>
  <c r="C1052" i="1"/>
  <c r="E990" i="1"/>
  <c r="B968" i="1"/>
  <c r="F998" i="1"/>
  <c r="O910" i="1"/>
  <c r="C1086" i="1"/>
  <c r="B909" i="1"/>
  <c r="D927" i="1"/>
  <c r="F1070" i="1"/>
  <c r="L978" i="1"/>
  <c r="A784" i="1"/>
  <c r="A771" i="1"/>
  <c r="M1028" i="1"/>
  <c r="O700" i="1"/>
  <c r="C867" i="1"/>
  <c r="C702" i="1"/>
  <c r="M1064" i="1"/>
  <c r="O728" i="1"/>
  <c r="C1132" i="1"/>
  <c r="O945" i="1"/>
  <c r="D1102" i="1"/>
  <c r="I1054" i="1"/>
  <c r="M1144" i="1"/>
  <c r="G1097" i="1"/>
  <c r="B1110" i="1"/>
  <c r="P1010" i="1"/>
  <c r="F1083" i="1"/>
  <c r="J995" i="1"/>
  <c r="I1051" i="1"/>
  <c r="B1049" i="1"/>
  <c r="D1147" i="1"/>
  <c r="O1040" i="1"/>
  <c r="I1034" i="1"/>
  <c r="K1049" i="1"/>
  <c r="M1071" i="1"/>
  <c r="B1022" i="1"/>
  <c r="I998" i="1"/>
  <c r="K1013" i="1"/>
  <c r="M1035" i="1"/>
  <c r="M1080" i="1"/>
  <c r="O736" i="1"/>
  <c r="P1006" i="1"/>
  <c r="K909" i="1"/>
  <c r="I832" i="1"/>
  <c r="B988" i="1"/>
  <c r="E834" i="1"/>
  <c r="K988" i="1"/>
  <c r="I860" i="1"/>
  <c r="I699" i="1"/>
  <c r="H882" i="1"/>
  <c r="F1198" i="1"/>
  <c r="C1046" i="1"/>
  <c r="C1059" i="1"/>
  <c r="H984" i="1"/>
  <c r="C1133" i="1"/>
  <c r="A1077" i="1"/>
  <c r="F1203" i="1"/>
  <c r="E918" i="1"/>
  <c r="B927" i="1"/>
  <c r="O953" i="1"/>
  <c r="O947" i="1"/>
  <c r="P1098" i="1"/>
  <c r="C1053" i="1"/>
  <c r="L973" i="1"/>
  <c r="I937" i="1"/>
  <c r="K952" i="1"/>
  <c r="P1077" i="1"/>
  <c r="J1218" i="1"/>
  <c r="L1072" i="1"/>
  <c r="K916" i="1"/>
  <c r="J972" i="1"/>
  <c r="J1017" i="1"/>
  <c r="C970" i="1"/>
  <c r="F809" i="1"/>
  <c r="B1040" i="1"/>
  <c r="C1137" i="1"/>
  <c r="G1036" i="1"/>
  <c r="K1127" i="1"/>
  <c r="E958" i="1"/>
  <c r="C1113" i="1"/>
  <c r="G1004" i="1"/>
  <c r="H1158" i="1"/>
  <c r="F1143" i="1"/>
  <c r="A977" i="1"/>
  <c r="C913" i="1"/>
  <c r="M1112" i="1"/>
  <c r="B937" i="1"/>
  <c r="F967" i="1"/>
  <c r="K1414" i="1"/>
  <c r="K917" i="1"/>
  <c r="H944" i="1"/>
  <c r="M1072" i="1"/>
  <c r="B1146" i="1"/>
  <c r="O1033" i="1"/>
  <c r="O1110" i="1"/>
  <c r="M1036" i="1"/>
  <c r="N875" i="1"/>
  <c r="L774" i="1"/>
  <c r="A1092" i="1"/>
  <c r="A1066" i="1"/>
  <c r="O884" i="1"/>
  <c r="I863" i="1"/>
  <c r="C886" i="1"/>
  <c r="L887" i="1"/>
  <c r="E913" i="1"/>
  <c r="N931" i="1"/>
  <c r="I1099" i="1"/>
  <c r="O1059" i="1"/>
  <c r="D1246" i="1"/>
  <c r="N1095" i="1"/>
  <c r="L903" i="1"/>
  <c r="E938" i="1"/>
  <c r="A1078" i="1"/>
  <c r="B1023" i="1"/>
  <c r="H1121" i="1"/>
  <c r="L888" i="1"/>
  <c r="B1024" i="1"/>
  <c r="H1215" i="1"/>
  <c r="A1099" i="1"/>
  <c r="M895" i="1"/>
  <c r="I1291" i="1"/>
  <c r="I938" i="1"/>
  <c r="K953" i="1"/>
  <c r="M975" i="1"/>
  <c r="M1147" i="1"/>
  <c r="N1099" i="1"/>
  <c r="D1136" i="1"/>
  <c r="M939" i="1"/>
  <c r="M952" i="1"/>
  <c r="L1003" i="1"/>
  <c r="C807" i="1"/>
  <c r="D1156" i="1"/>
  <c r="I736" i="1"/>
  <c r="L801" i="1"/>
  <c r="E738" i="1"/>
  <c r="P1057" i="1"/>
  <c r="I764" i="1"/>
  <c r="B830" i="1"/>
  <c r="E981" i="1"/>
  <c r="J1114" i="1"/>
  <c r="H1079" i="1"/>
  <c r="O1117" i="1"/>
  <c r="H1105" i="1"/>
  <c r="I1061" i="1"/>
  <c r="K1002" i="1"/>
  <c r="G872" i="1"/>
  <c r="M984" i="1"/>
  <c r="P1033" i="1"/>
  <c r="E967" i="1"/>
  <c r="K859" i="1"/>
  <c r="P1037" i="1"/>
  <c r="F1206" i="1"/>
  <c r="E963" i="1"/>
  <c r="K855" i="1"/>
  <c r="B996" i="1"/>
  <c r="P901" i="1"/>
  <c r="D862" i="1"/>
  <c r="N889" i="1"/>
  <c r="O813" i="1"/>
  <c r="H1014" i="1"/>
  <c r="D826" i="1"/>
  <c r="E1062" i="1"/>
  <c r="C973" i="1"/>
  <c r="P1115" i="1"/>
  <c r="K1150" i="1"/>
  <c r="L1014" i="1"/>
  <c r="I1272" i="1"/>
  <c r="C1088" i="1"/>
  <c r="C1084" i="1"/>
  <c r="I1079" i="1"/>
  <c r="H990" i="1"/>
  <c r="J1312" i="1"/>
  <c r="H1092" i="1"/>
  <c r="P1255" i="1"/>
  <c r="I1028" i="1"/>
  <c r="K1223" i="1"/>
  <c r="A1024" i="1"/>
  <c r="I1055" i="1"/>
  <c r="A1020" i="1"/>
  <c r="M1260" i="1"/>
  <c r="K1236" i="1"/>
  <c r="B1071" i="1"/>
  <c r="L900" i="1"/>
  <c r="H1094" i="1"/>
  <c r="N960" i="1"/>
  <c r="I1076" i="1"/>
  <c r="I1020" i="1"/>
  <c r="F1036" i="1"/>
  <c r="G1215" i="1"/>
  <c r="O1121" i="1"/>
  <c r="O1154" i="1"/>
  <c r="I948" i="1"/>
  <c r="E1247" i="1"/>
  <c r="J1190" i="1"/>
  <c r="L1245" i="1"/>
  <c r="A980" i="1"/>
  <c r="P1084" i="1"/>
  <c r="I1023" i="1"/>
  <c r="N1179" i="1"/>
  <c r="A976" i="1"/>
  <c r="O1080" i="1"/>
  <c r="I1197" i="1"/>
  <c r="H1003" i="1"/>
  <c r="K1195" i="1"/>
  <c r="P1207" i="1"/>
  <c r="M1013" i="1"/>
  <c r="J1024" i="1"/>
  <c r="P1104" i="1"/>
  <c r="M977" i="1"/>
  <c r="O1067" i="1"/>
  <c r="F993" i="1"/>
  <c r="F1149" i="1"/>
  <c r="L1225" i="1"/>
  <c r="B1153" i="1"/>
  <c r="F934" i="1"/>
  <c r="D1025" i="1"/>
  <c r="A982" i="1"/>
  <c r="F1104" i="1"/>
  <c r="J893" i="1"/>
  <c r="C912" i="1"/>
  <c r="N1150" i="1"/>
  <c r="O1094" i="1"/>
  <c r="L891" i="1"/>
  <c r="I1211" i="1"/>
  <c r="M938" i="1"/>
  <c r="I1033" i="1"/>
  <c r="K1048" i="1"/>
  <c r="J997" i="1"/>
  <c r="J1149" i="1"/>
  <c r="I997" i="1"/>
  <c r="K1012" i="1"/>
  <c r="I928" i="1"/>
  <c r="M1015" i="1"/>
  <c r="P956" i="1"/>
  <c r="B1052" i="1"/>
  <c r="C920" i="1"/>
  <c r="L834" i="1"/>
  <c r="H1054" i="1"/>
  <c r="H836" i="1"/>
  <c r="C1028" i="1"/>
  <c r="L862" i="1"/>
  <c r="L733" i="1"/>
  <c r="B885" i="1"/>
  <c r="G1382" i="1"/>
  <c r="A1103" i="1"/>
  <c r="P960" i="1"/>
  <c r="C923" i="1"/>
  <c r="G1018" i="1"/>
  <c r="F973" i="1"/>
  <c r="M1083" i="1"/>
  <c r="I1077" i="1"/>
  <c r="F1098" i="1"/>
  <c r="J1194" i="1"/>
  <c r="G1046" i="1"/>
  <c r="A941" i="1"/>
  <c r="C877" i="1"/>
  <c r="J1221" i="1"/>
  <c r="H916" i="1"/>
  <c r="J1085" i="1"/>
  <c r="O1013" i="1"/>
  <c r="P1072" i="1"/>
  <c r="L879" i="1"/>
  <c r="N1024" i="1"/>
  <c r="A1031" i="1"/>
  <c r="N1048" i="1"/>
  <c r="A876" i="1"/>
  <c r="K902" i="1"/>
  <c r="J1005" i="1"/>
  <c r="C962" i="1"/>
  <c r="F805" i="1"/>
  <c r="H913" i="1"/>
  <c r="M919" i="1"/>
  <c r="D1023" i="1"/>
  <c r="A1193" i="1"/>
  <c r="O1131" i="1"/>
  <c r="H1227" i="1"/>
  <c r="D899" i="1"/>
  <c r="J1138" i="1"/>
  <c r="N1139" i="1"/>
  <c r="K1055" i="1"/>
  <c r="B975" i="1"/>
  <c r="I987" i="1"/>
  <c r="P1174" i="1"/>
  <c r="O1035" i="1"/>
  <c r="F969" i="1"/>
  <c r="P1085" i="1"/>
  <c r="O1113" i="1"/>
  <c r="I969" i="1"/>
  <c r="K984" i="1"/>
  <c r="M896" i="1"/>
  <c r="L969" i="1"/>
  <c r="I933" i="1"/>
  <c r="K948" i="1"/>
  <c r="P1061" i="1"/>
  <c r="M927" i="1"/>
  <c r="D1055" i="1"/>
  <c r="F841" i="1"/>
  <c r="N1075" i="1"/>
  <c r="L770" i="1"/>
  <c r="B1057" i="1"/>
  <c r="H772" i="1"/>
  <c r="L1031" i="1"/>
  <c r="L798" i="1"/>
  <c r="N918" i="1"/>
  <c r="A1002" i="1"/>
  <c r="K1047" i="1"/>
  <c r="D1125" i="1"/>
  <c r="E998" i="1"/>
  <c r="D1116" i="1"/>
  <c r="P1008" i="1"/>
  <c r="A902" i="1"/>
  <c r="I1168" i="1"/>
  <c r="I1078" i="1"/>
  <c r="D1099" i="1"/>
  <c r="M1138" i="1"/>
  <c r="L1104" i="1"/>
  <c r="A942" i="1"/>
  <c r="C988" i="1"/>
  <c r="F1164" i="1"/>
  <c r="B881" i="1"/>
  <c r="D896" i="1"/>
  <c r="O984" i="1"/>
  <c r="I1019" i="1"/>
  <c r="D1006" i="1"/>
  <c r="J1061" i="1"/>
  <c r="G919" i="1"/>
  <c r="F1022" i="1"/>
  <c r="A720" i="1"/>
  <c r="A707" i="1"/>
  <c r="M948" i="1"/>
  <c r="B1157" i="1"/>
  <c r="H1338" i="1"/>
  <c r="A1012" i="1"/>
  <c r="B944" i="1"/>
  <c r="E1026" i="1"/>
  <c r="J1145" i="1"/>
  <c r="A1000" i="1"/>
  <c r="G903" i="1"/>
  <c r="B923" i="1"/>
  <c r="E895" i="1"/>
  <c r="D997" i="1"/>
  <c r="K912" i="1"/>
  <c r="I932" i="1"/>
  <c r="H1244" i="1"/>
  <c r="I970" i="1"/>
  <c r="K985" i="1"/>
  <c r="M1007" i="1"/>
  <c r="D1245" i="1"/>
  <c r="I934" i="1"/>
  <c r="K949" i="1"/>
  <c r="M971" i="1"/>
  <c r="M992" i="1"/>
  <c r="D995" i="1"/>
  <c r="C839" i="1"/>
  <c r="M891" i="1"/>
  <c r="I768" i="1"/>
  <c r="B834" i="1"/>
  <c r="E770" i="1"/>
  <c r="D880" i="1"/>
  <c r="I796" i="1"/>
  <c r="B862" i="1"/>
  <c r="J1072" i="1"/>
  <c r="K1279" i="1"/>
  <c r="A1064" i="1"/>
  <c r="B966" i="1"/>
  <c r="K1005" i="1"/>
  <c r="O1063" i="1"/>
  <c r="A1013" i="1"/>
  <c r="B1095" i="1"/>
  <c r="E997" i="1"/>
  <c r="J1053" i="1"/>
  <c r="N1184" i="1"/>
  <c r="O970" i="1"/>
  <c r="N1000" i="1"/>
  <c r="C989" i="1"/>
  <c r="E1281" i="1"/>
  <c r="B985" i="1"/>
  <c r="B1021" i="1"/>
  <c r="F921" i="1"/>
  <c r="B1214" i="1"/>
  <c r="K919" i="1"/>
  <c r="F943" i="1"/>
  <c r="F883" i="1"/>
  <c r="M880" i="1"/>
  <c r="J882" i="1"/>
  <c r="N991" i="1"/>
  <c r="L950" i="1"/>
  <c r="O828" i="1"/>
  <c r="G1008" i="1"/>
  <c r="C830" i="1"/>
  <c r="F878" i="1"/>
  <c r="O856" i="1"/>
  <c r="N1199" i="1"/>
  <c r="J1021" i="1"/>
  <c r="A897" i="1"/>
  <c r="I1071" i="1"/>
  <c r="B967" i="1"/>
  <c r="B1099" i="1"/>
  <c r="A1057" i="1"/>
  <c r="K775" i="1"/>
  <c r="I799" i="1"/>
  <c r="P1076" i="1"/>
  <c r="N953" i="1"/>
  <c r="N902" i="1"/>
  <c r="N797" i="1"/>
  <c r="H905" i="1"/>
  <c r="N1134" i="1"/>
  <c r="N894" i="1"/>
  <c r="N793" i="1"/>
  <c r="H897" i="1"/>
  <c r="E992" i="1"/>
  <c r="B971" i="1"/>
  <c r="D897" i="1"/>
  <c r="P1078" i="1"/>
  <c r="E956" i="1"/>
  <c r="I899" i="1"/>
  <c r="O1007" i="1"/>
  <c r="E1148" i="1"/>
  <c r="J1186" i="1"/>
  <c r="G1184" i="1"/>
  <c r="L1255" i="1"/>
  <c r="A1207" i="1"/>
  <c r="M1078" i="1"/>
  <c r="M1074" i="1"/>
  <c r="B1156" i="1"/>
  <c r="D1188" i="1"/>
  <c r="P1394" i="1"/>
  <c r="J1283" i="1"/>
  <c r="E950" i="1"/>
  <c r="G1147" i="1"/>
  <c r="E946" i="1"/>
  <c r="J1130" i="1"/>
  <c r="O1126" i="1"/>
  <c r="L1125" i="1"/>
  <c r="J1174" i="1"/>
  <c r="M974" i="1"/>
  <c r="K1226" i="1"/>
  <c r="K1041" i="1"/>
  <c r="G1062" i="1"/>
  <c r="C889" i="1"/>
  <c r="A1205" i="1"/>
  <c r="M1388" i="1"/>
  <c r="P987" i="1"/>
  <c r="P1251" i="1"/>
  <c r="E1131" i="1"/>
  <c r="G955" i="1"/>
  <c r="P983" i="1"/>
  <c r="J1230" i="1"/>
  <c r="E1127" i="1"/>
  <c r="C1456" i="1"/>
  <c r="H1059" i="1"/>
  <c r="M1298" i="1"/>
  <c r="E1293" i="1"/>
  <c r="M1325" i="1"/>
  <c r="H1055" i="1"/>
  <c r="G1199" i="1"/>
  <c r="A1228" i="1"/>
  <c r="O1119" i="1"/>
  <c r="M1155" i="1"/>
  <c r="N1012" i="1"/>
  <c r="J998" i="1"/>
  <c r="E957" i="1"/>
  <c r="H992" i="1"/>
  <c r="N1181" i="1"/>
  <c r="L1020" i="1"/>
  <c r="A986" i="1"/>
  <c r="A992" i="1"/>
  <c r="P1118" i="1"/>
  <c r="G1056" i="1"/>
  <c r="F974" i="1"/>
  <c r="O920" i="1"/>
  <c r="A917" i="1"/>
  <c r="M1197" i="1"/>
  <c r="N1103" i="1"/>
  <c r="O1025" i="1"/>
  <c r="M1137" i="1"/>
  <c r="N986" i="1"/>
  <c r="A1038" i="1"/>
  <c r="C1085" i="1"/>
  <c r="E1066" i="1"/>
  <c r="N1054" i="1"/>
  <c r="L1155" i="1"/>
  <c r="L962" i="1"/>
  <c r="E970" i="1"/>
  <c r="B960" i="1"/>
  <c r="F990" i="1"/>
  <c r="O906" i="1"/>
  <c r="P1125" i="1"/>
  <c r="A816" i="1"/>
  <c r="A803" i="1"/>
  <c r="M1076" i="1"/>
  <c r="O732" i="1"/>
  <c r="P974" i="1"/>
  <c r="C734" i="1"/>
  <c r="H1154" i="1"/>
  <c r="O760" i="1"/>
  <c r="L897" i="1"/>
  <c r="G1360" i="1"/>
  <c r="A1217" i="1"/>
  <c r="O918" i="1"/>
  <c r="E962" i="1"/>
  <c r="M1229" i="1"/>
  <c r="E1085" i="1"/>
  <c r="N919" i="1"/>
  <c r="E1143" i="1"/>
  <c r="I902" i="1"/>
  <c r="H918" i="1"/>
  <c r="B1112" i="1"/>
  <c r="G1088" i="1"/>
  <c r="L884" i="1"/>
  <c r="O1237" i="1"/>
  <c r="O887" i="1"/>
  <c r="A1062" i="1"/>
  <c r="H1134" i="1"/>
  <c r="N1096" i="1"/>
  <c r="N938" i="1"/>
  <c r="A1026" i="1"/>
  <c r="C1072" i="1"/>
  <c r="K1023" i="1"/>
  <c r="E1043" i="1"/>
  <c r="B906" i="1"/>
  <c r="M786" i="1"/>
  <c r="O1008" i="1"/>
  <c r="A716" i="1"/>
  <c r="A703" i="1"/>
  <c r="O861" i="1"/>
  <c r="O894" i="1"/>
  <c r="A744" i="1"/>
  <c r="F1088" i="1"/>
  <c r="J1010" i="1"/>
  <c r="G1107" i="1"/>
  <c r="M907" i="1"/>
  <c r="H910" i="1"/>
  <c r="D944" i="1"/>
  <c r="C1051" i="1"/>
  <c r="F1147" i="1"/>
  <c r="B942" i="1"/>
  <c r="I1323" i="1"/>
  <c r="P968" i="1"/>
  <c r="A974" i="1"/>
  <c r="C1020" i="1"/>
  <c r="L1091" i="1"/>
  <c r="B913" i="1"/>
  <c r="H933" i="1"/>
  <c r="K1087" i="1"/>
  <c r="N1131" i="1"/>
  <c r="B877" i="1"/>
  <c r="D892" i="1"/>
  <c r="O976" i="1"/>
  <c r="O902" i="1"/>
  <c r="A752" i="1"/>
  <c r="A739" i="1"/>
  <c r="M988" i="1"/>
  <c r="D963" i="1"/>
  <c r="C835" i="1"/>
  <c r="P973" i="1"/>
  <c r="M1024" i="1"/>
  <c r="G1268" i="1"/>
  <c r="M1030" i="1"/>
  <c r="H1026" i="1"/>
  <c r="J1202" i="1"/>
  <c r="G1072" i="1"/>
  <c r="G1068" i="1"/>
  <c r="E1070" i="1"/>
  <c r="D1214" i="1"/>
  <c r="G1095" i="1"/>
  <c r="E1034" i="1"/>
  <c r="A1209" i="1"/>
  <c r="E1182" i="1"/>
  <c r="H1088" i="1"/>
  <c r="K1011" i="1"/>
  <c r="P1082" i="1"/>
  <c r="M1305" i="1"/>
  <c r="G1043" i="1"/>
  <c r="J1250" i="1"/>
  <c r="I1215" i="1"/>
  <c r="E966" i="1"/>
  <c r="P924" i="1"/>
  <c r="C1068" i="1"/>
  <c r="I957" i="1"/>
  <c r="F1271" i="1"/>
  <c r="A1165" i="1"/>
  <c r="F1146" i="1"/>
  <c r="G1099" i="1"/>
  <c r="C979" i="1"/>
  <c r="N1142" i="1"/>
  <c r="J1160" i="1"/>
  <c r="A1094" i="1"/>
  <c r="C975" i="1"/>
  <c r="N1126" i="1"/>
  <c r="A1161" i="1"/>
  <c r="D1229" i="1"/>
  <c r="I1346" i="1"/>
  <c r="J1123" i="1"/>
  <c r="N1250" i="1"/>
  <c r="D1213" i="1"/>
  <c r="F1248" i="1"/>
  <c r="B1106" i="1"/>
  <c r="K999" i="1"/>
  <c r="M942" i="1"/>
  <c r="O1070" i="1"/>
  <c r="B994" i="1"/>
  <c r="I994" i="1"/>
  <c r="K1009" i="1"/>
  <c r="D1221" i="1"/>
  <c r="G1022" i="1"/>
  <c r="A921" i="1"/>
  <c r="F1097" i="1"/>
  <c r="M1046" i="1"/>
  <c r="N995" i="1"/>
  <c r="C936" i="1"/>
  <c r="G1058" i="1"/>
  <c r="F1063" i="1"/>
  <c r="O1107" i="1"/>
  <c r="J1141" i="1"/>
  <c r="K933" i="1"/>
  <c r="K1038" i="1"/>
  <c r="H1114" i="1"/>
  <c r="A973" i="1"/>
  <c r="C909" i="1"/>
  <c r="E1133" i="1"/>
  <c r="G972" i="1"/>
  <c r="O1106" i="1"/>
  <c r="O912" i="1"/>
  <c r="A1191" i="1"/>
  <c r="L911" i="1"/>
  <c r="P1052" i="1"/>
  <c r="O981" i="1"/>
  <c r="O949" i="1"/>
  <c r="P1159" i="1"/>
  <c r="J967" i="1"/>
  <c r="M923" i="1"/>
  <c r="D1039" i="1"/>
  <c r="F837" i="1"/>
  <c r="N945" i="1"/>
  <c r="M959" i="1"/>
  <c r="G892" i="1"/>
  <c r="N865" i="1"/>
  <c r="A1216" i="1"/>
  <c r="J1381" i="1"/>
  <c r="M1182" i="1"/>
  <c r="B952" i="1"/>
  <c r="I1113" i="1"/>
  <c r="I1050" i="1"/>
  <c r="K969" i="1"/>
  <c r="D929" i="1"/>
  <c r="J1132" i="1"/>
  <c r="M899" i="1"/>
  <c r="J1062" i="1"/>
  <c r="E989" i="1"/>
  <c r="J1037" i="1"/>
  <c r="G989" i="1"/>
  <c r="G963" i="1"/>
  <c r="A997" i="1"/>
  <c r="H942" i="1"/>
  <c r="F1056" i="1"/>
  <c r="G1078" i="1"/>
  <c r="A961" i="1"/>
  <c r="C897" i="1"/>
  <c r="B959" i="1"/>
  <c r="P1096" i="1"/>
  <c r="D874" i="1"/>
  <c r="E879" i="1"/>
  <c r="E1048" i="1"/>
  <c r="A935" i="1"/>
  <c r="I967" i="1"/>
  <c r="J799" i="1"/>
  <c r="M1084" i="1"/>
  <c r="N977" i="1"/>
  <c r="C1097" i="1"/>
  <c r="L953" i="1"/>
  <c r="G1035" i="1"/>
  <c r="L1047" i="1"/>
  <c r="G954" i="1"/>
  <c r="B917" i="1"/>
  <c r="M998" i="1"/>
  <c r="I1045" i="1"/>
  <c r="K1060" i="1"/>
  <c r="I1068" i="1"/>
  <c r="G1010" i="1"/>
  <c r="L1127" i="1"/>
  <c r="H1005" i="1"/>
  <c r="O1041" i="1"/>
  <c r="L883" i="1"/>
  <c r="N1056" i="1"/>
  <c r="A1063" i="1"/>
  <c r="N1102" i="1"/>
  <c r="F1009" i="1"/>
  <c r="D1124" i="1"/>
  <c r="N920" i="1"/>
  <c r="B1111" i="1"/>
  <c r="P894" i="1"/>
  <c r="P1065" i="1"/>
  <c r="E917" i="1"/>
  <c r="J910" i="1"/>
  <c r="F773" i="1"/>
  <c r="B1011" i="1"/>
  <c r="J981" i="1"/>
  <c r="C954" i="1"/>
  <c r="F801" i="1"/>
  <c r="P1335" i="1"/>
  <c r="F1195" i="1"/>
  <c r="G1075" i="1"/>
  <c r="C1091" i="1"/>
  <c r="C1226" i="1"/>
  <c r="I1260" i="1"/>
  <c r="D1128" i="1"/>
  <c r="E1022" i="1"/>
  <c r="B992" i="1"/>
  <c r="H1033" i="1"/>
  <c r="F1218" i="1"/>
  <c r="E924" i="1"/>
  <c r="F957" i="1"/>
  <c r="G1237" i="1"/>
  <c r="H878" i="1"/>
  <c r="A998" i="1"/>
  <c r="C1044" i="1"/>
  <c r="I1165" i="1"/>
  <c r="K923" i="1"/>
  <c r="A962" i="1"/>
  <c r="C1008" i="1"/>
  <c r="M966" i="1"/>
  <c r="E979" i="1"/>
  <c r="K871" i="1"/>
  <c r="M722" i="1"/>
  <c r="P877" i="1"/>
  <c r="H1104" i="1"/>
  <c r="N1109" i="1"/>
  <c r="I1047" i="1"/>
  <c r="N1105" i="1"/>
  <c r="O1005" i="1"/>
  <c r="I1112" i="1"/>
  <c r="F1110" i="1"/>
  <c r="I1046" i="1"/>
  <c r="K1061" i="1"/>
  <c r="N1218" i="1"/>
  <c r="P1036" i="1"/>
  <c r="J1112" i="1"/>
  <c r="C956" i="1"/>
  <c r="I1039" i="1"/>
  <c r="B1017" i="1"/>
  <c r="J1077" i="1"/>
  <c r="F925" i="1"/>
  <c r="D1057" i="1"/>
  <c r="D942" i="1"/>
  <c r="H972" i="1"/>
  <c r="P885" i="1"/>
  <c r="O936" i="1"/>
  <c r="J887" i="1"/>
  <c r="N1014" i="1"/>
  <c r="D1096" i="1"/>
  <c r="C982" i="1"/>
  <c r="C771" i="1"/>
  <c r="N832" i="1"/>
  <c r="M936" i="1"/>
  <c r="P898" i="1"/>
  <c r="C799" i="1"/>
  <c r="C953" i="1"/>
  <c r="I1324" i="1"/>
  <c r="O1088" i="1"/>
  <c r="A1052" i="1"/>
  <c r="M969" i="1"/>
  <c r="G907" i="1"/>
  <c r="O931" i="1"/>
  <c r="L1033" i="1"/>
  <c r="I949" i="1"/>
  <c r="K964" i="1"/>
  <c r="F1254" i="1"/>
  <c r="G914" i="1"/>
  <c r="A894" i="1"/>
  <c r="G1096" i="1"/>
  <c r="O935" i="1"/>
  <c r="O1029" i="1"/>
  <c r="C1045" i="1"/>
  <c r="E1060" i="1"/>
  <c r="O1030" i="1"/>
  <c r="A1047" i="1"/>
  <c r="C1009" i="1"/>
  <c r="E1024" i="1"/>
  <c r="E980" i="1"/>
  <c r="D932" i="1"/>
  <c r="D885" i="1"/>
  <c r="F907" i="1"/>
  <c r="A844" i="1"/>
  <c r="A831" i="1"/>
  <c r="M997" i="1"/>
  <c r="J964" i="1"/>
  <c r="A872" i="1"/>
  <c r="A859" i="1"/>
  <c r="L1408" i="1"/>
  <c r="G1118" i="1"/>
  <c r="B1065" i="1"/>
  <c r="I979" i="1"/>
  <c r="C948" i="1"/>
  <c r="A1215" i="1"/>
  <c r="P820" i="1"/>
  <c r="K898" i="1"/>
  <c r="L931" i="1"/>
  <c r="H997" i="1"/>
  <c r="L794" i="1"/>
  <c r="B908" i="1"/>
  <c r="H796" i="1"/>
  <c r="H957" i="1"/>
  <c r="L790" i="1"/>
  <c r="B900" i="1"/>
  <c r="D958" i="1"/>
  <c r="J959" i="1"/>
  <c r="N757" i="1"/>
  <c r="P964" i="1"/>
  <c r="D1144" i="1"/>
  <c r="O896" i="1"/>
  <c r="I875" i="1"/>
  <c r="M1089" i="1"/>
  <c r="G1063" i="1"/>
  <c r="D1273" i="1"/>
  <c r="P951" i="1"/>
  <c r="I1063" i="1"/>
  <c r="I1059" i="1"/>
  <c r="O1015" i="1"/>
  <c r="F1122" i="1"/>
  <c r="E1105" i="1"/>
  <c r="P962" i="1"/>
  <c r="F984" i="1"/>
  <c r="M1152" i="1"/>
  <c r="O911" i="1"/>
  <c r="E1061" i="1"/>
  <c r="M1399" i="1"/>
  <c r="C1067" i="1"/>
  <c r="O1327" i="1"/>
  <c r="C1063" i="1"/>
  <c r="A968" i="1"/>
  <c r="I1015" i="1"/>
  <c r="G1070" i="1"/>
  <c r="C893" i="1"/>
  <c r="B901" i="1"/>
  <c r="J1365" i="1"/>
  <c r="C1153" i="1"/>
  <c r="N1057" i="1"/>
  <c r="M1101" i="1"/>
  <c r="O1028" i="1"/>
  <c r="D1081" i="1"/>
  <c r="K1157" i="1"/>
  <c r="K1094" i="1"/>
  <c r="O1024" i="1"/>
  <c r="D1077" i="1"/>
  <c r="H1232" i="1"/>
  <c r="K1039" i="1"/>
  <c r="M982" i="1"/>
  <c r="B1145" i="1"/>
  <c r="D1197" i="1"/>
  <c r="K1035" i="1"/>
  <c r="M978" i="1"/>
  <c r="F1076" i="1"/>
  <c r="E1049" i="1"/>
  <c r="J1124" i="1"/>
  <c r="O895" i="1"/>
  <c r="L941" i="1"/>
  <c r="I929" i="1"/>
  <c r="K944" i="1"/>
  <c r="O1240" i="1"/>
  <c r="P1009" i="1"/>
  <c r="M1259" i="1"/>
  <c r="I1031" i="1"/>
  <c r="O983" i="1"/>
  <c r="E1084" i="1"/>
  <c r="P1323" i="1"/>
  <c r="J897" i="1"/>
  <c r="H976" i="1"/>
  <c r="G1139" i="1"/>
  <c r="B945" i="1"/>
  <c r="F975" i="1"/>
  <c r="A964" i="1"/>
  <c r="G899" i="1"/>
  <c r="N917" i="1"/>
  <c r="H1207" i="1"/>
  <c r="N979" i="1"/>
  <c r="L1100" i="1"/>
  <c r="C949" i="1"/>
  <c r="O1229" i="1"/>
  <c r="O875" i="1"/>
  <c r="A1058" i="1"/>
  <c r="H1120" i="1"/>
  <c r="M1177" i="1"/>
  <c r="E1075" i="1"/>
  <c r="E953" i="1"/>
  <c r="M818" i="1"/>
  <c r="O898" i="1"/>
  <c r="A748" i="1"/>
  <c r="A735" i="1"/>
  <c r="G932" i="1"/>
  <c r="L946" i="1"/>
  <c r="A776" i="1"/>
  <c r="A763" i="1"/>
  <c r="O1198" i="1"/>
  <c r="H1063" i="1"/>
  <c r="L1034" i="1"/>
  <c r="F982" i="1"/>
  <c r="K1144" i="1"/>
  <c r="I921" i="1"/>
  <c r="O1085" i="1"/>
  <c r="O978" i="1"/>
  <c r="N1032" i="1"/>
  <c r="C993" i="1"/>
  <c r="B1058" i="1"/>
  <c r="I1010" i="1"/>
  <c r="K1025" i="1"/>
  <c r="O1096" i="1"/>
  <c r="C926" i="1"/>
  <c r="D959" i="1"/>
  <c r="F915" i="1"/>
  <c r="P1133" i="1"/>
  <c r="G887" i="1"/>
  <c r="L904" i="1"/>
  <c r="H1090" i="1"/>
  <c r="I971" i="1"/>
  <c r="H903" i="1"/>
  <c r="I771" i="1"/>
  <c r="N1029" i="1"/>
  <c r="E975" i="1"/>
  <c r="K867" i="1"/>
  <c r="M718" i="1"/>
  <c r="O1068" i="1"/>
  <c r="E1003" i="1"/>
  <c r="I1398" i="1"/>
  <c r="O977" i="1"/>
  <c r="L1068" i="1"/>
  <c r="E1181" i="1"/>
  <c r="M1236" i="1"/>
  <c r="A923" i="1"/>
  <c r="O1057" i="1"/>
  <c r="B1107" i="1"/>
  <c r="L1116" i="1"/>
  <c r="K885" i="1"/>
  <c r="H1043" i="1"/>
  <c r="P985" i="1"/>
  <c r="F1031" i="1"/>
  <c r="N1104" i="1"/>
  <c r="N962" i="1"/>
  <c r="A1030" i="1"/>
  <c r="C1076" i="1"/>
  <c r="G1229" i="1"/>
  <c r="N1087" i="1"/>
  <c r="A994" i="1"/>
  <c r="C1040" i="1"/>
  <c r="C1019" i="1"/>
  <c r="E1011" i="1"/>
  <c r="H1010" i="1"/>
  <c r="M754" i="1"/>
  <c r="A930" i="1"/>
  <c r="A880" i="1"/>
  <c r="J984" i="1"/>
  <c r="O829" i="1"/>
  <c r="O1000" i="1"/>
  <c r="F1066" i="1"/>
  <c r="A699" i="1"/>
  <c r="O1148" i="1"/>
  <c r="K1215" i="1"/>
  <c r="C1034" i="1"/>
  <c r="A1054" i="1"/>
  <c r="P919" i="1"/>
  <c r="I986" i="1"/>
  <c r="A1104" i="1"/>
  <c r="F1112" i="1"/>
  <c r="H932" i="1"/>
  <c r="O989" i="1"/>
  <c r="I1155" i="1"/>
  <c r="O1086" i="1"/>
  <c r="C1101" i="1"/>
  <c r="F1084" i="1"/>
  <c r="G1034" i="1"/>
  <c r="A933" i="1"/>
  <c r="K1102" i="1"/>
  <c r="I972" i="1"/>
  <c r="G998" i="1"/>
  <c r="P1054" i="1"/>
  <c r="H981" i="1"/>
  <c r="I1037" i="1"/>
  <c r="C942" i="1"/>
  <c r="N809" i="1"/>
  <c r="C950" i="1"/>
  <c r="E976" i="1"/>
  <c r="G1040" i="1"/>
  <c r="E1038" i="1"/>
  <c r="B1103" i="1"/>
  <c r="E903" i="1"/>
  <c r="P954" i="1"/>
  <c r="I995" i="1"/>
  <c r="G1048" i="1"/>
  <c r="I981" i="1"/>
  <c r="K996" i="1"/>
  <c r="P1047" i="1"/>
  <c r="G946" i="1"/>
  <c r="E930" i="1"/>
  <c r="N899" i="1"/>
  <c r="O1011" i="1"/>
  <c r="F953" i="1"/>
  <c r="C1077" i="1"/>
  <c r="B1097" i="1"/>
  <c r="B1129" i="1"/>
  <c r="O997" i="1"/>
  <c r="C1041" i="1"/>
  <c r="E1056" i="1"/>
  <c r="E1012" i="1"/>
  <c r="P1094" i="1"/>
  <c r="I918" i="1"/>
  <c r="J988" i="1"/>
  <c r="C876" i="1"/>
  <c r="A863" i="1"/>
  <c r="H1157" i="1"/>
  <c r="H1141" i="1"/>
  <c r="L1016" i="1"/>
  <c r="G929" i="1"/>
  <c r="D1286" i="1"/>
  <c r="J929" i="1"/>
  <c r="D1222" i="1"/>
  <c r="I915" i="1"/>
  <c r="J1155" i="1"/>
  <c r="E941" i="1"/>
  <c r="L1106" i="1"/>
  <c r="F1033" i="1"/>
  <c r="B893" i="1"/>
  <c r="D908" i="1"/>
  <c r="K1112" i="1"/>
  <c r="P1050" i="1"/>
  <c r="L1075" i="1"/>
  <c r="B1185" i="1"/>
  <c r="C1117" i="1"/>
  <c r="A934" i="1"/>
  <c r="C980" i="1"/>
  <c r="A1196" i="1"/>
  <c r="N1072" i="1"/>
  <c r="L1092" i="1"/>
  <c r="C944" i="1"/>
  <c r="P1170" i="1"/>
  <c r="E915" i="1"/>
  <c r="K807" i="1"/>
  <c r="P852" i="1"/>
  <c r="G917" i="1"/>
  <c r="D782" i="1"/>
  <c r="N882" i="1"/>
  <c r="O733" i="1"/>
  <c r="N981" i="1"/>
  <c r="D810" i="1"/>
  <c r="C974" i="1"/>
  <c r="G1055" i="1"/>
  <c r="F1053" i="1"/>
  <c r="F1047" i="1"/>
  <c r="N1183" i="1"/>
  <c r="M943" i="1"/>
  <c r="B1109" i="1"/>
  <c r="C985" i="1"/>
  <c r="K942" i="1"/>
  <c r="P998" i="1"/>
  <c r="M1020" i="1"/>
  <c r="O692" i="1"/>
  <c r="C859" i="1"/>
  <c r="C694" i="1"/>
  <c r="M1016" i="1"/>
  <c r="O688" i="1"/>
  <c r="C855" i="1"/>
  <c r="F1006" i="1"/>
  <c r="I816" i="1"/>
  <c r="J891" i="1"/>
  <c r="E818" i="1"/>
  <c r="H948" i="1"/>
  <c r="I780" i="1"/>
  <c r="B846" i="1"/>
  <c r="O696" i="1"/>
  <c r="H1125" i="1"/>
  <c r="H941" i="1"/>
  <c r="N936" i="1"/>
  <c r="I1091" i="1"/>
  <c r="M876" i="1"/>
  <c r="K1069" i="1"/>
  <c r="L1139" i="1"/>
  <c r="P1028" i="1"/>
  <c r="K920" i="1"/>
  <c r="F1007" i="1"/>
  <c r="F777" i="1"/>
  <c r="C862" i="1"/>
  <c r="L880" i="1"/>
  <c r="C1001" i="1"/>
  <c r="I1014" i="1"/>
  <c r="A1069" i="1"/>
  <c r="H980" i="1"/>
  <c r="I916" i="1"/>
  <c r="L869" i="1"/>
  <c r="F800" i="1"/>
  <c r="C1016" i="1"/>
  <c r="D1152" i="1"/>
  <c r="A995" i="1"/>
  <c r="E858" i="1"/>
  <c r="D1069" i="1"/>
  <c r="O1042" i="1"/>
  <c r="N915" i="1"/>
  <c r="M869" i="1"/>
  <c r="D980" i="1"/>
  <c r="D1265" i="1"/>
  <c r="E1431" i="1"/>
  <c r="C1111" i="1"/>
  <c r="H1004" i="1"/>
  <c r="H1127" i="1"/>
  <c r="K1262" i="1"/>
  <c r="G1031" i="1"/>
  <c r="N1016" i="1"/>
  <c r="F768" i="1"/>
  <c r="N769" i="1"/>
  <c r="M908" i="1"/>
  <c r="J902" i="1"/>
  <c r="F765" i="1"/>
  <c r="B979" i="1"/>
  <c r="M904" i="1"/>
  <c r="J898" i="1"/>
  <c r="F761" i="1"/>
  <c r="M945" i="1"/>
  <c r="K876" i="1"/>
  <c r="A903" i="1"/>
  <c r="K878" i="1"/>
  <c r="L990" i="1"/>
  <c r="O840" i="1"/>
  <c r="L1051" i="1"/>
  <c r="C842" i="1"/>
  <c r="J911" i="1"/>
  <c r="M1025" i="1"/>
  <c r="K1000" i="1"/>
  <c r="C1023" i="1"/>
  <c r="G938" i="1"/>
  <c r="H1074" i="1"/>
  <c r="O888" i="1"/>
  <c r="G896" i="1"/>
  <c r="K889" i="1"/>
  <c r="A827" i="1"/>
  <c r="E968" i="1"/>
  <c r="I911" i="1"/>
  <c r="F1003" i="1"/>
  <c r="E887" i="1"/>
  <c r="E964" i="1"/>
  <c r="I907" i="1"/>
  <c r="F971" i="1"/>
  <c r="J940" i="1"/>
  <c r="A860" i="1"/>
  <c r="A847" i="1"/>
  <c r="F1046" i="1"/>
  <c r="F879" i="1"/>
  <c r="A824" i="1"/>
  <c r="A811" i="1"/>
  <c r="M957" i="1"/>
  <c r="J819" i="1"/>
  <c r="H835" i="1"/>
  <c r="M761" i="1"/>
  <c r="A825" i="1"/>
  <c r="F867" i="1"/>
  <c r="K682" i="1"/>
  <c r="M753" i="1"/>
  <c r="A821" i="1"/>
  <c r="M1006" i="1"/>
  <c r="A1163" i="1"/>
  <c r="O899" i="1"/>
  <c r="I890" i="1"/>
  <c r="N1038" i="1"/>
  <c r="A848" i="1"/>
  <c r="B902" i="1"/>
  <c r="M912" i="1"/>
  <c r="M810" i="1"/>
  <c r="L980" i="1"/>
  <c r="K763" i="1"/>
  <c r="P808" i="1"/>
  <c r="P952" i="1"/>
  <c r="L972" i="1"/>
  <c r="K759" i="1"/>
  <c r="P804" i="1"/>
  <c r="F1139" i="1"/>
  <c r="D766" i="1"/>
  <c r="N1019" i="1"/>
  <c r="O717" i="1"/>
  <c r="D1151" i="1"/>
  <c r="C895" i="1"/>
  <c r="K910" i="1"/>
  <c r="B876" i="1"/>
  <c r="F868" i="1"/>
  <c r="P1141" i="1"/>
  <c r="G1316" i="1"/>
  <c r="E1237" i="1"/>
  <c r="K932" i="1"/>
  <c r="J987" i="1"/>
  <c r="E1028" i="1"/>
  <c r="A1303" i="1"/>
  <c r="H1093" i="1"/>
  <c r="C798" i="1"/>
  <c r="K735" i="1"/>
  <c r="M955" i="1"/>
  <c r="G888" i="1"/>
  <c r="F861" i="1"/>
  <c r="F728" i="1"/>
  <c r="M951" i="1"/>
  <c r="G1244" i="1"/>
  <c r="F857" i="1"/>
  <c r="H950" i="1"/>
  <c r="L818" i="1"/>
  <c r="P1025" i="1"/>
  <c r="H820" i="1"/>
  <c r="N907" i="1"/>
  <c r="L782" i="1"/>
  <c r="B884" i="1"/>
  <c r="H784" i="1"/>
  <c r="G897" i="1"/>
  <c r="C1266" i="1"/>
  <c r="J1059" i="1"/>
  <c r="E1002" i="1"/>
  <c r="N972" i="1"/>
  <c r="G1101" i="1"/>
  <c r="O832" i="1"/>
  <c r="J1057" i="1"/>
  <c r="L1107" i="1"/>
  <c r="B939" i="1"/>
  <c r="E999" i="1"/>
  <c r="I920" i="1"/>
  <c r="M742" i="1"/>
  <c r="K1160" i="1"/>
  <c r="E995" i="1"/>
  <c r="I904" i="1"/>
  <c r="M738" i="1"/>
  <c r="O960" i="1"/>
  <c r="N942" i="1"/>
  <c r="A687" i="1"/>
  <c r="O845" i="1"/>
  <c r="P897" i="1"/>
  <c r="D858" i="1"/>
  <c r="C879" i="1"/>
  <c r="O809" i="1"/>
  <c r="G717" i="1"/>
  <c r="D940" i="1"/>
  <c r="J734" i="1"/>
  <c r="P913" i="1"/>
  <c r="K829" i="1"/>
  <c r="D611" i="1"/>
  <c r="D729" i="1"/>
  <c r="N897" i="1"/>
  <c r="M970" i="1"/>
  <c r="A812" i="1"/>
  <c r="E993" i="1"/>
  <c r="E985" i="1"/>
  <c r="A783" i="1"/>
  <c r="A747" i="1"/>
  <c r="N1055" i="1"/>
  <c r="H753" i="1"/>
  <c r="F678" i="1"/>
  <c r="D882" i="1"/>
  <c r="H749" i="1"/>
  <c r="C736" i="1"/>
  <c r="N726" i="1"/>
  <c r="D1159" i="1"/>
  <c r="A785" i="1"/>
  <c r="B723" i="1"/>
  <c r="C905" i="1"/>
  <c r="G774" i="1"/>
  <c r="J684" i="1"/>
  <c r="E701" i="1"/>
  <c r="M996" i="1"/>
  <c r="G738" i="1"/>
  <c r="P758" i="1"/>
  <c r="E774" i="1"/>
  <c r="O966" i="1"/>
  <c r="P767" i="1"/>
  <c r="E864" i="1"/>
  <c r="F929" i="1"/>
  <c r="B656" i="1"/>
  <c r="M836" i="1"/>
  <c r="P640" i="1"/>
  <c r="L845" i="1"/>
  <c r="B640" i="1"/>
  <c r="G815" i="1"/>
  <c r="P636" i="1"/>
  <c r="J802" i="1"/>
  <c r="B624" i="1"/>
  <c r="M772" i="1"/>
  <c r="P628" i="1"/>
  <c r="D797" i="1"/>
  <c r="B1013" i="1"/>
  <c r="N738" i="1"/>
  <c r="G464" i="1"/>
  <c r="E688" i="1"/>
  <c r="L1008" i="1"/>
  <c r="H609" i="1"/>
  <c r="B762" i="1"/>
  <c r="G585" i="1"/>
  <c r="B616" i="1"/>
  <c r="K586" i="1"/>
  <c r="B645" i="1"/>
  <c r="L640" i="1"/>
  <c r="D632" i="1"/>
  <c r="M279" i="1"/>
  <c r="L260" i="1"/>
  <c r="N575" i="1"/>
  <c r="F649" i="1"/>
  <c r="M555" i="1"/>
  <c r="O563" i="1"/>
  <c r="A554" i="1"/>
  <c r="C537" i="1"/>
  <c r="B372" i="1"/>
  <c r="H521" i="1"/>
  <c r="L419" i="1"/>
  <c r="K1024" i="1"/>
  <c r="H1098" i="1"/>
  <c r="N929" i="1"/>
  <c r="O923" i="1"/>
  <c r="N884" i="1"/>
  <c r="M878" i="1"/>
  <c r="D758" i="1"/>
  <c r="L829" i="1"/>
  <c r="H795" i="1"/>
  <c r="B1016" i="1"/>
  <c r="F824" i="1"/>
  <c r="F851" i="1"/>
  <c r="E1313" i="1"/>
  <c r="G810" i="1"/>
  <c r="J720" i="1"/>
  <c r="E773" i="1"/>
  <c r="O708" i="1"/>
  <c r="P709" i="1"/>
  <c r="K702" i="1"/>
  <c r="M819" i="1"/>
  <c r="E920" i="1"/>
  <c r="C863" i="1"/>
  <c r="N1061" i="1"/>
  <c r="J1030" i="1"/>
  <c r="E1419" i="1"/>
  <c r="C885" i="1"/>
  <c r="F988" i="1"/>
  <c r="A1137" i="1"/>
  <c r="L895" i="1"/>
  <c r="O993" i="1"/>
  <c r="H989" i="1"/>
  <c r="P921" i="1"/>
  <c r="B1244" i="1"/>
  <c r="M857" i="1"/>
  <c r="L1229" i="1"/>
  <c r="J966" i="1"/>
  <c r="A1010" i="1"/>
  <c r="D1091" i="1"/>
  <c r="F894" i="1"/>
  <c r="D1048" i="1"/>
  <c r="G967" i="1"/>
  <c r="N970" i="1"/>
  <c r="N1245" i="1"/>
  <c r="M1062" i="1"/>
  <c r="N969" i="1"/>
  <c r="O853" i="1"/>
  <c r="M964" i="1"/>
  <c r="L1148" i="1"/>
  <c r="P828" i="1"/>
  <c r="L928" i="1"/>
  <c r="F901" i="1"/>
  <c r="A820" i="1"/>
  <c r="C1254" i="1"/>
  <c r="A1014" i="1"/>
  <c r="F906" i="1"/>
  <c r="M1066" i="1"/>
  <c r="M934" i="1"/>
  <c r="M1055" i="1"/>
  <c r="H899" i="1"/>
  <c r="E922" i="1"/>
  <c r="B1025" i="1"/>
  <c r="P909" i="1"/>
  <c r="L870" i="1"/>
  <c r="D922" i="1"/>
  <c r="O821" i="1"/>
  <c r="P905" i="1"/>
  <c r="L866" i="1"/>
  <c r="N905" i="1"/>
  <c r="L1169" i="1"/>
  <c r="D924" i="1"/>
  <c r="C787" i="1"/>
  <c r="N848" i="1"/>
  <c r="M1063" i="1"/>
  <c r="H901" i="1"/>
  <c r="C751" i="1"/>
  <c r="F812" i="1"/>
  <c r="F756" i="1"/>
  <c r="I1118" i="1"/>
  <c r="J962" i="1"/>
  <c r="N1003" i="1"/>
  <c r="J925" i="1"/>
  <c r="I886" i="1"/>
  <c r="L881" i="1"/>
  <c r="E945" i="1"/>
  <c r="M999" i="1"/>
  <c r="M842" i="1"/>
  <c r="N1079" i="1"/>
  <c r="K795" i="1"/>
  <c r="P840" i="1"/>
  <c r="O1031" i="1"/>
  <c r="N1063" i="1"/>
  <c r="K791" i="1"/>
  <c r="P836" i="1"/>
  <c r="N941" i="1"/>
  <c r="D798" i="1"/>
  <c r="D918" i="1"/>
  <c r="O749" i="1"/>
  <c r="O1077" i="1"/>
  <c r="D762" i="1"/>
  <c r="J999" i="1"/>
  <c r="N1089" i="1"/>
  <c r="M705" i="1"/>
  <c r="F1222" i="1"/>
  <c r="A889" i="1"/>
  <c r="J792" i="1"/>
  <c r="G793" i="1"/>
  <c r="K1108" i="1"/>
  <c r="G880" i="1"/>
  <c r="J788" i="1"/>
  <c r="K1073" i="1"/>
  <c r="O967" i="1"/>
  <c r="I1074" i="1"/>
  <c r="A886" i="1"/>
  <c r="D1019" i="1"/>
  <c r="I835" i="1"/>
  <c r="L769" i="1"/>
  <c r="E1067" i="1"/>
  <c r="L1001" i="1"/>
  <c r="H1100" i="1"/>
  <c r="I855" i="1"/>
  <c r="O1109" i="1"/>
  <c r="A970" i="1"/>
  <c r="N1074" i="1"/>
  <c r="I851" i="1"/>
  <c r="L1185" i="1"/>
  <c r="B1089" i="1"/>
  <c r="E977" i="1"/>
  <c r="M830" i="1"/>
  <c r="E1165" i="1"/>
  <c r="E1051" i="1"/>
  <c r="F914" i="1"/>
  <c r="M794" i="1"/>
  <c r="A1065" i="1"/>
  <c r="G822" i="1"/>
  <c r="E904" i="1"/>
  <c r="J1246" i="1"/>
  <c r="L899" i="1"/>
  <c r="L1015" i="1"/>
  <c r="A1098" i="1"/>
  <c r="L1161" i="1"/>
  <c r="F902" i="1"/>
  <c r="B1076" i="1"/>
  <c r="O797" i="1"/>
  <c r="L797" i="1"/>
  <c r="L938" i="1"/>
  <c r="A772" i="1"/>
  <c r="A759" i="1"/>
  <c r="F888" i="1"/>
  <c r="M930" i="1"/>
  <c r="A768" i="1"/>
  <c r="A755" i="1"/>
  <c r="M1052" i="1"/>
  <c r="O716" i="1"/>
  <c r="K887" i="1"/>
  <c r="C718" i="1"/>
  <c r="M1000" i="1"/>
  <c r="M1110" i="1"/>
  <c r="C847" i="1"/>
  <c r="H1223" i="1"/>
  <c r="C722" i="1"/>
  <c r="D1022" i="1"/>
  <c r="B1150" i="1"/>
  <c r="P938" i="1"/>
  <c r="N944" i="1"/>
  <c r="E1094" i="1"/>
  <c r="H1021" i="1"/>
  <c r="F963" i="1"/>
  <c r="P1166" i="1"/>
  <c r="D1036" i="1"/>
  <c r="G894" i="1"/>
  <c r="N829" i="1"/>
  <c r="G906" i="1"/>
  <c r="I974" i="1"/>
  <c r="P1041" i="1"/>
  <c r="N825" i="1"/>
  <c r="J1068" i="1"/>
  <c r="E1032" i="1"/>
  <c r="J892" i="1"/>
  <c r="I935" i="1"/>
  <c r="J783" i="1"/>
  <c r="E988" i="1"/>
  <c r="B955" i="1"/>
  <c r="D893" i="1"/>
  <c r="P1014" i="1"/>
  <c r="H703" i="1"/>
  <c r="M1019" i="1"/>
  <c r="G722" i="1"/>
  <c r="D714" i="1"/>
  <c r="J838" i="1"/>
  <c r="M979" i="1"/>
  <c r="G718" i="1"/>
  <c r="D706" i="1"/>
  <c r="K1056" i="1"/>
  <c r="P848" i="1"/>
  <c r="G992" i="1"/>
  <c r="G984" i="1"/>
  <c r="P917" i="1"/>
  <c r="F1138" i="1"/>
  <c r="O804" i="1"/>
  <c r="G712" i="1"/>
  <c r="P912" i="1"/>
  <c r="O929" i="1"/>
  <c r="G704" i="1"/>
  <c r="L703" i="1"/>
  <c r="N1004" i="1"/>
  <c r="G842" i="1"/>
  <c r="J752" i="1"/>
  <c r="G844" i="1"/>
  <c r="L810" i="1"/>
  <c r="P741" i="1"/>
  <c r="K766" i="1"/>
  <c r="M851" i="1"/>
  <c r="D1043" i="1"/>
  <c r="P705" i="1"/>
  <c r="K694" i="1"/>
  <c r="N836" i="1"/>
  <c r="G858" i="1"/>
  <c r="N714" i="1"/>
  <c r="G456" i="1"/>
  <c r="B1041" i="1"/>
  <c r="D744" i="1"/>
  <c r="F695" i="1"/>
  <c r="A607" i="1"/>
  <c r="L960" i="1"/>
  <c r="J733" i="1"/>
  <c r="F687" i="1"/>
  <c r="A603" i="1"/>
  <c r="G833" i="1"/>
  <c r="D712" i="1"/>
  <c r="F677" i="1"/>
  <c r="A595" i="1"/>
  <c r="B835" i="1"/>
  <c r="G736" i="1"/>
  <c r="P692" i="1"/>
  <c r="L599" i="1"/>
  <c r="P652" i="1"/>
  <c r="A765" i="1"/>
  <c r="E654" i="1"/>
  <c r="O633" i="1"/>
  <c r="P552" i="1"/>
  <c r="I712" i="1"/>
  <c r="N731" i="1"/>
  <c r="E563" i="1"/>
  <c r="O558" i="1"/>
  <c r="G550" i="1"/>
  <c r="K503" i="1"/>
  <c r="C244" i="1"/>
  <c r="F500" i="1"/>
  <c r="E592" i="1"/>
  <c r="D491" i="1"/>
  <c r="O1138" i="1"/>
  <c r="I1013" i="1"/>
  <c r="D1110" i="1"/>
  <c r="O1003" i="1"/>
  <c r="E1052" i="1"/>
  <c r="N1093" i="1"/>
  <c r="N1044" i="1"/>
  <c r="D891" i="1"/>
  <c r="C1021" i="1"/>
  <c r="J980" i="1"/>
  <c r="G915" i="1"/>
  <c r="F898" i="1"/>
  <c r="M1009" i="1"/>
  <c r="J954" i="1"/>
  <c r="N932" i="1"/>
  <c r="K1029" i="1"/>
  <c r="C924" i="1"/>
  <c r="P889" i="1"/>
  <c r="H1030" i="1"/>
  <c r="M1051" i="1"/>
  <c r="O1089" i="1"/>
  <c r="A1050" i="1"/>
  <c r="K1076" i="1"/>
  <c r="F1039" i="1"/>
  <c r="K924" i="1"/>
  <c r="E927" i="1"/>
  <c r="N1031" i="1"/>
  <c r="C898" i="1"/>
  <c r="D790" i="1"/>
  <c r="J1080" i="1"/>
  <c r="A807" i="1"/>
  <c r="A1184" i="1"/>
  <c r="K1033" i="1"/>
  <c r="O1093" i="1"/>
  <c r="L1095" i="1"/>
  <c r="G1015" i="1"/>
  <c r="L940" i="1"/>
  <c r="J943" i="1"/>
  <c r="L912" i="1"/>
  <c r="F769" i="1"/>
  <c r="E1000" i="1"/>
  <c r="B1003" i="1"/>
  <c r="D905" i="1"/>
  <c r="J759" i="1"/>
  <c r="E996" i="1"/>
  <c r="B987" i="1"/>
  <c r="D901" i="1"/>
  <c r="P1029" i="1"/>
  <c r="P922" i="1"/>
  <c r="N880" i="1"/>
  <c r="M897" i="1"/>
  <c r="G931" i="1"/>
  <c r="A856" i="1"/>
  <c r="A843" i="1"/>
  <c r="F1030" i="1"/>
  <c r="N893" i="1"/>
  <c r="D903" i="1"/>
  <c r="O1043" i="1"/>
  <c r="F1131" i="1"/>
  <c r="A919" i="1"/>
  <c r="A882" i="1"/>
  <c r="I867" i="1"/>
  <c r="B866" i="1"/>
  <c r="B1108" i="1"/>
  <c r="B1054" i="1"/>
  <c r="O908" i="1"/>
  <c r="G909" i="1"/>
  <c r="C910" i="1"/>
  <c r="F961" i="1"/>
  <c r="O904" i="1"/>
  <c r="G893" i="1"/>
  <c r="M1130" i="1"/>
  <c r="N1204" i="1"/>
  <c r="H1069" i="1"/>
  <c r="M862" i="1"/>
  <c r="P1039" i="1"/>
  <c r="G1083" i="1"/>
  <c r="E969" i="1"/>
  <c r="M826" i="1"/>
  <c r="C1102" i="1"/>
  <c r="G854" i="1"/>
  <c r="E1079" i="1"/>
  <c r="P849" i="1"/>
  <c r="J921" i="1"/>
  <c r="N712" i="1"/>
  <c r="E1047" i="1"/>
  <c r="P845" i="1"/>
  <c r="E885" i="1"/>
  <c r="K940" i="1"/>
  <c r="O1118" i="1"/>
  <c r="A1070" i="1"/>
  <c r="K905" i="1"/>
  <c r="G1105" i="1"/>
  <c r="A835" i="1"/>
  <c r="N959" i="1"/>
  <c r="I732" i="1"/>
  <c r="K956" i="1"/>
  <c r="I760" i="1"/>
  <c r="B826" i="1"/>
  <c r="E762" i="1"/>
  <c r="O1021" i="1"/>
  <c r="I756" i="1"/>
  <c r="L821" i="1"/>
  <c r="G974" i="1"/>
  <c r="E912" i="1"/>
  <c r="K723" i="1"/>
  <c r="P768" i="1"/>
  <c r="J885" i="1"/>
  <c r="E876" i="1"/>
  <c r="E886" i="1"/>
  <c r="O905" i="1"/>
  <c r="N1026" i="1"/>
  <c r="P789" i="1"/>
  <c r="I1251" i="1"/>
  <c r="D945" i="1"/>
  <c r="D895" i="1"/>
  <c r="E1201" i="1"/>
  <c r="O1034" i="1"/>
  <c r="O938" i="1"/>
  <c r="E948" i="1"/>
  <c r="O796" i="1"/>
  <c r="G895" i="1"/>
  <c r="C735" i="1"/>
  <c r="N952" i="1"/>
  <c r="G864" i="1"/>
  <c r="K890" i="1"/>
  <c r="J855" i="1"/>
  <c r="D1181" i="1"/>
  <c r="G860" i="1"/>
  <c r="K886" i="1"/>
  <c r="J1065" i="1"/>
  <c r="C994" i="1"/>
  <c r="F821" i="1"/>
  <c r="C990" i="1"/>
  <c r="J949" i="1"/>
  <c r="K925" i="1"/>
  <c r="F785" i="1"/>
  <c r="H1129" i="1"/>
  <c r="C884" i="1"/>
  <c r="G935" i="1"/>
  <c r="G982" i="1"/>
  <c r="B984" i="1"/>
  <c r="P1097" i="1"/>
  <c r="N1143" i="1"/>
  <c r="L1019" i="1"/>
  <c r="L901" i="1"/>
  <c r="J1007" i="1"/>
  <c r="I941" i="1"/>
  <c r="A908" i="1"/>
  <c r="I727" i="1"/>
  <c r="G913" i="1"/>
  <c r="K989" i="1"/>
  <c r="A892" i="1"/>
  <c r="I723" i="1"/>
  <c r="P1107" i="1"/>
  <c r="E959" i="1"/>
  <c r="K851" i="1"/>
  <c r="B964" i="1"/>
  <c r="D993" i="1"/>
  <c r="E923" i="1"/>
  <c r="K815" i="1"/>
  <c r="P860" i="1"/>
  <c r="A926" i="1"/>
  <c r="G694" i="1"/>
  <c r="P972" i="1"/>
  <c r="P689" i="1"/>
  <c r="O919" i="1"/>
  <c r="M799" i="1"/>
  <c r="G904" i="1"/>
  <c r="P906" i="1"/>
  <c r="H888" i="1"/>
  <c r="J881" i="1"/>
  <c r="C965" i="1"/>
  <c r="M838" i="1"/>
  <c r="M834" i="1"/>
  <c r="F912" i="1"/>
  <c r="B1045" i="1"/>
  <c r="N908" i="1"/>
  <c r="A761" i="1"/>
  <c r="M735" i="1"/>
  <c r="C770" i="1"/>
  <c r="A757" i="1"/>
  <c r="D1103" i="1"/>
  <c r="P902" i="1"/>
  <c r="P809" i="1"/>
  <c r="G737" i="1"/>
  <c r="P990" i="1"/>
  <c r="A975" i="1"/>
  <c r="J846" i="1"/>
  <c r="O897" i="1"/>
  <c r="D819" i="1"/>
  <c r="C843" i="1"/>
  <c r="B798" i="1"/>
  <c r="K848" i="1"/>
  <c r="O769" i="1"/>
  <c r="L991" i="1"/>
  <c r="B664" i="1"/>
  <c r="E856" i="1"/>
  <c r="B780" i="1"/>
  <c r="G676" i="1"/>
  <c r="I655" i="1"/>
  <c r="N803" i="1"/>
  <c r="B776" i="1"/>
  <c r="G672" i="1"/>
  <c r="I651" i="1"/>
  <c r="N787" i="1"/>
  <c r="B748" i="1"/>
  <c r="G664" i="1"/>
  <c r="I643" i="1"/>
  <c r="D754" i="1"/>
  <c r="N937" i="1"/>
  <c r="D639" i="1"/>
  <c r="B785" i="1"/>
  <c r="H720" i="1"/>
  <c r="A619" i="1"/>
  <c r="B770" i="1"/>
  <c r="N621" i="1"/>
  <c r="F601" i="1"/>
  <c r="L894" i="1"/>
  <c r="L752" i="1"/>
  <c r="M623" i="1"/>
  <c r="N498" i="1"/>
  <c r="F494" i="1"/>
  <c r="P485" i="1"/>
  <c r="J441" i="1"/>
  <c r="N675" i="1"/>
  <c r="P470" i="1"/>
  <c r="G569" i="1"/>
  <c r="P684" i="1"/>
  <c r="M990" i="1"/>
  <c r="K1028" i="1"/>
  <c r="E973" i="1"/>
  <c r="B912" i="1"/>
  <c r="L806" i="1"/>
  <c r="K1082" i="1"/>
  <c r="J1157" i="1"/>
  <c r="A1039" i="1"/>
  <c r="I984" i="1"/>
  <c r="C1066" i="1"/>
  <c r="N1070" i="1"/>
  <c r="E944" i="1"/>
  <c r="E972" i="1"/>
  <c r="J950" i="1"/>
  <c r="B1000" i="1"/>
  <c r="C1056" i="1"/>
  <c r="O1133" i="1"/>
  <c r="O1103" i="1"/>
  <c r="D912" i="1"/>
  <c r="L932" i="1"/>
  <c r="L988" i="1"/>
  <c r="A1046" i="1"/>
  <c r="L1102" i="1"/>
  <c r="O992" i="1"/>
  <c r="O968" i="1"/>
  <c r="C882" i="1"/>
  <c r="G890" i="1"/>
  <c r="E782" i="1"/>
  <c r="N898" i="1"/>
  <c r="J702" i="1"/>
  <c r="E810" i="1"/>
  <c r="K1063" i="1"/>
  <c r="P1191" i="1"/>
  <c r="L1101" i="1"/>
  <c r="I1065" i="1"/>
  <c r="I1029" i="1"/>
  <c r="H885" i="1"/>
  <c r="E926" i="1"/>
  <c r="M1047" i="1"/>
  <c r="D909" i="1"/>
  <c r="E935" i="1"/>
  <c r="K827" i="1"/>
  <c r="F873" i="1"/>
  <c r="I1043" i="1"/>
  <c r="E931" i="1"/>
  <c r="K823" i="1"/>
  <c r="F869" i="1"/>
  <c r="H1062" i="1"/>
  <c r="D830" i="1"/>
  <c r="N961" i="1"/>
  <c r="O781" i="1"/>
  <c r="N933" i="1"/>
  <c r="D794" i="1"/>
  <c r="N906" i="1"/>
  <c r="O745" i="1"/>
  <c r="M769" i="1"/>
  <c r="K1004" i="1"/>
  <c r="E933" i="1"/>
  <c r="B1117" i="1"/>
  <c r="F951" i="1"/>
  <c r="K901" i="1"/>
  <c r="A867" i="1"/>
  <c r="N869" i="1"/>
  <c r="I828" i="1"/>
  <c r="K1021" i="1"/>
  <c r="I792" i="1"/>
  <c r="B858" i="1"/>
  <c r="E794" i="1"/>
  <c r="J1013" i="1"/>
  <c r="I788" i="1"/>
  <c r="B854" i="1"/>
  <c r="N1066" i="1"/>
  <c r="L964" i="1"/>
  <c r="K755" i="1"/>
  <c r="P800" i="1"/>
  <c r="G942" i="1"/>
  <c r="E908" i="1"/>
  <c r="K719" i="1"/>
  <c r="P764" i="1"/>
  <c r="L948" i="1"/>
  <c r="P821" i="1"/>
  <c r="E961" i="1"/>
  <c r="G828" i="1"/>
  <c r="B754" i="1"/>
  <c r="M703" i="1"/>
  <c r="B910" i="1"/>
  <c r="E817" i="1"/>
  <c r="H1012" i="1"/>
  <c r="G1089" i="1"/>
  <c r="O1082" i="1"/>
  <c r="J1093" i="1"/>
  <c r="N1059" i="1"/>
  <c r="J963" i="1"/>
  <c r="B1088" i="1"/>
  <c r="M782" i="1"/>
  <c r="J906" i="1"/>
  <c r="I1103" i="1"/>
  <c r="O852" i="1"/>
  <c r="P1117" i="1"/>
  <c r="C854" i="1"/>
  <c r="D1080" i="1"/>
  <c r="O848" i="1"/>
  <c r="E1086" i="1"/>
  <c r="D984" i="1"/>
  <c r="A971" i="1"/>
  <c r="I815" i="1"/>
  <c r="K974" i="1"/>
  <c r="C904" i="1"/>
  <c r="H911" i="1"/>
  <c r="I779" i="1"/>
  <c r="N912" i="1"/>
  <c r="I839" i="1"/>
  <c r="E705" i="1"/>
  <c r="P760" i="1"/>
  <c r="M1200" i="1"/>
  <c r="I1101" i="1"/>
  <c r="P1093" i="1"/>
  <c r="N1160" i="1"/>
  <c r="B946" i="1"/>
  <c r="O864" i="1"/>
  <c r="D846" i="1"/>
  <c r="I1090" i="1"/>
  <c r="P1157" i="1"/>
  <c r="E1031" i="1"/>
  <c r="B894" i="1"/>
  <c r="M774" i="1"/>
  <c r="J930" i="1"/>
  <c r="E1027" i="1"/>
  <c r="B890" i="1"/>
  <c r="M770" i="1"/>
  <c r="K1111" i="1"/>
  <c r="A732" i="1"/>
  <c r="A719" i="1"/>
  <c r="B878" i="1"/>
  <c r="O952" i="1"/>
  <c r="H920" i="1"/>
  <c r="A683" i="1"/>
  <c r="O841" i="1"/>
  <c r="O964" i="1"/>
  <c r="D1016" i="1"/>
  <c r="B1009" i="1"/>
  <c r="D975" i="1"/>
  <c r="C981" i="1"/>
  <c r="C945" i="1"/>
  <c r="M850" i="1"/>
  <c r="J951" i="1"/>
  <c r="O792" i="1"/>
  <c r="F1019" i="1"/>
  <c r="L826" i="1"/>
  <c r="C914" i="1"/>
  <c r="H828" i="1"/>
  <c r="H974" i="1"/>
  <c r="L822" i="1"/>
  <c r="A1108" i="1"/>
  <c r="B993" i="1"/>
  <c r="N886" i="1"/>
  <c r="N789" i="1"/>
  <c r="H889" i="1"/>
  <c r="K908" i="1"/>
  <c r="F945" i="1"/>
  <c r="D1131" i="1"/>
  <c r="P948" i="1"/>
  <c r="A852" i="1"/>
  <c r="O956" i="1"/>
  <c r="P1137" i="1"/>
  <c r="N776" i="1"/>
  <c r="K832" i="1"/>
  <c r="D767" i="1"/>
  <c r="L878" i="1"/>
  <c r="H771" i="1"/>
  <c r="G1339" i="1"/>
  <c r="D1064" i="1"/>
  <c r="A840" i="1"/>
  <c r="C822" i="1"/>
  <c r="F949" i="1"/>
  <c r="O961" i="1"/>
  <c r="L809" i="1"/>
  <c r="F904" i="1"/>
  <c r="P822" i="1"/>
  <c r="E853" i="1"/>
  <c r="O737" i="1"/>
  <c r="P806" i="1"/>
  <c r="H747" i="1"/>
  <c r="N845" i="1"/>
  <c r="E745" i="1"/>
  <c r="L705" i="1"/>
  <c r="L906" i="1"/>
  <c r="K982" i="1"/>
  <c r="I805" i="1"/>
  <c r="B852" i="1"/>
  <c r="G756" i="1"/>
  <c r="D1052" i="1"/>
  <c r="I769" i="1"/>
  <c r="B816" i="1"/>
  <c r="E873" i="1"/>
  <c r="I926" i="1"/>
  <c r="K753" i="1"/>
  <c r="F703" i="1"/>
  <c r="C720" i="1"/>
  <c r="P647" i="1"/>
  <c r="H627" i="1"/>
  <c r="C644" i="1"/>
  <c r="C716" i="1"/>
  <c r="P643" i="1"/>
  <c r="H623" i="1"/>
  <c r="C640" i="1"/>
  <c r="C692" i="1"/>
  <c r="P635" i="1"/>
  <c r="H615" i="1"/>
  <c r="C632" i="1"/>
  <c r="C688" i="1"/>
  <c r="B812" i="1"/>
  <c r="I692" i="1"/>
  <c r="I667" i="1"/>
  <c r="N851" i="1"/>
  <c r="H855" i="1"/>
  <c r="G588" i="1"/>
  <c r="I567" i="1"/>
  <c r="H638" i="1"/>
  <c r="K687" i="1"/>
  <c r="G599" i="1"/>
  <c r="A594" i="1"/>
  <c r="B582" i="1"/>
  <c r="L563" i="1"/>
  <c r="M530" i="1"/>
  <c r="H515" i="1"/>
  <c r="N231" i="1"/>
  <c r="J743" i="1"/>
  <c r="L910" i="1"/>
  <c r="H870" i="1"/>
  <c r="L836" i="1"/>
  <c r="L489" i="1"/>
  <c r="N499" i="1"/>
  <c r="M422" i="1"/>
  <c r="E1173" i="1"/>
  <c r="B943" i="1"/>
  <c r="J952" i="1"/>
  <c r="H1035" i="1"/>
  <c r="O924" i="1"/>
  <c r="F1054" i="1"/>
  <c r="M821" i="1"/>
  <c r="P819" i="1"/>
  <c r="L713" i="1"/>
  <c r="E795" i="1"/>
  <c r="J814" i="1"/>
  <c r="N748" i="1"/>
  <c r="M699" i="1"/>
  <c r="K915" i="1"/>
  <c r="I841" i="1"/>
  <c r="D910" i="1"/>
  <c r="G832" i="1"/>
  <c r="C754" i="1"/>
  <c r="H741" i="1"/>
  <c r="F872" i="1"/>
  <c r="E847" i="1"/>
  <c r="M1161" i="1"/>
  <c r="J1011" i="1"/>
  <c r="F1023" i="1"/>
  <c r="I1106" i="1"/>
  <c r="C958" i="1"/>
  <c r="K1159" i="1"/>
  <c r="A1045" i="1"/>
  <c r="M1174" i="1"/>
  <c r="H1176" i="1"/>
  <c r="K1222" i="1"/>
  <c r="K922" i="1"/>
  <c r="O860" i="1"/>
  <c r="C915" i="1"/>
  <c r="D1034" i="1"/>
  <c r="D991" i="1"/>
  <c r="G1116" i="1"/>
  <c r="D1061" i="1"/>
  <c r="D965" i="1"/>
  <c r="P881" i="1"/>
  <c r="C1246" i="1"/>
  <c r="A959" i="1"/>
  <c r="P993" i="1"/>
  <c r="C775" i="1"/>
  <c r="I856" i="1"/>
  <c r="I852" i="1"/>
  <c r="K819" i="1"/>
  <c r="K783" i="1"/>
  <c r="C874" i="1"/>
  <c r="E758" i="1"/>
  <c r="I693" i="1"/>
  <c r="N872" i="1"/>
  <c r="I1058" i="1"/>
  <c r="L1098" i="1"/>
  <c r="A913" i="1"/>
  <c r="A1061" i="1"/>
  <c r="A1025" i="1"/>
  <c r="K743" i="1"/>
  <c r="I767" i="1"/>
  <c r="E1004" i="1"/>
  <c r="E1129" i="1"/>
  <c r="J991" i="1"/>
  <c r="N765" i="1"/>
  <c r="P996" i="1"/>
  <c r="B1033" i="1"/>
  <c r="J975" i="1"/>
  <c r="N761" i="1"/>
  <c r="P980" i="1"/>
  <c r="E960" i="1"/>
  <c r="I903" i="1"/>
  <c r="F939" i="1"/>
  <c r="N1210" i="1"/>
  <c r="B1166" i="1"/>
  <c r="H1053" i="1"/>
  <c r="M858" i="1"/>
  <c r="C1306" i="1"/>
  <c r="F1197" i="1"/>
  <c r="B1027" i="1"/>
  <c r="F977" i="1"/>
  <c r="B926" i="1"/>
  <c r="N891" i="1"/>
  <c r="N1043" i="1"/>
  <c r="A1085" i="1"/>
  <c r="M814" i="1"/>
  <c r="P932" i="1"/>
  <c r="M1001" i="1"/>
  <c r="M898" i="1"/>
  <c r="A911" i="1"/>
  <c r="A904" i="1"/>
  <c r="M961" i="1"/>
  <c r="B883" i="1"/>
  <c r="A907" i="1"/>
  <c r="A938" i="1"/>
  <c r="N1058" i="1"/>
  <c r="I847" i="1"/>
  <c r="B1064" i="1"/>
  <c r="G924" i="1"/>
  <c r="A963" i="1"/>
  <c r="I811" i="1"/>
  <c r="K966" i="1"/>
  <c r="K747" i="1"/>
  <c r="E769" i="1"/>
  <c r="M822" i="1"/>
  <c r="L944" i="1"/>
  <c r="K736" i="1"/>
  <c r="J1076" i="1"/>
  <c r="M790" i="1"/>
  <c r="F919" i="1"/>
  <c r="B1094" i="1"/>
  <c r="O998" i="1"/>
  <c r="H914" i="1"/>
  <c r="D1173" i="1"/>
  <c r="D1040" i="1"/>
  <c r="L954" i="1"/>
  <c r="B922" i="1"/>
  <c r="J992" i="1"/>
  <c r="E937" i="1"/>
  <c r="J1084" i="1"/>
  <c r="K938" i="1"/>
  <c r="C763" i="1"/>
  <c r="N824" i="1"/>
  <c r="M1079" i="1"/>
  <c r="B924" i="1"/>
  <c r="C759" i="1"/>
  <c r="C1049" i="1"/>
  <c r="I720" i="1"/>
  <c r="L785" i="1"/>
  <c r="E722" i="1"/>
  <c r="M1097" i="1"/>
  <c r="O880" i="1"/>
  <c r="L749" i="1"/>
  <c r="C883" i="1"/>
  <c r="L1012" i="1"/>
  <c r="I853" i="1"/>
  <c r="H812" i="1"/>
  <c r="L1026" i="1"/>
  <c r="G1350" i="1"/>
  <c r="P1002" i="1"/>
  <c r="A1079" i="1"/>
  <c r="N928" i="1"/>
  <c r="I891" i="1"/>
  <c r="D870" i="1"/>
  <c r="A914" i="1"/>
  <c r="P780" i="1"/>
  <c r="B1044" i="1"/>
  <c r="N861" i="1"/>
  <c r="K866" i="1"/>
  <c r="J923" i="1"/>
  <c r="B1028" i="1"/>
  <c r="N857" i="1"/>
  <c r="K862" i="1"/>
  <c r="E1072" i="1"/>
  <c r="N1034" i="1"/>
  <c r="I999" i="1"/>
  <c r="J815" i="1"/>
  <c r="E1020" i="1"/>
  <c r="J884" i="1"/>
  <c r="C929" i="1"/>
  <c r="J779" i="1"/>
  <c r="G1399" i="1"/>
  <c r="G1052" i="1"/>
  <c r="D1000" i="1"/>
  <c r="H1017" i="1"/>
  <c r="M976" i="1"/>
  <c r="M940" i="1"/>
  <c r="O915" i="1"/>
  <c r="M922" i="1"/>
  <c r="D778" i="1"/>
  <c r="M1060" i="1"/>
  <c r="O724" i="1"/>
  <c r="C918" i="1"/>
  <c r="C726" i="1"/>
  <c r="M1056" i="1"/>
  <c r="O720" i="1"/>
  <c r="M902" i="1"/>
  <c r="B1037" i="1"/>
  <c r="I848" i="1"/>
  <c r="I687" i="1"/>
  <c r="E850" i="1"/>
  <c r="F966" i="1"/>
  <c r="I812" i="1"/>
  <c r="K880" i="1"/>
  <c r="E814" i="1"/>
  <c r="A839" i="1"/>
  <c r="H739" i="1"/>
  <c r="E874" i="1"/>
  <c r="I753" i="1"/>
  <c r="B800" i="1"/>
  <c r="F881" i="1"/>
  <c r="E870" i="1"/>
  <c r="I749" i="1"/>
  <c r="B1002" i="1"/>
  <c r="B1007" i="1"/>
  <c r="A731" i="1"/>
  <c r="I1060" i="1"/>
  <c r="L1002" i="1"/>
  <c r="A920" i="1"/>
  <c r="M853" i="1"/>
  <c r="H863" i="1"/>
  <c r="N796" i="1"/>
  <c r="E859" i="1"/>
  <c r="L857" i="1"/>
  <c r="H791" i="1"/>
  <c r="M731" i="1"/>
  <c r="N914" i="1"/>
  <c r="I873" i="1"/>
  <c r="K696" i="1"/>
  <c r="D906" i="1"/>
  <c r="C818" i="1"/>
  <c r="H773" i="1"/>
  <c r="M709" i="1"/>
  <c r="N881" i="1"/>
  <c r="C742" i="1"/>
  <c r="H737" i="1"/>
  <c r="L865" i="1"/>
  <c r="B1077" i="1"/>
  <c r="B804" i="1"/>
  <c r="G680" i="1"/>
  <c r="I659" i="1"/>
  <c r="O909" i="1"/>
  <c r="P752" i="1"/>
  <c r="K703" i="1"/>
  <c r="K440" i="1"/>
  <c r="G857" i="1"/>
  <c r="D742" i="1"/>
  <c r="K695" i="1"/>
  <c r="G839" i="1"/>
  <c r="B859" i="1"/>
  <c r="P720" i="1"/>
  <c r="K680" i="1"/>
  <c r="E664" i="1"/>
  <c r="B827" i="1"/>
  <c r="C748" i="1"/>
  <c r="P659" i="1"/>
  <c r="H639" i="1"/>
  <c r="C656" i="1"/>
  <c r="L775" i="1"/>
  <c r="F735" i="1"/>
  <c r="H690" i="1"/>
  <c r="C556" i="1"/>
  <c r="P629" i="1"/>
  <c r="G923" i="1"/>
  <c r="F854" i="1"/>
  <c r="F786" i="1"/>
  <c r="O660" i="1"/>
  <c r="L585" i="1"/>
  <c r="F483" i="1"/>
  <c r="J419" i="1"/>
  <c r="J660" i="1"/>
  <c r="L754" i="1"/>
  <c r="K741" i="1"/>
  <c r="E720" i="1"/>
  <c r="D460" i="1"/>
  <c r="N260" i="1"/>
  <c r="D364" i="1"/>
  <c r="C1140" i="1"/>
  <c r="O1081" i="1"/>
  <c r="A1067" i="1"/>
  <c r="A1035" i="1"/>
  <c r="H883" i="1"/>
  <c r="O876" i="1"/>
  <c r="P853" i="1"/>
  <c r="G690" i="1"/>
  <c r="B864" i="1"/>
  <c r="N831" i="1"/>
  <c r="G686" i="1"/>
  <c r="K732" i="1"/>
  <c r="O980" i="1"/>
  <c r="L924" i="1"/>
  <c r="H809" i="1"/>
  <c r="M781" i="1"/>
  <c r="F955" i="1"/>
  <c r="F884" i="1"/>
  <c r="B839" i="1"/>
  <c r="C824" i="1"/>
  <c r="N814" i="1"/>
  <c r="D1190" i="1"/>
  <c r="G978" i="1"/>
  <c r="H1008" i="1"/>
  <c r="H936" i="1"/>
  <c r="K954" i="1"/>
  <c r="I1143" i="1"/>
  <c r="K1064" i="1"/>
  <c r="M1140" i="1"/>
  <c r="G1002" i="1"/>
  <c r="G966" i="1"/>
  <c r="N1067" i="1"/>
  <c r="I887" i="1"/>
  <c r="K918" i="1"/>
  <c r="D1030" i="1"/>
  <c r="M1204" i="1"/>
  <c r="P1108" i="1"/>
  <c r="K913" i="1"/>
  <c r="J877" i="1"/>
  <c r="I804" i="1"/>
  <c r="K739" i="1"/>
  <c r="K767" i="1"/>
  <c r="M953" i="1"/>
  <c r="A939" i="1"/>
  <c r="N1006" i="1"/>
  <c r="N974" i="1"/>
  <c r="C819" i="1"/>
  <c r="C783" i="1"/>
  <c r="N844" i="1"/>
  <c r="F820" i="1"/>
  <c r="L808" i="1"/>
  <c r="O805" i="1"/>
  <c r="A985" i="1"/>
  <c r="K929" i="1"/>
  <c r="L927" i="1"/>
  <c r="K1080" i="1"/>
  <c r="K1044" i="1"/>
  <c r="C743" i="1"/>
  <c r="L999" i="1"/>
  <c r="B932" i="1"/>
  <c r="A937" i="1"/>
  <c r="I824" i="1"/>
  <c r="J924" i="1"/>
  <c r="E826" i="1"/>
  <c r="H1049" i="1"/>
  <c r="I820" i="1"/>
  <c r="J907" i="1"/>
  <c r="O939" i="1"/>
  <c r="N1047" i="1"/>
  <c r="K787" i="1"/>
  <c r="P832" i="1"/>
  <c r="A1088" i="1"/>
  <c r="L956" i="1"/>
  <c r="K751" i="1"/>
  <c r="P796" i="1"/>
  <c r="P1146" i="1"/>
  <c r="P1071" i="1"/>
  <c r="O1074" i="1"/>
  <c r="H968" i="1"/>
  <c r="C957" i="1"/>
  <c r="F887" i="1"/>
  <c r="D1024" i="1"/>
  <c r="P1080" i="1"/>
  <c r="E802" i="1"/>
  <c r="E1001" i="1"/>
  <c r="M932" i="1"/>
  <c r="L1090" i="1"/>
  <c r="C795" i="1"/>
  <c r="N856" i="1"/>
  <c r="J1209" i="1"/>
  <c r="N985" i="1"/>
  <c r="C791" i="1"/>
  <c r="E1186" i="1"/>
  <c r="I752" i="1"/>
  <c r="L817" i="1"/>
  <c r="E754" i="1"/>
  <c r="C1029" i="1"/>
  <c r="I716" i="1"/>
  <c r="L781" i="1"/>
  <c r="E718" i="1"/>
  <c r="P792" i="1"/>
  <c r="G901" i="1"/>
  <c r="N876" i="1"/>
  <c r="G884" i="1"/>
  <c r="G829" i="1"/>
  <c r="J746" i="1"/>
  <c r="P872" i="1"/>
  <c r="H877" i="1"/>
  <c r="D1089" i="1"/>
  <c r="I985" i="1"/>
  <c r="C1057" i="1"/>
  <c r="A1179" i="1"/>
  <c r="A1110" i="1"/>
  <c r="A1033" i="1"/>
  <c r="E1039" i="1"/>
  <c r="A915" i="1"/>
  <c r="I795" i="1"/>
  <c r="J956" i="1"/>
  <c r="A868" i="1"/>
  <c r="A855" i="1"/>
  <c r="F1078" i="1"/>
  <c r="J948" i="1"/>
  <c r="A864" i="1"/>
  <c r="A851" i="1"/>
  <c r="O1049" i="1"/>
  <c r="O812" i="1"/>
  <c r="G976" i="1"/>
  <c r="C814" i="1"/>
  <c r="N1052" i="1"/>
  <c r="O776" i="1"/>
  <c r="N913" i="1"/>
  <c r="C778" i="1"/>
  <c r="H760" i="1"/>
  <c r="H821" i="1"/>
  <c r="K946" i="1"/>
  <c r="F1058" i="1"/>
  <c r="G1014" i="1"/>
  <c r="M1085" i="1"/>
  <c r="G1228" i="1"/>
  <c r="N1060" i="1"/>
  <c r="A891" i="1"/>
  <c r="G944" i="1"/>
  <c r="E892" i="1"/>
  <c r="I1006" i="1"/>
  <c r="H891" i="1"/>
  <c r="I759" i="1"/>
  <c r="N892" i="1"/>
  <c r="H952" i="1"/>
  <c r="H887" i="1"/>
  <c r="I755" i="1"/>
  <c r="J1118" i="1"/>
  <c r="E991" i="1"/>
  <c r="P888" i="1"/>
  <c r="M734" i="1"/>
  <c r="A1102" i="1"/>
  <c r="E955" i="1"/>
  <c r="K847" i="1"/>
  <c r="E932" i="1"/>
  <c r="M1059" i="1"/>
  <c r="E982" i="1"/>
  <c r="P1001" i="1"/>
  <c r="B1069" i="1"/>
  <c r="G925" i="1"/>
  <c r="O1318" i="1"/>
  <c r="I1147" i="1"/>
  <c r="L970" i="1"/>
  <c r="C766" i="1"/>
  <c r="D971" i="1"/>
  <c r="M915" i="1"/>
  <c r="C1010" i="1"/>
  <c r="F829" i="1"/>
  <c r="J1052" i="1"/>
  <c r="J1081" i="1"/>
  <c r="C1002" i="1"/>
  <c r="F825" i="1"/>
  <c r="J932" i="1"/>
  <c r="L786" i="1"/>
  <c r="B892" i="1"/>
  <c r="H788" i="1"/>
  <c r="E899" i="1"/>
  <c r="L1064" i="1"/>
  <c r="D954" i="1"/>
  <c r="B1087" i="1"/>
  <c r="E822" i="1"/>
  <c r="I725" i="1"/>
  <c r="C710" i="1"/>
  <c r="H721" i="1"/>
  <c r="F844" i="1"/>
  <c r="E827" i="1"/>
  <c r="C706" i="1"/>
  <c r="H717" i="1"/>
  <c r="P1210" i="1"/>
  <c r="L966" i="1"/>
  <c r="O1134" i="1"/>
  <c r="O1102" i="1"/>
  <c r="B916" i="1"/>
  <c r="P1089" i="1"/>
  <c r="G726" i="1"/>
  <c r="G754" i="1"/>
  <c r="J968" i="1"/>
  <c r="N730" i="1"/>
  <c r="G750" i="1"/>
  <c r="K764" i="1"/>
  <c r="D699" i="1"/>
  <c r="H800" i="1"/>
  <c r="H841" i="1"/>
  <c r="E857" i="1"/>
  <c r="F700" i="1"/>
  <c r="M973" i="1"/>
  <c r="L992" i="1"/>
  <c r="C856" i="1"/>
  <c r="N846" i="1"/>
  <c r="D996" i="1"/>
  <c r="B807" i="1"/>
  <c r="P893" i="1"/>
  <c r="D947" i="1"/>
  <c r="C724" i="1"/>
  <c r="P651" i="1"/>
  <c r="H631" i="1"/>
  <c r="M715" i="1"/>
  <c r="I509" i="1"/>
  <c r="A489" i="1"/>
  <c r="K733" i="1"/>
  <c r="M711" i="1"/>
  <c r="I505" i="1"/>
  <c r="A485" i="1"/>
  <c r="L720" i="1"/>
  <c r="M687" i="1"/>
  <c r="I497" i="1"/>
  <c r="A477" i="1"/>
  <c r="C697" i="1"/>
  <c r="B1119" i="1"/>
  <c r="B904" i="1"/>
  <c r="O799" i="1"/>
  <c r="H730" i="1"/>
  <c r="K452" i="1"/>
  <c r="P843" i="1"/>
  <c r="A625" i="1"/>
  <c r="K604" i="1"/>
  <c r="O830" i="1"/>
  <c r="D868" i="1"/>
  <c r="A592" i="1"/>
  <c r="N879" i="1"/>
  <c r="D992" i="1"/>
  <c r="D1140" i="1"/>
  <c r="C1073" i="1"/>
  <c r="I975" i="1"/>
  <c r="F1135" i="1"/>
  <c r="D1122" i="1"/>
  <c r="O1062" i="1"/>
  <c r="F1091" i="1"/>
  <c r="B977" i="1"/>
  <c r="J915" i="1"/>
  <c r="A887" i="1"/>
  <c r="O916" i="1"/>
  <c r="G1395" i="1"/>
  <c r="D1087" i="1"/>
  <c r="J1119" i="1"/>
  <c r="D950" i="1"/>
  <c r="K900" i="1"/>
  <c r="D850" i="1"/>
  <c r="C739" i="1"/>
  <c r="C767" i="1"/>
  <c r="G988" i="1"/>
  <c r="C803" i="1"/>
  <c r="I695" i="1"/>
  <c r="I691" i="1"/>
  <c r="F865" i="1"/>
  <c r="A875" i="1"/>
  <c r="M893" i="1"/>
  <c r="O753" i="1"/>
  <c r="G720" i="1"/>
  <c r="H1340" i="1"/>
  <c r="A1227" i="1"/>
  <c r="D974" i="1"/>
  <c r="N921" i="1"/>
  <c r="C916" i="1"/>
  <c r="H998" i="1"/>
  <c r="P788" i="1"/>
  <c r="O1173" i="1"/>
  <c r="N1097" i="1"/>
  <c r="J979" i="1"/>
  <c r="L762" i="1"/>
  <c r="D1002" i="1"/>
  <c r="H764" i="1"/>
  <c r="J939" i="1"/>
  <c r="L758" i="1"/>
  <c r="D986" i="1"/>
  <c r="O1061" i="1"/>
  <c r="O900" i="1"/>
  <c r="G881" i="1"/>
  <c r="C902" i="1"/>
  <c r="O1104" i="1"/>
  <c r="N1042" i="1"/>
  <c r="I843" i="1"/>
  <c r="B1048" i="1"/>
  <c r="H1037" i="1"/>
  <c r="P1067" i="1"/>
  <c r="I1017" i="1"/>
  <c r="P1092" i="1"/>
  <c r="P1003" i="1"/>
  <c r="O1236" i="1"/>
  <c r="J1107" i="1"/>
  <c r="E1071" i="1"/>
  <c r="F736" i="1"/>
  <c r="I827" i="1"/>
  <c r="L1099" i="1"/>
  <c r="J985" i="1"/>
  <c r="K907" i="1"/>
  <c r="M905" i="1"/>
  <c r="P1045" i="1"/>
  <c r="J953" i="1"/>
  <c r="K891" i="1"/>
  <c r="L1006" i="1"/>
  <c r="O844" i="1"/>
  <c r="L1067" i="1"/>
  <c r="C846" i="1"/>
  <c r="O1017" i="1"/>
  <c r="O808" i="1"/>
  <c r="G968" i="1"/>
  <c r="C810" i="1"/>
  <c r="H824" i="1"/>
  <c r="H853" i="1"/>
  <c r="F744" i="1"/>
  <c r="B699" i="1"/>
  <c r="D717" i="1"/>
  <c r="E731" i="1"/>
  <c r="F740" i="1"/>
  <c r="B691" i="1"/>
  <c r="E1141" i="1"/>
  <c r="A949" i="1"/>
  <c r="B1252" i="1"/>
  <c r="E1111" i="1"/>
  <c r="E1058" i="1"/>
  <c r="F911" i="1"/>
  <c r="F978" i="1"/>
  <c r="A960" i="1"/>
  <c r="G936" i="1"/>
  <c r="N973" i="1"/>
  <c r="D806" i="1"/>
  <c r="A951" i="1"/>
  <c r="O757" i="1"/>
  <c r="N949" i="1"/>
  <c r="D802" i="1"/>
  <c r="D931" i="1"/>
  <c r="M1027" i="1"/>
  <c r="P1004" i="1"/>
  <c r="C723" i="1"/>
  <c r="F784" i="1"/>
  <c r="M983" i="1"/>
  <c r="G908" i="1"/>
  <c r="A885" i="1"/>
  <c r="F748" i="1"/>
  <c r="B963" i="1"/>
  <c r="L631" i="1"/>
  <c r="J807" i="1"/>
  <c r="F882" i="1"/>
  <c r="I917" i="1"/>
  <c r="D1067" i="1"/>
  <c r="C1013" i="1"/>
  <c r="C977" i="1"/>
  <c r="G886" i="1"/>
  <c r="L979" i="1"/>
  <c r="O824" i="1"/>
  <c r="C1081" i="1"/>
  <c r="L858" i="1"/>
  <c r="L729" i="1"/>
  <c r="H860" i="1"/>
  <c r="C996" i="1"/>
  <c r="L854" i="1"/>
  <c r="L725" i="1"/>
  <c r="I942" i="1"/>
  <c r="C1006" i="1"/>
  <c r="N821" i="1"/>
  <c r="N1018" i="1"/>
  <c r="P930" i="1"/>
  <c r="N878" i="1"/>
  <c r="N785" i="1"/>
  <c r="H881" i="1"/>
  <c r="H893" i="1"/>
  <c r="E978" i="1"/>
  <c r="E1089" i="1"/>
  <c r="H949" i="1"/>
  <c r="B1194" i="1"/>
  <c r="C987" i="1"/>
  <c r="L958" i="1"/>
  <c r="G920" i="1"/>
  <c r="H953" i="1"/>
  <c r="L765" i="1"/>
  <c r="O890" i="1"/>
  <c r="A740" i="1"/>
  <c r="A727" i="1"/>
  <c r="K895" i="1"/>
  <c r="E1162" i="1"/>
  <c r="A736" i="1"/>
  <c r="A723" i="1"/>
  <c r="M1012" i="1"/>
  <c r="O684" i="1"/>
  <c r="C851" i="1"/>
  <c r="C686" i="1"/>
  <c r="M960" i="1"/>
  <c r="H875" i="1"/>
  <c r="C815" i="1"/>
  <c r="N877" i="1"/>
  <c r="H900" i="1"/>
  <c r="H693" i="1"/>
  <c r="O869" i="1"/>
  <c r="G848" i="1"/>
  <c r="C804" i="1"/>
  <c r="N794" i="1"/>
  <c r="O865" i="1"/>
  <c r="E837" i="1"/>
  <c r="D1204" i="1"/>
  <c r="I772" i="1"/>
  <c r="P1101" i="1"/>
  <c r="J1095" i="1"/>
  <c r="A796" i="1"/>
  <c r="A760" i="1"/>
  <c r="B782" i="1"/>
  <c r="J875" i="1"/>
  <c r="F970" i="1"/>
  <c r="F810" i="1"/>
  <c r="B843" i="1"/>
  <c r="O913" i="1"/>
  <c r="P783" i="1"/>
  <c r="J904" i="1"/>
  <c r="L651" i="1"/>
  <c r="J1041" i="1"/>
  <c r="E691" i="1"/>
  <c r="M837" i="1"/>
  <c r="P727" i="1"/>
  <c r="L823" i="1"/>
  <c r="H657" i="1"/>
  <c r="D946" i="1"/>
  <c r="B690" i="1"/>
  <c r="D854" i="1"/>
  <c r="G777" i="1"/>
  <c r="P891" i="1"/>
  <c r="O767" i="1"/>
  <c r="N968" i="1"/>
  <c r="J762" i="1"/>
  <c r="B733" i="1"/>
  <c r="P579" i="1"/>
  <c r="K926" i="1"/>
  <c r="D757" i="1"/>
  <c r="K677" i="1"/>
  <c r="N571" i="1"/>
  <c r="L1132" i="1"/>
  <c r="D725" i="1"/>
  <c r="K613" i="1"/>
  <c r="G817" i="1"/>
  <c r="J1004" i="1"/>
  <c r="F720" i="1"/>
  <c r="M743" i="1"/>
  <c r="I521" i="1"/>
  <c r="A501" i="1"/>
  <c r="M788" i="1"/>
  <c r="D771" i="1"/>
  <c r="G607" i="1"/>
  <c r="B554" i="1"/>
  <c r="I612" i="1"/>
  <c r="H716" i="1"/>
  <c r="J559" i="1"/>
  <c r="G922" i="1"/>
  <c r="B1053" i="1"/>
  <c r="B1123" i="1"/>
  <c r="M1068" i="1"/>
  <c r="F922" i="1"/>
  <c r="A989" i="1"/>
  <c r="O1127" i="1"/>
  <c r="P1064" i="1"/>
  <c r="P1070" i="1"/>
  <c r="D968" i="1"/>
  <c r="N777" i="1"/>
  <c r="I879" i="1"/>
  <c r="F1059" i="1"/>
  <c r="E907" i="1"/>
  <c r="H898" i="1"/>
  <c r="I1073" i="1"/>
  <c r="F941" i="1"/>
  <c r="C896" i="1"/>
  <c r="B870" i="1"/>
  <c r="P784" i="1"/>
  <c r="P812" i="1"/>
  <c r="M1151" i="1"/>
  <c r="H864" i="1"/>
  <c r="A695" i="1"/>
  <c r="A691" i="1"/>
  <c r="C887" i="1"/>
  <c r="G910" i="1"/>
  <c r="O777" i="1"/>
  <c r="G840" i="1"/>
  <c r="A861" i="1"/>
  <c r="E1301" i="1"/>
  <c r="I1075" i="1"/>
  <c r="F965" i="1"/>
  <c r="O957" i="1"/>
  <c r="D1196" i="1"/>
  <c r="J989" i="1"/>
  <c r="C1048" i="1"/>
  <c r="N900" i="1"/>
  <c r="P1026" i="1"/>
  <c r="M980" i="1"/>
  <c r="B911" i="1"/>
  <c r="C827" i="1"/>
  <c r="H917" i="1"/>
  <c r="M968" i="1"/>
  <c r="B895" i="1"/>
  <c r="C823" i="1"/>
  <c r="H988" i="1"/>
  <c r="I784" i="1"/>
  <c r="B850" i="1"/>
  <c r="E786" i="1"/>
  <c r="A1071" i="1"/>
  <c r="I748" i="1"/>
  <c r="L813" i="1"/>
  <c r="E750" i="1"/>
  <c r="M854" i="1"/>
  <c r="M1029" i="1"/>
  <c r="A981" i="1"/>
  <c r="K1216" i="1"/>
  <c r="M1096" i="1"/>
  <c r="E1107" i="1"/>
  <c r="J996" i="1"/>
  <c r="I800" i="1"/>
  <c r="K1026" i="1"/>
  <c r="G1000" i="1"/>
  <c r="J1100" i="1"/>
  <c r="D838" i="1"/>
  <c r="P886" i="1"/>
  <c r="O789" i="1"/>
  <c r="H1078" i="1"/>
  <c r="D834" i="1"/>
  <c r="H1038" i="1"/>
  <c r="M1075" i="1"/>
  <c r="H909" i="1"/>
  <c r="C755" i="1"/>
  <c r="F816" i="1"/>
  <c r="M1023" i="1"/>
  <c r="P988" i="1"/>
  <c r="C719" i="1"/>
  <c r="F780" i="1"/>
  <c r="K1010" i="1"/>
  <c r="L663" i="1"/>
  <c r="H872" i="1"/>
  <c r="J874" i="1"/>
  <c r="C708" i="1"/>
  <c r="N698" i="1"/>
  <c r="H868" i="1"/>
  <c r="H867" i="1"/>
  <c r="E1125" i="1"/>
  <c r="K968" i="1"/>
  <c r="I1087" i="1"/>
  <c r="D1094" i="1"/>
  <c r="P978" i="1"/>
  <c r="A1011" i="1"/>
  <c r="L1080" i="1"/>
  <c r="K1098" i="1"/>
  <c r="A795" i="1"/>
  <c r="E936" i="1"/>
  <c r="L1122" i="1"/>
  <c r="M870" i="1"/>
  <c r="O1403" i="1"/>
  <c r="G1288" i="1"/>
  <c r="M1094" i="1"/>
  <c r="M866" i="1"/>
  <c r="F891" i="1"/>
  <c r="A828" i="1"/>
  <c r="A815" i="1"/>
  <c r="M965" i="1"/>
  <c r="L994" i="1"/>
  <c r="A792" i="1"/>
  <c r="A779" i="1"/>
  <c r="F908" i="1"/>
  <c r="J755" i="1"/>
  <c r="P791" i="1"/>
  <c r="C1125" i="1"/>
  <c r="N1065" i="1"/>
  <c r="A1299" i="1"/>
  <c r="K881" i="1"/>
  <c r="M1008" i="1"/>
  <c r="M972" i="1"/>
  <c r="D967" i="1"/>
  <c r="K874" i="1"/>
  <c r="L874" i="1"/>
  <c r="H1138" i="1"/>
  <c r="O756" i="1"/>
  <c r="L893" i="1"/>
  <c r="C758" i="1"/>
  <c r="D1104" i="1"/>
  <c r="O752" i="1"/>
  <c r="L889" i="1"/>
  <c r="K957" i="1"/>
  <c r="G882" i="1"/>
  <c r="I719" i="1"/>
  <c r="F885" i="1"/>
  <c r="F983" i="1"/>
  <c r="I844" i="1"/>
  <c r="I683" i="1"/>
  <c r="E846" i="1"/>
  <c r="C747" i="1"/>
  <c r="C1149" i="1"/>
  <c r="J1069" i="1"/>
  <c r="A1093" i="1"/>
  <c r="O946" i="1"/>
  <c r="N955" i="1"/>
  <c r="P1130" i="1"/>
  <c r="O764" i="1"/>
  <c r="F918" i="1"/>
  <c r="L967" i="1"/>
  <c r="E1080" i="1"/>
  <c r="I919" i="1"/>
  <c r="P1017" i="1"/>
  <c r="J823" i="1"/>
  <c r="E1076" i="1"/>
  <c r="P1153" i="1"/>
  <c r="I1007" i="1"/>
  <c r="J957" i="1"/>
  <c r="J931" i="1"/>
  <c r="F789" i="1"/>
  <c r="J880" i="1"/>
  <c r="M888" i="1"/>
  <c r="J890" i="1"/>
  <c r="P1110" i="1"/>
  <c r="F937" i="1"/>
  <c r="O817" i="1"/>
  <c r="G784" i="1"/>
  <c r="P911" i="1"/>
  <c r="B1005" i="1"/>
  <c r="L771" i="1"/>
  <c r="H605" i="1"/>
  <c r="F1101" i="1"/>
  <c r="B973" i="1"/>
  <c r="A978" i="1"/>
  <c r="I931" i="1"/>
  <c r="O820" i="1"/>
  <c r="O816" i="1"/>
  <c r="I783" i="1"/>
  <c r="I747" i="1"/>
  <c r="H725" i="1"/>
  <c r="I849" i="1"/>
  <c r="C740" i="1"/>
  <c r="N956" i="1"/>
  <c r="I845" i="1"/>
  <c r="D753" i="1"/>
  <c r="E759" i="1"/>
  <c r="J795" i="1"/>
  <c r="J818" i="1"/>
  <c r="I930" i="1"/>
  <c r="N799" i="1"/>
  <c r="P803" i="1"/>
  <c r="A717" i="1"/>
  <c r="F634" i="1"/>
  <c r="C749" i="1"/>
  <c r="P755" i="1"/>
  <c r="P1053" i="1"/>
  <c r="L873" i="1"/>
  <c r="J710" i="1"/>
  <c r="M719" i="1"/>
  <c r="I513" i="1"/>
  <c r="G826" i="1"/>
  <c r="N710" i="1"/>
  <c r="G452" i="1"/>
  <c r="G673" i="1"/>
  <c r="G794" i="1"/>
  <c r="N706" i="1"/>
  <c r="G775" i="1"/>
  <c r="G669" i="1"/>
  <c r="G730" i="1"/>
  <c r="B980" i="1"/>
  <c r="I662" i="1"/>
  <c r="G661" i="1"/>
  <c r="G698" i="1"/>
  <c r="A879" i="1"/>
  <c r="P799" i="1"/>
  <c r="C519" i="1"/>
  <c r="A642" i="1"/>
  <c r="C899" i="1"/>
  <c r="E831" i="1"/>
  <c r="N485" i="1"/>
  <c r="F834" i="1"/>
  <c r="G865" i="1"/>
  <c r="H620" i="1"/>
  <c r="C526" i="1"/>
  <c r="P965" i="1"/>
  <c r="B861" i="1"/>
  <c r="F289" i="1"/>
  <c r="E319" i="1"/>
  <c r="I415" i="1"/>
  <c r="I469" i="1"/>
  <c r="J637" i="1"/>
  <c r="H569" i="1"/>
  <c r="J560" i="1"/>
  <c r="L543" i="1"/>
  <c r="O392" i="1"/>
  <c r="P411" i="1"/>
  <c r="G563" i="1"/>
  <c r="N1033" i="1"/>
  <c r="A780" i="1"/>
  <c r="F930" i="1"/>
  <c r="H924" i="1"/>
  <c r="A751" i="1"/>
  <c r="A715" i="1"/>
  <c r="A829" i="1"/>
  <c r="H689" i="1"/>
  <c r="F646" i="1"/>
  <c r="H879" i="1"/>
  <c r="H685" i="1"/>
  <c r="C704" i="1"/>
  <c r="N694" i="1"/>
  <c r="F852" i="1"/>
  <c r="A753" i="1"/>
  <c r="F670" i="1"/>
  <c r="M1044" i="1"/>
  <c r="G742" i="1"/>
  <c r="P774" i="1"/>
  <c r="D865" i="1"/>
  <c r="J941" i="1"/>
  <c r="K587" i="1"/>
  <c r="F244" i="1"/>
  <c r="C490" i="1"/>
  <c r="E477" i="1"/>
  <c r="L593" i="1"/>
  <c r="P1018" i="1"/>
  <c r="M806" i="1"/>
  <c r="L1114" i="1"/>
  <c r="E746" i="1"/>
  <c r="P957" i="1"/>
  <c r="A725" i="1"/>
  <c r="N1023" i="1"/>
  <c r="K846" i="1"/>
  <c r="C875" i="1"/>
  <c r="K852" i="1"/>
  <c r="F781" i="1"/>
  <c r="H755" i="1"/>
  <c r="K816" i="1"/>
  <c r="H985" i="1"/>
  <c r="B718" i="1"/>
  <c r="O859" i="1"/>
  <c r="G711" i="1"/>
  <c r="G861" i="1"/>
  <c r="G644" i="1"/>
  <c r="I623" i="1"/>
  <c r="J705" i="1"/>
  <c r="J863" i="1"/>
  <c r="G640" i="1"/>
  <c r="I619" i="1"/>
  <c r="J697" i="1"/>
  <c r="B799" i="1"/>
  <c r="G632" i="1"/>
  <c r="I611" i="1"/>
  <c r="H682" i="1"/>
  <c r="G824" i="1"/>
  <c r="B803" i="1"/>
  <c r="D696" i="1"/>
  <c r="F669" i="1"/>
  <c r="A587" i="1"/>
  <c r="L685" i="1"/>
  <c r="N589" i="1"/>
  <c r="F569" i="1"/>
  <c r="D756" i="1"/>
  <c r="O577" i="1"/>
  <c r="M591" i="1"/>
  <c r="N466" i="1"/>
  <c r="G823" i="1"/>
  <c r="E660" i="1"/>
  <c r="F408" i="1"/>
  <c r="I593" i="1"/>
  <c r="K997" i="1"/>
  <c r="M1011" i="1"/>
  <c r="L1060" i="1"/>
  <c r="L1028" i="1"/>
  <c r="L753" i="1"/>
  <c r="L987" i="1"/>
  <c r="E889" i="1"/>
  <c r="I785" i="1"/>
  <c r="L867" i="1"/>
  <c r="N1080" i="1"/>
  <c r="I781" i="1"/>
  <c r="B1124" i="1"/>
  <c r="E695" i="1"/>
  <c r="M841" i="1"/>
  <c r="D733" i="1"/>
  <c r="L827" i="1"/>
  <c r="H661" i="1"/>
  <c r="H719" i="1"/>
  <c r="P876" i="1"/>
  <c r="K781" i="1"/>
  <c r="G889" i="1"/>
  <c r="H683" i="1"/>
  <c r="J840" i="1"/>
  <c r="P856" i="1"/>
  <c r="N943" i="1"/>
  <c r="D815" i="1"/>
  <c r="I449" i="1"/>
  <c r="E713" i="1"/>
  <c r="H649" i="1"/>
  <c r="B787" i="1"/>
  <c r="G609" i="1"/>
  <c r="J876" i="1"/>
  <c r="H645" i="1"/>
  <c r="K802" i="1"/>
  <c r="G605" i="1"/>
  <c r="H787" i="1"/>
  <c r="H621" i="1"/>
  <c r="H1009" i="1"/>
  <c r="G597" i="1"/>
  <c r="N744" i="1"/>
  <c r="D822" i="1"/>
  <c r="H986" i="1"/>
  <c r="N521" i="1"/>
  <c r="P982" i="1"/>
  <c r="F764" i="1"/>
  <c r="E703" i="1"/>
  <c r="D589" i="1"/>
  <c r="P677" i="1"/>
  <c r="C712" i="1"/>
  <c r="H556" i="1"/>
  <c r="B695" i="1"/>
  <c r="D686" i="1"/>
  <c r="N676" i="1"/>
  <c r="F225" i="1"/>
  <c r="N458" i="1"/>
  <c r="K351" i="1"/>
  <c r="L540" i="1"/>
  <c r="M928" i="1"/>
  <c r="M483" i="1"/>
  <c r="E479" i="1"/>
  <c r="O470" i="1"/>
  <c r="C1043" i="1"/>
  <c r="N965" i="1"/>
  <c r="K831" i="1"/>
  <c r="F760" i="1"/>
  <c r="C984" i="1"/>
  <c r="O917" i="1"/>
  <c r="L922" i="1"/>
  <c r="M849" i="1"/>
  <c r="G801" i="1"/>
  <c r="F832" i="1"/>
  <c r="M845" i="1"/>
  <c r="G769" i="1"/>
  <c r="K930" i="1"/>
  <c r="H1066" i="1"/>
  <c r="N808" i="1"/>
  <c r="K856" i="1"/>
  <c r="D791" i="1"/>
  <c r="E790" i="1"/>
  <c r="I709" i="1"/>
  <c r="B756" i="1"/>
  <c r="P815" i="1"/>
  <c r="B1101" i="1"/>
  <c r="L975" i="1"/>
  <c r="O932" i="1"/>
  <c r="L898" i="1"/>
  <c r="N764" i="1"/>
  <c r="N617" i="1"/>
  <c r="F597" i="1"/>
  <c r="L751" i="1"/>
  <c r="F715" i="1"/>
  <c r="P678" i="1"/>
  <c r="C548" i="1"/>
  <c r="L747" i="1"/>
  <c r="F707" i="1"/>
  <c r="P674" i="1"/>
  <c r="C544" i="1"/>
  <c r="L723" i="1"/>
  <c r="F691" i="1"/>
  <c r="P666" i="1"/>
  <c r="C536" i="1"/>
  <c r="L719" i="1"/>
  <c r="F860" i="1"/>
  <c r="G592" i="1"/>
  <c r="I571" i="1"/>
  <c r="H642" i="1"/>
  <c r="C872" i="1"/>
  <c r="J777" i="1"/>
  <c r="L714" i="1"/>
  <c r="E764" i="1"/>
  <c r="A481" i="1"/>
  <c r="O851" i="1"/>
  <c r="C462" i="1"/>
  <c r="M457" i="1"/>
  <c r="O803" i="1"/>
  <c r="N583" i="1"/>
  <c r="E532" i="1"/>
  <c r="E382" i="1"/>
  <c r="C628" i="1"/>
  <c r="I1114" i="1"/>
  <c r="M933" i="1"/>
  <c r="A823" i="1"/>
  <c r="A819" i="1"/>
  <c r="C782" i="1"/>
  <c r="C746" i="1"/>
  <c r="G960" i="1"/>
  <c r="B706" i="1"/>
  <c r="J961" i="1"/>
  <c r="E742" i="1"/>
  <c r="B702" i="1"/>
  <c r="F642" i="1"/>
  <c r="M931" i="1"/>
  <c r="G714" i="1"/>
  <c r="D698" i="1"/>
  <c r="P827" i="1"/>
  <c r="K978" i="1"/>
  <c r="B779" i="1"/>
  <c r="N780" i="1"/>
  <c r="M723" i="1"/>
  <c r="K843" i="1"/>
  <c r="E793" i="1"/>
  <c r="N732" i="1"/>
  <c r="M885" i="1"/>
  <c r="L943" i="1"/>
  <c r="B717" i="1"/>
  <c r="O710" i="1"/>
  <c r="P1046" i="1"/>
  <c r="N581" i="1"/>
  <c r="F561" i="1"/>
  <c r="H734" i="1"/>
  <c r="L1000" i="1"/>
  <c r="N577" i="1"/>
  <c r="F557" i="1"/>
  <c r="N723" i="1"/>
  <c r="K872" i="1"/>
  <c r="N569" i="1"/>
  <c r="F549" i="1"/>
  <c r="N705" i="1"/>
  <c r="K868" i="1"/>
  <c r="B1004" i="1"/>
  <c r="E626" i="1"/>
  <c r="O605" i="1"/>
  <c r="M894" i="1"/>
  <c r="D736" i="1"/>
  <c r="J1048" i="1"/>
  <c r="F815" i="1"/>
  <c r="A647" i="1"/>
  <c r="O591" i="1"/>
  <c r="J577" i="1"/>
  <c r="M487" i="1"/>
  <c r="E483" i="1"/>
  <c r="O474" i="1"/>
  <c r="K332" i="1"/>
  <c r="A924" i="1"/>
  <c r="E484" i="1"/>
  <c r="B755" i="1"/>
  <c r="K778" i="1"/>
  <c r="K706" i="1"/>
  <c r="N820" i="1"/>
  <c r="C713" i="1"/>
  <c r="P554" i="1"/>
  <c r="N559" i="1"/>
  <c r="E282" i="1"/>
  <c r="E921" i="1"/>
  <c r="F946" i="1"/>
  <c r="E730" i="1"/>
  <c r="J919" i="1"/>
  <c r="P1032" i="1"/>
  <c r="I744" i="1"/>
  <c r="E929" i="1"/>
  <c r="J728" i="1"/>
  <c r="D703" i="1"/>
  <c r="F900" i="1"/>
  <c r="J724" i="1"/>
  <c r="D833" i="1"/>
  <c r="N930" i="1"/>
  <c r="B811" i="1"/>
  <c r="B786" i="1"/>
  <c r="M727" i="1"/>
  <c r="K970" i="1"/>
  <c r="I869" i="1"/>
  <c r="K692" i="1"/>
  <c r="B855" i="1"/>
  <c r="C894" i="1"/>
  <c r="I833" i="1"/>
  <c r="K882" i="1"/>
  <c r="B555" i="1"/>
  <c r="H432" i="1"/>
  <c r="N674" i="1"/>
  <c r="I665" i="1"/>
  <c r="B432" i="1"/>
  <c r="L974" i="1"/>
  <c r="C790" i="1"/>
  <c r="N1176" i="1"/>
  <c r="O741" i="1"/>
  <c r="G780" i="1"/>
  <c r="D663" i="1"/>
  <c r="I743" i="1"/>
  <c r="J1001" i="1"/>
  <c r="N888" i="1"/>
  <c r="B820" i="1"/>
  <c r="E842" i="1"/>
  <c r="I737" i="1"/>
  <c r="B784" i="1"/>
  <c r="M785" i="1"/>
  <c r="K814" i="1"/>
  <c r="N681" i="1"/>
  <c r="F661" i="1"/>
  <c r="M881" i="1"/>
  <c r="P615" i="1"/>
  <c r="J869" i="1"/>
  <c r="C612" i="1"/>
  <c r="L875" i="1"/>
  <c r="P611" i="1"/>
  <c r="J853" i="1"/>
  <c r="C608" i="1"/>
  <c r="L851" i="1"/>
  <c r="P603" i="1"/>
  <c r="J821" i="1"/>
  <c r="C600" i="1"/>
  <c r="L847" i="1"/>
  <c r="J912" i="1"/>
  <c r="G656" i="1"/>
  <c r="I635" i="1"/>
  <c r="P732" i="1"/>
  <c r="P763" i="1"/>
  <c r="G556" i="1"/>
  <c r="I535" i="1"/>
  <c r="H606" i="1"/>
  <c r="K600" i="1"/>
  <c r="F528" i="1"/>
  <c r="B526" i="1"/>
  <c r="M521" i="1"/>
  <c r="E513" i="1"/>
  <c r="G779" i="1"/>
  <c r="N480" i="1"/>
  <c r="G1039" i="1"/>
  <c r="K803" i="1"/>
  <c r="K731" i="1"/>
  <c r="K727" i="1"/>
  <c r="D916" i="1"/>
  <c r="G1113" i="1"/>
  <c r="A890" i="1"/>
  <c r="L792" i="1"/>
  <c r="F614" i="1"/>
  <c r="I775" i="1"/>
  <c r="L776" i="1"/>
  <c r="H961" i="1"/>
  <c r="N815" i="1"/>
  <c r="D809" i="1"/>
  <c r="A721" i="1"/>
  <c r="F638" i="1"/>
  <c r="J1033" i="1"/>
  <c r="G710" i="1"/>
  <c r="D690" i="1"/>
  <c r="J822" i="1"/>
  <c r="O944" i="1"/>
  <c r="D979" i="1"/>
  <c r="D651" i="1"/>
  <c r="H840" i="1"/>
  <c r="K779" i="1"/>
  <c r="E875" i="1"/>
  <c r="N513" i="1"/>
  <c r="A833" i="1"/>
  <c r="E682" i="1"/>
  <c r="O657" i="1"/>
  <c r="P576" i="1"/>
  <c r="A805" i="1"/>
  <c r="E674" i="1"/>
  <c r="O653" i="1"/>
  <c r="P572" i="1"/>
  <c r="A797" i="1"/>
  <c r="E666" i="1"/>
  <c r="O645" i="1"/>
  <c r="P564" i="1"/>
  <c r="A773" i="1"/>
  <c r="G745" i="1"/>
  <c r="H677" i="1"/>
  <c r="J530" i="1"/>
  <c r="G621" i="1"/>
  <c r="H793" i="1"/>
  <c r="K746" i="1"/>
  <c r="B728" i="1"/>
  <c r="E878" i="1"/>
  <c r="D704" i="1"/>
  <c r="F1034" i="1"/>
  <c r="B581" i="1"/>
  <c r="L576" i="1"/>
  <c r="G867" i="1"/>
  <c r="F413" i="1"/>
  <c r="G436" i="1"/>
  <c r="L487" i="1"/>
  <c r="I615" i="1"/>
  <c r="F562" i="1"/>
  <c r="D568" i="1"/>
  <c r="F559" i="1"/>
  <c r="H542" i="1"/>
  <c r="O943" i="1"/>
  <c r="G964" i="1"/>
  <c r="F877" i="1"/>
  <c r="P977" i="1"/>
  <c r="L1152" i="1"/>
  <c r="E1068" i="1"/>
  <c r="J782" i="1"/>
  <c r="H699" i="1"/>
  <c r="L968" i="1"/>
  <c r="E699" i="1"/>
  <c r="H695" i="1"/>
  <c r="L1048" i="1"/>
  <c r="D859" i="1"/>
  <c r="N896" i="1"/>
  <c r="I777" i="1"/>
  <c r="B824" i="1"/>
  <c r="G700" i="1"/>
  <c r="N852" i="1"/>
  <c r="L872" i="1"/>
  <c r="D785" i="1"/>
  <c r="E783" i="1"/>
  <c r="F776" i="1"/>
  <c r="F737" i="1"/>
  <c r="H1077" i="1"/>
  <c r="G830" i="1"/>
  <c r="L849" i="1"/>
  <c r="G584" i="1"/>
  <c r="I563" i="1"/>
  <c r="H811" i="1"/>
  <c r="A617" i="1"/>
  <c r="K596" i="1"/>
  <c r="O766" i="1"/>
  <c r="B806" i="1"/>
  <c r="A613" i="1"/>
  <c r="K592" i="1"/>
  <c r="O734" i="1"/>
  <c r="B774" i="1"/>
  <c r="A605" i="1"/>
  <c r="K584" i="1"/>
  <c r="N950" i="1"/>
  <c r="N768" i="1"/>
  <c r="L779" i="1"/>
  <c r="B747" i="1"/>
  <c r="H698" i="1"/>
  <c r="C560" i="1"/>
  <c r="F650" i="1"/>
  <c r="F611" i="1"/>
  <c r="P590" i="1"/>
  <c r="K512" i="1"/>
  <c r="J781" i="1"/>
  <c r="B628" i="1"/>
  <c r="N618" i="1"/>
  <c r="D607" i="1"/>
  <c r="G494" i="1"/>
  <c r="D501" i="1"/>
  <c r="B404" i="1"/>
  <c r="O868" i="1"/>
  <c r="P875" i="1"/>
  <c r="C900" i="1"/>
  <c r="E939" i="1"/>
  <c r="K990" i="1"/>
  <c r="F1186" i="1"/>
  <c r="G1135" i="1"/>
  <c r="J1091" i="1"/>
  <c r="C774" i="1"/>
  <c r="J824" i="1"/>
  <c r="D799" i="1"/>
  <c r="C922" i="1"/>
  <c r="J820" i="1"/>
  <c r="E717" i="1"/>
  <c r="D1071" i="1"/>
  <c r="C966" i="1"/>
  <c r="D873" i="1"/>
  <c r="M791" i="1"/>
  <c r="I983" i="1"/>
  <c r="J686" i="1"/>
  <c r="K756" i="1"/>
  <c r="D691" i="1"/>
  <c r="F913" i="1"/>
  <c r="N975" i="1"/>
  <c r="K720" i="1"/>
  <c r="M865" i="1"/>
  <c r="B940" i="1"/>
  <c r="E618" i="1"/>
  <c r="O597" i="1"/>
  <c r="P731" i="1"/>
  <c r="G548" i="1"/>
  <c r="I527" i="1"/>
  <c r="H598" i="1"/>
  <c r="J726" i="1"/>
  <c r="G544" i="1"/>
  <c r="I523" i="1"/>
  <c r="H594" i="1"/>
  <c r="D701" i="1"/>
  <c r="G536" i="1"/>
  <c r="N871" i="1"/>
  <c r="H586" i="1"/>
  <c r="D697" i="1"/>
  <c r="L689" i="1"/>
  <c r="N593" i="1"/>
  <c r="F573" i="1"/>
  <c r="D772" i="1"/>
  <c r="J1000" i="1"/>
  <c r="K761" i="1"/>
  <c r="K707" i="1"/>
  <c r="J618" i="1"/>
  <c r="I639" i="1"/>
  <c r="F570" i="1"/>
  <c r="F576" i="1"/>
  <c r="F567" i="1"/>
  <c r="H550" i="1"/>
  <c r="B312" i="1"/>
  <c r="H508" i="1"/>
  <c r="N359" i="1"/>
  <c r="A675" i="1"/>
  <c r="A652" i="1"/>
  <c r="C579" i="1"/>
  <c r="L871" i="1"/>
  <c r="D681" i="1"/>
  <c r="F221" i="1"/>
  <c r="K347" i="1"/>
  <c r="I740" i="1"/>
  <c r="E1059" i="1"/>
  <c r="A728" i="1"/>
  <c r="E761" i="1"/>
  <c r="H842" i="1"/>
  <c r="G797" i="1"/>
  <c r="M909" i="1"/>
  <c r="B933" i="1"/>
  <c r="B880" i="1"/>
  <c r="L791" i="1"/>
  <c r="J1064" i="1"/>
  <c r="H705" i="1"/>
  <c r="H823" i="1"/>
  <c r="F947" i="1"/>
  <c r="K927" i="1"/>
  <c r="G648" i="1"/>
  <c r="I627" i="1"/>
  <c r="E813" i="1"/>
  <c r="A681" i="1"/>
  <c r="K660" i="1"/>
  <c r="D569" i="1"/>
  <c r="E805" i="1"/>
  <c r="A677" i="1"/>
  <c r="K656" i="1"/>
  <c r="E901" i="1"/>
  <c r="E757" i="1"/>
  <c r="A669" i="1"/>
  <c r="K648" i="1"/>
  <c r="E877" i="1"/>
  <c r="E749" i="1"/>
  <c r="C1187" i="1"/>
  <c r="P627" i="1"/>
  <c r="H607" i="1"/>
  <c r="C624" i="1"/>
  <c r="L711" i="1"/>
  <c r="F675" i="1"/>
  <c r="P654" i="1"/>
  <c r="C841" i="1"/>
  <c r="G665" i="1"/>
  <c r="F690" i="1"/>
  <c r="D898" i="1"/>
  <c r="J817" i="1"/>
  <c r="F632" i="1"/>
  <c r="A491" i="1"/>
  <c r="F451" i="1"/>
  <c r="F1035" i="1"/>
  <c r="P868" i="1"/>
  <c r="C731" i="1"/>
  <c r="C727" i="1"/>
  <c r="J895" i="1"/>
  <c r="H848" i="1"/>
  <c r="I807" i="1"/>
  <c r="J786" i="1"/>
  <c r="N752" i="1"/>
  <c r="N904" i="1"/>
  <c r="D781" i="1"/>
  <c r="L732" i="1"/>
  <c r="C952" i="1"/>
  <c r="G778" i="1"/>
  <c r="J688" i="1"/>
  <c r="E709" i="1"/>
  <c r="C978" i="1"/>
  <c r="P1122" i="1"/>
  <c r="J866" i="1"/>
  <c r="M787" i="1"/>
  <c r="L902" i="1"/>
  <c r="G809" i="1"/>
  <c r="B818" i="1"/>
  <c r="N1009" i="1"/>
  <c r="E777" i="1"/>
  <c r="H653" i="1"/>
  <c r="G849" i="1"/>
  <c r="P855" i="1"/>
  <c r="N645" i="1"/>
  <c r="F625" i="1"/>
  <c r="A543" i="1"/>
  <c r="J850" i="1"/>
  <c r="N641" i="1"/>
  <c r="F621" i="1"/>
  <c r="A539" i="1"/>
  <c r="N812" i="1"/>
  <c r="N633" i="1"/>
  <c r="F613" i="1"/>
  <c r="A531" i="1"/>
  <c r="H807" i="1"/>
  <c r="A869" i="1"/>
  <c r="E712" i="1"/>
  <c r="O669" i="1"/>
  <c r="P588" i="1"/>
  <c r="J804" i="1"/>
  <c r="E590" i="1"/>
  <c r="O569" i="1"/>
  <c r="H746" i="1"/>
  <c r="I493" i="1"/>
  <c r="J641" i="1"/>
  <c r="A578" i="1"/>
  <c r="J568" i="1"/>
  <c r="L551" i="1"/>
  <c r="O396" i="1"/>
  <c r="P415" i="1"/>
  <c r="G571" i="1"/>
  <c r="D524" i="1"/>
  <c r="M556" i="1"/>
  <c r="F584" i="1"/>
  <c r="D573" i="1"/>
  <c r="F556" i="1"/>
  <c r="O1244" i="1"/>
  <c r="I1279" i="1"/>
  <c r="M995" i="1"/>
  <c r="M991" i="1"/>
  <c r="L850" i="1"/>
  <c r="L814" i="1"/>
  <c r="P725" i="1"/>
  <c r="P817" i="1"/>
  <c r="B768" i="1"/>
  <c r="H669" i="1"/>
  <c r="P813" i="1"/>
  <c r="J936" i="1"/>
  <c r="K842" i="1"/>
  <c r="C762" i="1"/>
  <c r="H745" i="1"/>
  <c r="P884" i="1"/>
  <c r="E851" i="1"/>
  <c r="O785" i="1"/>
  <c r="G752" i="1"/>
  <c r="C760" i="1"/>
  <c r="N750" i="1"/>
  <c r="L1023" i="1"/>
  <c r="E1098" i="1"/>
  <c r="L934" i="1"/>
  <c r="P797" i="1"/>
  <c r="L755" i="1"/>
  <c r="L724" i="1"/>
  <c r="B683" i="1"/>
  <c r="D747" i="1"/>
  <c r="H581" i="1"/>
  <c r="B538" i="1"/>
  <c r="I604" i="1"/>
  <c r="D743" i="1"/>
  <c r="P571" i="1"/>
  <c r="B530" i="1"/>
  <c r="I600" i="1"/>
  <c r="D719" i="1"/>
  <c r="P555" i="1"/>
  <c r="B520" i="1"/>
  <c r="I592" i="1"/>
  <c r="D715" i="1"/>
  <c r="D849" i="1"/>
  <c r="A629" i="1"/>
  <c r="K608" i="1"/>
  <c r="O862" i="1"/>
  <c r="M867" i="1"/>
  <c r="A529" i="1"/>
  <c r="O607" i="1"/>
  <c r="J668" i="1"/>
  <c r="H634" i="1"/>
  <c r="D776" i="1"/>
  <c r="H758" i="1"/>
  <c r="O735" i="1"/>
  <c r="K773" i="1"/>
  <c r="N471" i="1"/>
  <c r="M394" i="1"/>
  <c r="K1095" i="1"/>
  <c r="G1164" i="1"/>
  <c r="P1198" i="1"/>
  <c r="I731" i="1"/>
  <c r="M981" i="1"/>
  <c r="O1084" i="1"/>
  <c r="B1092" i="1"/>
  <c r="C850" i="1"/>
  <c r="M817" i="1"/>
  <c r="J945" i="1"/>
  <c r="D789" i="1"/>
  <c r="L955" i="1"/>
  <c r="E861" i="1"/>
  <c r="M859" i="1"/>
  <c r="F845" i="1"/>
  <c r="B766" i="1"/>
  <c r="K824" i="1"/>
  <c r="D759" i="1"/>
  <c r="E726" i="1"/>
  <c r="L1007" i="1"/>
  <c r="O996" i="1"/>
  <c r="D773" i="1"/>
  <c r="H844" i="1"/>
  <c r="H865" i="1"/>
  <c r="P949" i="1"/>
  <c r="F836" i="1"/>
  <c r="H1145" i="1"/>
  <c r="N585" i="1"/>
  <c r="F565" i="1"/>
  <c r="L687" i="1"/>
  <c r="F667" i="1"/>
  <c r="P646" i="1"/>
  <c r="E668" i="1"/>
  <c r="N1062" i="1"/>
  <c r="F663" i="1"/>
  <c r="P642" i="1"/>
  <c r="E636" i="1"/>
  <c r="F803" i="1"/>
  <c r="F655" i="1"/>
  <c r="P634" i="1"/>
  <c r="P589" i="1"/>
  <c r="F787" i="1"/>
  <c r="D769" i="1"/>
  <c r="G560" i="1"/>
  <c r="I539" i="1"/>
  <c r="H610" i="1"/>
  <c r="C808" i="1"/>
  <c r="J691" i="1"/>
  <c r="H667" i="1"/>
  <c r="M686" i="1"/>
  <c r="B546" i="1"/>
  <c r="M564" i="1"/>
  <c r="P593" i="1"/>
  <c r="D583" i="1"/>
  <c r="F564" i="1"/>
  <c r="P583" i="1"/>
  <c r="M496" i="1"/>
  <c r="E350" i="1"/>
  <c r="C540" i="1"/>
  <c r="J619" i="1"/>
  <c r="L546" i="1"/>
  <c r="N669" i="1"/>
  <c r="G905" i="1"/>
  <c r="F409" i="1"/>
  <c r="L471" i="1"/>
  <c r="A909" i="1"/>
  <c r="O784" i="1"/>
  <c r="I715" i="1"/>
  <c r="I817" i="1"/>
  <c r="L986" i="1"/>
  <c r="D713" i="1"/>
  <c r="E902" i="1"/>
  <c r="L859" i="1"/>
  <c r="D761" i="1"/>
  <c r="F602" i="1"/>
  <c r="O837" i="1"/>
  <c r="G808" i="1"/>
  <c r="E984" i="1"/>
  <c r="P861" i="1"/>
  <c r="H892" i="1"/>
  <c r="P619" i="1"/>
  <c r="B907" i="1"/>
  <c r="D875" i="1"/>
  <c r="I477" i="1"/>
  <c r="A457" i="1"/>
  <c r="I668" i="1"/>
  <c r="D871" i="1"/>
  <c r="I473" i="1"/>
  <c r="A453" i="1"/>
  <c r="I664" i="1"/>
  <c r="D847" i="1"/>
  <c r="I465" i="1"/>
  <c r="A445" i="1"/>
  <c r="I656" i="1"/>
  <c r="D843" i="1"/>
  <c r="B795" i="1"/>
  <c r="I704" i="1"/>
  <c r="K672" i="1"/>
  <c r="C601" i="1"/>
  <c r="B758" i="1"/>
  <c r="A593" i="1"/>
  <c r="K572" i="1"/>
  <c r="F798" i="1"/>
  <c r="J658" i="1"/>
  <c r="A560" i="1"/>
  <c r="K555" i="1"/>
  <c r="C547" i="1"/>
  <c r="L553" i="1"/>
  <c r="L544" i="1"/>
  <c r="M486" i="1"/>
  <c r="K904" i="1"/>
  <c r="F903" i="1"/>
  <c r="P776" i="1"/>
  <c r="P772" i="1"/>
  <c r="E882" i="1"/>
  <c r="J843" i="1"/>
  <c r="B1029" i="1"/>
  <c r="A697" i="1"/>
  <c r="D863" i="1"/>
  <c r="F804" i="1"/>
  <c r="A693" i="1"/>
  <c r="K854" i="1"/>
  <c r="L842" i="1"/>
  <c r="P745" i="1"/>
  <c r="K774" i="1"/>
  <c r="M855" i="1"/>
  <c r="F813" i="1"/>
  <c r="N760" i="1"/>
  <c r="K820" i="1"/>
  <c r="D755" i="1"/>
  <c r="N1078" i="1"/>
  <c r="J714" i="1"/>
  <c r="K784" i="1"/>
  <c r="J835" i="1"/>
  <c r="A837" i="1"/>
  <c r="A690" i="1"/>
  <c r="O661" i="1"/>
  <c r="M749" i="1"/>
  <c r="G612" i="1"/>
  <c r="I591" i="1"/>
  <c r="H662" i="1"/>
  <c r="M741" i="1"/>
  <c r="G608" i="1"/>
  <c r="I587" i="1"/>
  <c r="H658" i="1"/>
  <c r="M685" i="1"/>
  <c r="G600" i="1"/>
  <c r="I579" i="1"/>
  <c r="H650" i="1"/>
  <c r="H1057" i="1"/>
  <c r="K686" i="1"/>
  <c r="N657" i="1"/>
  <c r="F637" i="1"/>
  <c r="A555" i="1"/>
  <c r="K840" i="1"/>
  <c r="N557" i="1"/>
  <c r="F537" i="1"/>
  <c r="L682" i="1"/>
  <c r="F673" i="1"/>
  <c r="M559" i="1"/>
  <c r="O571" i="1"/>
  <c r="A562" i="1"/>
  <c r="C545" i="1"/>
  <c r="B376" i="1"/>
  <c r="N548" i="1"/>
  <c r="L423" i="1"/>
  <c r="P624" i="1"/>
  <c r="I806" i="1"/>
  <c r="G783" i="1"/>
  <c r="E744" i="1"/>
  <c r="M596" i="1"/>
  <c r="I1172" i="1"/>
  <c r="D786" i="1"/>
  <c r="E888" i="1"/>
  <c r="E884" i="1"/>
  <c r="G856" i="1"/>
  <c r="A999" i="1"/>
  <c r="I789" i="1"/>
  <c r="J862" i="1"/>
  <c r="D685" i="1"/>
  <c r="I774" i="1"/>
  <c r="D857" i="1"/>
  <c r="M789" i="1"/>
  <c r="F987" i="1"/>
  <c r="F892" i="1"/>
  <c r="J871" i="1"/>
  <c r="C828" i="1"/>
  <c r="N818" i="1"/>
  <c r="B783" i="1"/>
  <c r="D878" i="1"/>
  <c r="L727" i="1"/>
  <c r="B749" i="1"/>
  <c r="M793" i="1"/>
  <c r="A841" i="1"/>
  <c r="H1050" i="1"/>
  <c r="E721" i="1"/>
  <c r="N816" i="1"/>
  <c r="A621" i="1"/>
  <c r="L1076" i="1"/>
  <c r="E807" i="1"/>
  <c r="N477" i="1"/>
  <c r="F770" i="1"/>
  <c r="G1169" i="1"/>
  <c r="E803" i="1"/>
  <c r="N473" i="1"/>
  <c r="F742" i="1"/>
  <c r="N935" i="1"/>
  <c r="E779" i="1"/>
  <c r="N465" i="1"/>
  <c r="F710" i="1"/>
  <c r="E830" i="1"/>
  <c r="E775" i="1"/>
  <c r="D775" i="1"/>
  <c r="G639" i="1"/>
  <c r="B562" i="1"/>
  <c r="I616" i="1"/>
  <c r="G788" i="1"/>
  <c r="N990" i="1"/>
  <c r="F594" i="1"/>
  <c r="N859" i="1"/>
  <c r="O707" i="1"/>
  <c r="A688" i="1"/>
  <c r="M681" i="1"/>
  <c r="E673" i="1"/>
  <c r="L453" i="1"/>
  <c r="N232" i="1"/>
  <c r="D336" i="1"/>
  <c r="J841" i="1"/>
  <c r="D1182" i="1"/>
  <c r="L1027" i="1"/>
  <c r="P1134" i="1"/>
  <c r="I1088" i="1"/>
  <c r="E1055" i="1"/>
  <c r="E1019" i="1"/>
  <c r="P739" i="1"/>
  <c r="D948" i="1"/>
  <c r="K864" i="1"/>
  <c r="N925" i="1"/>
  <c r="M921" i="1"/>
  <c r="L936" i="1"/>
  <c r="D827" i="1"/>
  <c r="E862" i="1"/>
  <c r="I745" i="1"/>
  <c r="B792" i="1"/>
  <c r="F864" i="1"/>
  <c r="F788" i="1"/>
  <c r="P746" i="1"/>
  <c r="J742" i="1"/>
  <c r="E751" i="1"/>
  <c r="P878" i="1"/>
  <c r="L675" i="1"/>
  <c r="F942" i="1"/>
  <c r="G798" i="1"/>
  <c r="D737" i="1"/>
  <c r="G552" i="1"/>
  <c r="I531" i="1"/>
  <c r="B726" i="1"/>
  <c r="A585" i="1"/>
  <c r="K564" i="1"/>
  <c r="B740" i="1"/>
  <c r="N720" i="1"/>
  <c r="A581" i="1"/>
  <c r="K560" i="1"/>
  <c r="B724" i="1"/>
  <c r="N696" i="1"/>
  <c r="A573" i="1"/>
  <c r="K552" i="1"/>
  <c r="B692" i="1"/>
  <c r="N692" i="1"/>
  <c r="L715" i="1"/>
  <c r="F679" i="1"/>
  <c r="P658" i="1"/>
  <c r="C528" i="1"/>
  <c r="K845" i="1"/>
  <c r="F579" i="1"/>
  <c r="A830" i="1"/>
  <c r="K480" i="1"/>
  <c r="P632" i="1"/>
  <c r="O827" i="1"/>
  <c r="M804" i="1"/>
  <c r="I758" i="1"/>
  <c r="M780" i="1"/>
  <c r="D469" i="1"/>
  <c r="F372" i="1"/>
  <c r="P729" i="1"/>
  <c r="H680" i="1"/>
  <c r="C586" i="1"/>
  <c r="M581" i="1"/>
  <c r="E573" i="1"/>
  <c r="F349" i="1"/>
  <c r="E379" i="1"/>
  <c r="D236" i="1"/>
  <c r="O927" i="1"/>
  <c r="N997" i="1"/>
  <c r="O1130" i="1"/>
  <c r="O1098" i="1"/>
  <c r="G912" i="1"/>
  <c r="J1097" i="1"/>
  <c r="P867" i="1"/>
  <c r="P721" i="1"/>
  <c r="M797" i="1"/>
  <c r="M700" i="1"/>
  <c r="P717" i="1"/>
  <c r="B796" i="1"/>
  <c r="J870" i="1"/>
  <c r="F796" i="1"/>
  <c r="L760" i="1"/>
  <c r="P747" i="1"/>
  <c r="E755" i="1"/>
  <c r="I475" i="1"/>
  <c r="H552" i="1"/>
  <c r="M485" i="1"/>
  <c r="F660" i="1"/>
  <c r="E410" i="1"/>
  <c r="J1003" i="1"/>
  <c r="M802" i="1"/>
  <c r="O873" i="1"/>
  <c r="A729" i="1"/>
  <c r="N868" i="1"/>
  <c r="G761" i="1"/>
  <c r="P777" i="1"/>
  <c r="E910" i="1"/>
  <c r="H803" i="1"/>
  <c r="D787" i="1"/>
  <c r="G813" i="1"/>
  <c r="B1061" i="1"/>
  <c r="L942" i="1"/>
  <c r="E869" i="1"/>
  <c r="K822" i="1"/>
  <c r="I688" i="1"/>
  <c r="O892" i="1"/>
  <c r="F688" i="1"/>
  <c r="L556" i="1"/>
  <c r="J842" i="1"/>
  <c r="I776" i="1"/>
  <c r="F684" i="1"/>
  <c r="L548" i="1"/>
  <c r="H799" i="1"/>
  <c r="J1036" i="1"/>
  <c r="O1092" i="1"/>
  <c r="L532" i="1"/>
  <c r="P715" i="1"/>
  <c r="E890" i="1"/>
  <c r="J1025" i="1"/>
  <c r="J1032" i="1"/>
  <c r="I489" i="1"/>
  <c r="A469" i="1"/>
  <c r="I680" i="1"/>
  <c r="D707" i="1"/>
  <c r="P531" i="1"/>
  <c r="B508" i="1"/>
  <c r="I580" i="1"/>
  <c r="O798" i="1"/>
  <c r="C1107" i="1"/>
  <c r="I880" i="1"/>
  <c r="C845" i="1"/>
  <c r="D496" i="1"/>
  <c r="N296" i="1"/>
  <c r="C1174" i="1"/>
  <c r="H1046" i="1"/>
  <c r="H946" i="1"/>
  <c r="F792" i="1"/>
  <c r="H1150" i="1"/>
  <c r="C964" i="1"/>
  <c r="B1080" i="1"/>
  <c r="B981" i="1"/>
  <c r="D635" i="1"/>
  <c r="G716" i="1"/>
  <c r="B949" i="1"/>
  <c r="D631" i="1"/>
  <c r="H1034" i="1"/>
  <c r="H925" i="1"/>
  <c r="P851" i="1"/>
  <c r="G916" i="1"/>
  <c r="D823" i="1"/>
  <c r="E854" i="1"/>
  <c r="I741" i="1"/>
  <c r="B788" i="1"/>
  <c r="H859" i="1"/>
  <c r="E778" i="1"/>
  <c r="I705" i="1"/>
  <c r="B752" i="1"/>
  <c r="M721" i="1"/>
  <c r="H977" i="1"/>
  <c r="N649" i="1"/>
  <c r="F629" i="1"/>
  <c r="L815" i="1"/>
  <c r="F823" i="1"/>
  <c r="M744" i="1"/>
  <c r="C580" i="1"/>
  <c r="L811" i="1"/>
  <c r="F807" i="1"/>
  <c r="A734" i="1"/>
  <c r="C576" i="1"/>
  <c r="L787" i="1"/>
  <c r="J773" i="1"/>
  <c r="H714" i="1"/>
  <c r="C568" i="1"/>
  <c r="L783" i="1"/>
  <c r="M813" i="1"/>
  <c r="G624" i="1"/>
  <c r="I603" i="1"/>
  <c r="H674" i="1"/>
  <c r="D689" i="1"/>
  <c r="G524" i="1"/>
  <c r="N823" i="1"/>
  <c r="D955" i="1"/>
  <c r="O671" i="1"/>
  <c r="D495" i="1"/>
  <c r="C494" i="1"/>
  <c r="M489" i="1"/>
  <c r="E481" i="1"/>
  <c r="H700" i="1"/>
  <c r="E612" i="1"/>
  <c r="E414" i="1"/>
  <c r="I750" i="1"/>
  <c r="L684" i="1"/>
  <c r="B679" i="1"/>
  <c r="L670" i="1"/>
  <c r="A550" i="1"/>
  <c r="K965" i="1"/>
  <c r="M963" i="1"/>
  <c r="P926" i="1"/>
  <c r="C919" i="1"/>
  <c r="L721" i="1"/>
  <c r="C998" i="1"/>
  <c r="G773" i="1"/>
  <c r="I721" i="1"/>
  <c r="L835" i="1"/>
  <c r="F1134" i="1"/>
  <c r="I717" i="1"/>
  <c r="B965" i="1"/>
  <c r="P904" i="1"/>
  <c r="K986" i="1"/>
  <c r="B698" i="1"/>
  <c r="L795" i="1"/>
  <c r="H629" i="1"/>
  <c r="H687" i="1"/>
  <c r="J844" i="1"/>
  <c r="I694" i="1"/>
  <c r="F725" i="1"/>
  <c r="F979" i="1"/>
  <c r="J808" i="1"/>
  <c r="J1136" i="1"/>
  <c r="I861" i="1"/>
  <c r="D751" i="1"/>
  <c r="D593" i="1"/>
  <c r="I857" i="1"/>
  <c r="A842" i="1"/>
  <c r="P687" i="1"/>
  <c r="G577" i="1"/>
  <c r="I825" i="1"/>
  <c r="A826" i="1"/>
  <c r="H1018" i="1"/>
  <c r="G573" i="1"/>
  <c r="I761" i="1"/>
  <c r="A778" i="1"/>
  <c r="O838" i="1"/>
  <c r="G565" i="1"/>
  <c r="I729" i="1"/>
  <c r="B1085" i="1"/>
  <c r="E835" i="1"/>
  <c r="N489" i="1"/>
  <c r="F866" i="1"/>
  <c r="J927" i="1"/>
  <c r="N862" i="1"/>
  <c r="A524" i="1"/>
  <c r="D615" i="1"/>
  <c r="G825" i="1"/>
  <c r="C888" i="1"/>
  <c r="L657" i="1"/>
  <c r="D653" i="1"/>
  <c r="N644" i="1"/>
  <c r="L439" i="1"/>
  <c r="P420" i="1"/>
  <c r="K319" i="1"/>
  <c r="P553" i="1"/>
  <c r="D935" i="1"/>
  <c r="M903" i="1"/>
  <c r="F899" i="1"/>
  <c r="F895" i="1"/>
  <c r="O780" i="1"/>
  <c r="O744" i="1"/>
  <c r="P693" i="1"/>
  <c r="P785" i="1"/>
  <c r="D1010" i="1"/>
  <c r="H637" i="1"/>
  <c r="P781" i="1"/>
  <c r="B860" i="1"/>
  <c r="G772" i="1"/>
  <c r="C698" i="1"/>
  <c r="H713" i="1"/>
  <c r="L833" i="1"/>
  <c r="E819" i="1"/>
  <c r="O721" i="1"/>
  <c r="G688" i="1"/>
  <c r="C728" i="1"/>
  <c r="N718" i="1"/>
  <c r="J839" i="1"/>
  <c r="H851" i="1"/>
  <c r="I808" i="1"/>
  <c r="P765" i="1"/>
  <c r="L691" i="1"/>
  <c r="F671" i="1"/>
  <c r="P650" i="1"/>
  <c r="B896" i="1"/>
  <c r="J520" i="1"/>
  <c r="B500" i="1"/>
  <c r="I572" i="1"/>
  <c r="D978" i="1"/>
  <c r="J516" i="1"/>
  <c r="B496" i="1"/>
  <c r="I568" i="1"/>
  <c r="O893" i="1"/>
  <c r="J508" i="1"/>
  <c r="B488" i="1"/>
  <c r="I560" i="1"/>
  <c r="G853" i="1"/>
  <c r="H763" i="1"/>
  <c r="A597" i="1"/>
  <c r="K576" i="1"/>
  <c r="F830" i="1"/>
  <c r="M803" i="1"/>
  <c r="P573" i="1"/>
  <c r="B532" i="1"/>
  <c r="J608" i="1"/>
  <c r="E796" i="1"/>
  <c r="L692" i="1"/>
  <c r="F683" i="1"/>
  <c r="L674" i="1"/>
  <c r="A558" i="1"/>
  <c r="A480" i="1"/>
  <c r="M362" i="1"/>
  <c r="D730" i="1"/>
  <c r="K646" i="1"/>
  <c r="I730" i="1"/>
  <c r="L718" i="1"/>
  <c r="B701" i="1"/>
  <c r="M339" i="1"/>
  <c r="L320" i="1"/>
  <c r="O680" i="1"/>
  <c r="I982" i="1"/>
  <c r="J1020" i="1"/>
  <c r="I728" i="1"/>
  <c r="I724" i="1"/>
  <c r="P900" i="1"/>
  <c r="N849" i="1"/>
  <c r="J529" i="1"/>
  <c r="A888" i="1"/>
  <c r="P657" i="1"/>
  <c r="N568" i="1"/>
  <c r="I1142" i="1"/>
  <c r="A808" i="1"/>
  <c r="N1191" i="1"/>
  <c r="L1035" i="1"/>
  <c r="D667" i="1"/>
  <c r="J803" i="1"/>
  <c r="N708" i="1"/>
  <c r="N1130" i="1"/>
  <c r="D855" i="1"/>
  <c r="I773" i="1"/>
  <c r="G692" i="1"/>
  <c r="H715" i="1"/>
  <c r="J872" i="1"/>
  <c r="D889" i="1"/>
  <c r="P1062" i="1"/>
  <c r="F880" i="1"/>
  <c r="I481" i="1"/>
  <c r="P793" i="1"/>
  <c r="J751" i="1"/>
  <c r="J570" i="1"/>
  <c r="G641" i="1"/>
  <c r="P761" i="1"/>
  <c r="P740" i="1"/>
  <c r="J562" i="1"/>
  <c r="G637" i="1"/>
  <c r="P697" i="1"/>
  <c r="L686" i="1"/>
  <c r="J546" i="1"/>
  <c r="G629" i="1"/>
  <c r="J1028" i="1"/>
  <c r="N1005" i="1"/>
  <c r="F716" i="1"/>
  <c r="C581" i="1"/>
  <c r="K794" i="1"/>
  <c r="J960" i="1"/>
  <c r="E767" i="1"/>
  <c r="N453" i="1"/>
  <c r="J865" i="1"/>
  <c r="B772" i="1"/>
  <c r="H588" i="1"/>
  <c r="L784" i="1"/>
  <c r="P766" i="1"/>
  <c r="E740" i="1"/>
  <c r="F257" i="1"/>
  <c r="E287" i="1"/>
  <c r="L1123" i="1"/>
  <c r="H1045" i="1"/>
  <c r="M746" i="1"/>
  <c r="G1006" i="1"/>
  <c r="J1101" i="1"/>
  <c r="L1136" i="1"/>
  <c r="L825" i="1"/>
  <c r="D777" i="1"/>
  <c r="J1152" i="1"/>
  <c r="E763" i="1"/>
  <c r="P771" i="1"/>
  <c r="L709" i="1"/>
  <c r="B928" i="1"/>
  <c r="K998" i="1"/>
  <c r="I809" i="1"/>
  <c r="B856" i="1"/>
  <c r="G764" i="1"/>
  <c r="C690" i="1"/>
  <c r="H709" i="1"/>
  <c r="F828" i="1"/>
  <c r="E815" i="1"/>
  <c r="N840" i="1"/>
  <c r="L856" i="1"/>
  <c r="G1331" i="1"/>
  <c r="G862" i="1"/>
  <c r="M757" i="1"/>
  <c r="G616" i="1"/>
  <c r="I595" i="1"/>
  <c r="E685" i="1"/>
  <c r="A649" i="1"/>
  <c r="K628" i="1"/>
  <c r="B794" i="1"/>
  <c r="F1050" i="1"/>
  <c r="A645" i="1"/>
  <c r="K624" i="1"/>
  <c r="H751" i="1"/>
  <c r="P859" i="1"/>
  <c r="A637" i="1"/>
  <c r="K616" i="1"/>
  <c r="L1084" i="1"/>
  <c r="J854" i="1"/>
  <c r="L843" i="1"/>
  <c r="F871" i="1"/>
  <c r="J789" i="1"/>
  <c r="C592" i="1"/>
  <c r="F755" i="1"/>
  <c r="F643" i="1"/>
  <c r="P622" i="1"/>
  <c r="D563" i="1"/>
  <c r="G581" i="1"/>
  <c r="P700" i="1"/>
  <c r="P682" i="1"/>
  <c r="P665" i="1"/>
  <c r="G713" i="1"/>
  <c r="N586" i="1"/>
  <c r="B436" i="1"/>
  <c r="L355" i="1"/>
  <c r="I596" i="1"/>
  <c r="C650" i="1"/>
  <c r="M645" i="1"/>
  <c r="E637" i="1"/>
  <c r="H413" i="1"/>
  <c r="G975" i="1"/>
  <c r="D1003" i="1"/>
  <c r="D939" i="1"/>
  <c r="A918" i="1"/>
  <c r="K1183" i="1"/>
  <c r="I991" i="1"/>
  <c r="C1017" i="1"/>
  <c r="L659" i="1"/>
  <c r="G719" i="1"/>
  <c r="L745" i="1"/>
  <c r="L655" i="1"/>
  <c r="L863" i="1"/>
  <c r="L710" i="1"/>
  <c r="J766" i="1"/>
  <c r="A689" i="1"/>
  <c r="F606" i="1"/>
  <c r="F1038" i="1"/>
  <c r="D1011" i="1"/>
  <c r="D655" i="1"/>
  <c r="H779" i="1"/>
  <c r="E1016" i="1"/>
  <c r="P865" i="1"/>
  <c r="D619" i="1"/>
  <c r="H776" i="1"/>
  <c r="P824" i="1"/>
  <c r="E811" i="1"/>
  <c r="N481" i="1"/>
  <c r="A737" i="1"/>
  <c r="E646" i="1"/>
  <c r="O625" i="1"/>
  <c r="P544" i="1"/>
  <c r="A733" i="1"/>
  <c r="E642" i="1"/>
  <c r="O621" i="1"/>
  <c r="P540" i="1"/>
  <c r="A705" i="1"/>
  <c r="E634" i="1"/>
  <c r="O613" i="1"/>
  <c r="P532" i="1"/>
  <c r="A701" i="1"/>
  <c r="J706" i="1"/>
  <c r="H613" i="1"/>
  <c r="N804" i="1"/>
  <c r="G589" i="1"/>
  <c r="L824" i="1"/>
  <c r="O778" i="1"/>
  <c r="H744" i="1"/>
  <c r="F751" i="1"/>
  <c r="N565" i="1"/>
  <c r="H770" i="1"/>
  <c r="M792" i="1"/>
  <c r="C773" i="1"/>
  <c r="L744" i="1"/>
  <c r="D381" i="1"/>
  <c r="G404" i="1"/>
  <c r="J565" i="1"/>
  <c r="N759" i="1"/>
  <c r="P984" i="1"/>
  <c r="B838" i="1"/>
  <c r="A987" i="1"/>
  <c r="A979" i="1"/>
  <c r="L919" i="1"/>
  <c r="B882" i="1"/>
  <c r="I757" i="1"/>
  <c r="H819" i="1"/>
  <c r="B997" i="1"/>
  <c r="E678" i="1"/>
  <c r="B814" i="1"/>
  <c r="M725" i="1"/>
  <c r="I908" i="1"/>
  <c r="O857" i="1"/>
  <c r="K826" i="1"/>
  <c r="C796" i="1"/>
  <c r="N786" i="1"/>
  <c r="M801" i="1"/>
  <c r="A845" i="1"/>
  <c r="L695" i="1"/>
  <c r="A1007" i="1"/>
  <c r="M729" i="1"/>
  <c r="A809" i="1"/>
  <c r="B874" i="1"/>
  <c r="P896" i="1"/>
  <c r="H731" i="1"/>
  <c r="A589" i="1"/>
  <c r="H768" i="1"/>
  <c r="E743" i="1"/>
  <c r="P933" i="1"/>
  <c r="J801" i="1"/>
  <c r="C858" i="1"/>
  <c r="E739" i="1"/>
  <c r="C777" i="1"/>
  <c r="J769" i="1"/>
  <c r="C730" i="1"/>
  <c r="E715" i="1"/>
  <c r="O655" i="1"/>
  <c r="M720" i="1"/>
  <c r="P941" i="1"/>
  <c r="E711" i="1"/>
  <c r="D711" i="1"/>
  <c r="P539" i="1"/>
  <c r="B512" i="1"/>
  <c r="I584" i="1"/>
  <c r="F909" i="1"/>
  <c r="G567" i="1"/>
  <c r="P526" i="1"/>
  <c r="G739" i="1"/>
  <c r="I608" i="1"/>
  <c r="C654" i="1"/>
  <c r="M649" i="1"/>
  <c r="E641" i="1"/>
  <c r="H417" i="1"/>
  <c r="E448" i="1"/>
  <c r="D304" i="1"/>
  <c r="P607" i="1"/>
  <c r="B618" i="1"/>
  <c r="E623" i="1"/>
  <c r="O618" i="1"/>
  <c r="G610" i="1"/>
  <c r="D281" i="1"/>
  <c r="C304" i="1"/>
  <c r="O480" i="1"/>
  <c r="J1254" i="1"/>
  <c r="B867" i="1"/>
  <c r="D774" i="1"/>
  <c r="D770" i="1"/>
  <c r="B899" i="1"/>
  <c r="F849" i="1"/>
  <c r="D749" i="1"/>
  <c r="H817" i="1"/>
  <c r="L707" i="1"/>
  <c r="O772" i="1"/>
  <c r="H813" i="1"/>
  <c r="C800" i="1"/>
  <c r="N790" i="1"/>
  <c r="M809" i="1"/>
  <c r="A849" i="1"/>
  <c r="L699" i="1"/>
  <c r="I1069" i="1"/>
  <c r="G838" i="1"/>
  <c r="J748" i="1"/>
  <c r="E833" i="1"/>
  <c r="F959" i="1"/>
  <c r="G802" i="1"/>
  <c r="J712" i="1"/>
  <c r="N328" i="1"/>
  <c r="B577" i="1"/>
  <c r="G851" i="1"/>
  <c r="G432" i="1"/>
  <c r="A946" i="1"/>
  <c r="O788" i="1"/>
  <c r="I751" i="1"/>
  <c r="B707" i="1"/>
  <c r="H993" i="1"/>
  <c r="I813" i="1"/>
  <c r="E727" i="1"/>
  <c r="P775" i="1"/>
  <c r="L702" i="1"/>
  <c r="A685" i="1"/>
  <c r="B648" i="1"/>
  <c r="J935" i="1"/>
  <c r="D861" i="1"/>
  <c r="F772" i="1"/>
  <c r="P825" i="1"/>
  <c r="N767" i="1"/>
  <c r="L579" i="1"/>
  <c r="K806" i="1"/>
  <c r="N677" i="1"/>
  <c r="F657" i="1"/>
  <c r="A575" i="1"/>
  <c r="K798" i="1"/>
  <c r="N673" i="1"/>
  <c r="F653" i="1"/>
  <c r="A571" i="1"/>
  <c r="K742" i="1"/>
  <c r="N665" i="1"/>
  <c r="F645" i="1"/>
  <c r="A563" i="1"/>
  <c r="K734" i="1"/>
  <c r="P759" i="1"/>
  <c r="P605" i="1"/>
  <c r="C737" i="1"/>
  <c r="P620" i="1"/>
  <c r="B972" i="1"/>
  <c r="E622" i="1"/>
  <c r="O601" i="1"/>
  <c r="A870" i="1"/>
  <c r="A569" i="1"/>
  <c r="J673" i="1"/>
  <c r="E531" i="1"/>
  <c r="O526" i="1"/>
  <c r="M688" i="1"/>
  <c r="O428" i="1"/>
  <c r="I451" i="1"/>
  <c r="B958" i="1"/>
  <c r="D818" i="1"/>
  <c r="G921" i="1"/>
  <c r="L916" i="1"/>
  <c r="C911" i="1"/>
  <c r="L995" i="1"/>
  <c r="I821" i="1"/>
  <c r="E697" i="1"/>
  <c r="J758" i="1"/>
  <c r="B672" i="1"/>
  <c r="E689" i="1"/>
  <c r="J917" i="1"/>
  <c r="F704" i="1"/>
  <c r="M989" i="1"/>
  <c r="P903" i="1"/>
  <c r="C860" i="1"/>
  <c r="N850" i="1"/>
  <c r="G845" i="1"/>
  <c r="A1188" i="1"/>
  <c r="L759" i="1"/>
  <c r="A874" i="1"/>
  <c r="N1071" i="1"/>
  <c r="A873" i="1"/>
  <c r="K811" i="1"/>
  <c r="E785" i="1"/>
  <c r="E693" i="1"/>
  <c r="A653" i="1"/>
  <c r="I871" i="1"/>
  <c r="E871" i="1"/>
  <c r="N509" i="1"/>
  <c r="O802" i="1"/>
  <c r="B842" i="1"/>
  <c r="E867" i="1"/>
  <c r="N505" i="1"/>
  <c r="O770" i="1"/>
  <c r="C779" i="1"/>
  <c r="E843" i="1"/>
  <c r="N497" i="1"/>
  <c r="O706" i="1"/>
  <c r="A871" i="1"/>
  <c r="E839" i="1"/>
  <c r="D839" i="1"/>
  <c r="I457" i="1"/>
  <c r="K853" i="1"/>
  <c r="I648" i="1"/>
  <c r="G789" i="1"/>
  <c r="J496" i="1"/>
  <c r="B476" i="1"/>
  <c r="I548" i="1"/>
  <c r="N685" i="1"/>
  <c r="I770" i="1"/>
  <c r="J753" i="1"/>
  <c r="N729" i="1"/>
  <c r="D464" i="1"/>
  <c r="N264" i="1"/>
  <c r="D368" i="1"/>
  <c r="G636" i="1"/>
  <c r="B682" i="1"/>
  <c r="A692" i="1"/>
  <c r="K683" i="1"/>
  <c r="G674" i="1"/>
  <c r="D345" i="1"/>
  <c r="H1061" i="1"/>
  <c r="D1072" i="1"/>
  <c r="D988" i="1"/>
  <c r="D956" i="1"/>
  <c r="J847" i="1"/>
  <c r="J811" i="1"/>
  <c r="C838" i="1"/>
  <c r="J856" i="1"/>
  <c r="D831" i="1"/>
  <c r="P928" i="1"/>
  <c r="J852" i="1"/>
  <c r="E781" i="1"/>
  <c r="O740" i="1"/>
  <c r="P713" i="1"/>
  <c r="K710" i="1"/>
  <c r="M823" i="1"/>
  <c r="A711" i="1"/>
  <c r="J718" i="1"/>
  <c r="K788" i="1"/>
  <c r="D723" i="1"/>
  <c r="D923" i="1"/>
  <c r="J682" i="1"/>
  <c r="K752" i="1"/>
  <c r="J771" i="1"/>
  <c r="A741" i="1"/>
  <c r="E650" i="1"/>
  <c r="O629" i="1"/>
  <c r="D817" i="1"/>
  <c r="G580" i="1"/>
  <c r="I559" i="1"/>
  <c r="H630" i="1"/>
  <c r="P811" i="1"/>
  <c r="G576" i="1"/>
  <c r="I555" i="1"/>
  <c r="H626" i="1"/>
  <c r="P779" i="1"/>
  <c r="G568" i="1"/>
  <c r="I547" i="1"/>
  <c r="H618" i="1"/>
  <c r="J774" i="1"/>
  <c r="B802" i="1"/>
  <c r="N625" i="1"/>
  <c r="F605" i="1"/>
  <c r="I1095" i="1"/>
  <c r="K748" i="1"/>
  <c r="D919" i="1"/>
  <c r="O807" i="1"/>
  <c r="J650" i="1"/>
  <c r="F545" i="1"/>
  <c r="M527" i="1"/>
  <c r="G517" i="1"/>
  <c r="I512" i="1"/>
  <c r="A686" i="1"/>
  <c r="B344" i="1"/>
  <c r="L523" i="1"/>
  <c r="L391" i="1"/>
  <c r="P536" i="1"/>
  <c r="I1041" i="1"/>
  <c r="L737" i="1"/>
  <c r="I823" i="1"/>
  <c r="I819" i="1"/>
  <c r="M798" i="1"/>
  <c r="M762" i="1"/>
  <c r="O985" i="1"/>
  <c r="L627" i="1"/>
  <c r="E909" i="1"/>
  <c r="L909" i="1"/>
  <c r="L623" i="1"/>
  <c r="L831" i="1"/>
  <c r="H665" i="1"/>
  <c r="P723" i="1"/>
  <c r="I883" i="1"/>
  <c r="K797" i="1"/>
  <c r="E1064" i="1"/>
  <c r="P869" i="1"/>
  <c r="D623" i="1"/>
  <c r="N736" i="1"/>
  <c r="E951" i="1"/>
  <c r="P833" i="1"/>
  <c r="P899" i="1"/>
  <c r="C866" i="1"/>
  <c r="H832" i="1"/>
  <c r="E747" i="1"/>
  <c r="N449" i="1"/>
  <c r="J868" i="1"/>
  <c r="E614" i="1"/>
  <c r="O593" i="1"/>
  <c r="A838" i="1"/>
  <c r="J864" i="1"/>
  <c r="E610" i="1"/>
  <c r="O589" i="1"/>
  <c r="A822" i="1"/>
  <c r="J836" i="1"/>
  <c r="E602" i="1"/>
  <c r="O581" i="1"/>
  <c r="A790" i="1"/>
  <c r="J832" i="1"/>
  <c r="I701" i="1"/>
  <c r="H738" i="1"/>
  <c r="O774" i="1"/>
  <c r="G557" i="1"/>
  <c r="A928" i="1"/>
  <c r="F698" i="1"/>
  <c r="N646" i="1"/>
  <c r="P680" i="1"/>
  <c r="G660" i="1"/>
  <c r="P688" i="1"/>
  <c r="A700" i="1"/>
  <c r="C691" i="1"/>
  <c r="G678" i="1"/>
  <c r="D349" i="1"/>
  <c r="C372" i="1"/>
  <c r="D482" i="1"/>
  <c r="J837" i="1"/>
  <c r="C480" i="1"/>
  <c r="J483" i="1"/>
  <c r="B479" i="1"/>
  <c r="L470" i="1"/>
  <c r="J444" i="1"/>
  <c r="K506" i="1"/>
  <c r="N291" i="1"/>
  <c r="D973" i="1"/>
  <c r="I1104" i="1"/>
  <c r="A1084" i="1"/>
  <c r="N1051" i="1"/>
  <c r="F752" i="1"/>
  <c r="P910" i="1"/>
  <c r="D938" i="1"/>
  <c r="A857" i="1"/>
  <c r="M831" i="1"/>
  <c r="L984" i="1"/>
  <c r="A853" i="1"/>
  <c r="K813" i="1"/>
  <c r="P1121" i="1"/>
  <c r="P873" i="1"/>
  <c r="D627" i="1"/>
  <c r="B742" i="1"/>
  <c r="A658" i="1"/>
  <c r="D801" i="1"/>
  <c r="J683" i="1"/>
  <c r="P608" i="1"/>
  <c r="P596" i="1"/>
  <c r="O742" i="1"/>
  <c r="L228" i="1"/>
  <c r="G885" i="1"/>
  <c r="M717" i="1"/>
  <c r="E919" i="1"/>
  <c r="I636" i="1"/>
  <c r="I624" i="1"/>
  <c r="K540" i="1"/>
  <c r="M426" i="1"/>
  <c r="L952" i="1"/>
  <c r="E806" i="1"/>
  <c r="G841" i="1"/>
  <c r="A858" i="1"/>
  <c r="F589" i="1"/>
  <c r="E658" i="1"/>
  <c r="J609" i="1"/>
  <c r="C1024" i="1"/>
  <c r="L803" i="1"/>
  <c r="B948" i="1"/>
  <c r="I829" i="1"/>
  <c r="M692" i="1"/>
  <c r="E766" i="1"/>
  <c r="M707" i="1"/>
  <c r="J554" i="1"/>
  <c r="L565" i="1"/>
  <c r="M294" i="1"/>
  <c r="P942" i="1"/>
  <c r="A927" i="1"/>
  <c r="E829" i="1"/>
  <c r="F1027" i="1"/>
  <c r="K718" i="1"/>
  <c r="P1081" i="1"/>
  <c r="K760" i="1"/>
  <c r="N813" i="1"/>
  <c r="L647" i="1"/>
  <c r="H712" i="1"/>
  <c r="P1086" i="1"/>
  <c r="A943" i="1"/>
  <c r="C811" i="1"/>
  <c r="N792" i="1"/>
  <c r="M847" i="1"/>
  <c r="K869" i="1"/>
  <c r="J763" i="1"/>
  <c r="N838" i="1"/>
  <c r="G516" i="1"/>
  <c r="B604" i="1"/>
  <c r="M861" i="1"/>
  <c r="N834" i="1"/>
  <c r="G512" i="1"/>
  <c r="D599" i="1"/>
  <c r="J1044" i="1"/>
  <c r="N810" i="1"/>
  <c r="G504" i="1"/>
  <c r="I854" i="1"/>
  <c r="G749" i="1"/>
  <c r="N806" i="1"/>
  <c r="G796" i="1"/>
  <c r="J468" i="1"/>
  <c r="K617" i="1"/>
  <c r="E952" i="1"/>
  <c r="F712" i="1"/>
  <c r="L572" i="1"/>
  <c r="K730" i="1"/>
  <c r="G762" i="1"/>
  <c r="J685" i="1"/>
  <c r="C590" i="1"/>
  <c r="M585" i="1"/>
  <c r="E577" i="1"/>
  <c r="F353" i="1"/>
  <c r="E383" i="1"/>
  <c r="A1005" i="1"/>
  <c r="A767" i="1"/>
  <c r="L761" i="1"/>
  <c r="L757" i="1"/>
  <c r="K858" i="1"/>
  <c r="A991" i="1"/>
  <c r="H1073" i="1"/>
  <c r="G776" i="1"/>
  <c r="E725" i="1"/>
  <c r="O889" i="1"/>
  <c r="G768" i="1"/>
  <c r="L735" i="1"/>
  <c r="C1104" i="1"/>
  <c r="C786" i="1"/>
  <c r="J859" i="1"/>
  <c r="H847" i="1"/>
  <c r="J798" i="1"/>
  <c r="M783" i="1"/>
  <c r="G484" i="1"/>
  <c r="G480" i="1"/>
  <c r="G472" i="1"/>
  <c r="L959" i="1"/>
  <c r="H954" i="1"/>
  <c r="H652" i="1"/>
  <c r="F321" i="1"/>
  <c r="E797" i="1"/>
  <c r="J587" i="1"/>
  <c r="B511" i="1"/>
  <c r="K435" i="1"/>
  <c r="I742" i="1"/>
  <c r="L223" i="1"/>
  <c r="A579" i="1"/>
  <c r="A616" i="1"/>
  <c r="K611" i="1"/>
  <c r="C603" i="1"/>
  <c r="J523" i="1"/>
  <c r="C477" i="1"/>
  <c r="F268" i="1"/>
  <c r="A427" i="1"/>
  <c r="I955" i="1"/>
  <c r="N858" i="1"/>
  <c r="K792" i="1"/>
  <c r="G733" i="1"/>
  <c r="K834" i="1"/>
  <c r="F533" i="1"/>
  <c r="D547" i="1"/>
  <c r="D539" i="1"/>
  <c r="N524" i="1"/>
  <c r="N839" i="1"/>
  <c r="H635" i="1"/>
  <c r="L526" i="1"/>
  <c r="K514" i="1"/>
  <c r="K508" i="1"/>
  <c r="J451" i="1"/>
  <c r="P794" i="1"/>
  <c r="P476" i="1"/>
  <c r="D300" i="1"/>
  <c r="J739" i="1"/>
  <c r="K578" i="1"/>
  <c r="B637" i="1"/>
  <c r="L632" i="1"/>
  <c r="D624" i="1"/>
  <c r="M271" i="1"/>
  <c r="L252" i="1"/>
  <c r="G689" i="1"/>
  <c r="E542" i="1"/>
  <c r="K542" i="1"/>
  <c r="B601" i="1"/>
  <c r="L596" i="1"/>
  <c r="D588" i="1"/>
  <c r="F433" i="1"/>
  <c r="A468" i="1"/>
  <c r="G450" i="1"/>
  <c r="N629" i="1"/>
  <c r="H834" i="1"/>
  <c r="O748" i="1"/>
  <c r="G708" i="1"/>
  <c r="N1085" i="1"/>
  <c r="N895" i="1"/>
  <c r="I733" i="1"/>
  <c r="H874" i="1"/>
  <c r="H810" i="1"/>
  <c r="O727" i="1"/>
  <c r="K850" i="1"/>
  <c r="E849" i="1"/>
  <c r="B819" i="1"/>
  <c r="D664" i="1"/>
  <c r="P542" i="1"/>
  <c r="J588" i="1"/>
  <c r="L668" i="1"/>
  <c r="B525" i="1"/>
  <c r="L256" i="1"/>
  <c r="N323" i="1"/>
  <c r="K580" i="1"/>
  <c r="D519" i="1"/>
  <c r="C518" i="1"/>
  <c r="M513" i="1"/>
  <c r="E505" i="1"/>
  <c r="O656" i="1"/>
  <c r="N472" i="1"/>
  <c r="E438" i="1"/>
  <c r="I889" i="1"/>
  <c r="C868" i="1"/>
  <c r="J848" i="1"/>
  <c r="O940" i="1"/>
  <c r="J867" i="1"/>
  <c r="H577" i="1"/>
  <c r="B725" i="1"/>
  <c r="M714" i="1"/>
  <c r="M698" i="1"/>
  <c r="B744" i="1"/>
  <c r="K884" i="1"/>
  <c r="E659" i="1"/>
  <c r="C340" i="1"/>
  <c r="G657" i="1"/>
  <c r="M451" i="1"/>
  <c r="E669" i="1"/>
  <c r="J632" i="1"/>
  <c r="M358" i="1"/>
  <c r="L807" i="1"/>
  <c r="H548" i="1"/>
  <c r="L681" i="1"/>
  <c r="D677" i="1"/>
  <c r="N668" i="1"/>
  <c r="F217" i="1"/>
  <c r="O444" i="1"/>
  <c r="K343" i="1"/>
  <c r="N800" i="1"/>
  <c r="E836" i="1"/>
  <c r="L645" i="1"/>
  <c r="D641" i="1"/>
  <c r="N632" i="1"/>
  <c r="K427" i="1"/>
  <c r="C992" i="1"/>
  <c r="L739" i="1"/>
  <c r="J784" i="1"/>
  <c r="G836" i="1"/>
  <c r="K758" i="1"/>
  <c r="G488" i="1"/>
  <c r="A639" i="1"/>
  <c r="A635" i="1"/>
  <c r="A627" i="1"/>
  <c r="N654" i="1"/>
  <c r="O665" i="1"/>
  <c r="E595" i="1"/>
  <c r="C276" i="1"/>
  <c r="L740" i="1"/>
  <c r="L527" i="1"/>
  <c r="E605" i="1"/>
  <c r="P786" i="1"/>
  <c r="M326" i="1"/>
  <c r="N966" i="1"/>
  <c r="B687" i="1"/>
  <c r="E753" i="1"/>
  <c r="N1030" i="1"/>
  <c r="B686" i="1"/>
  <c r="D972" i="1"/>
  <c r="G553" i="1"/>
  <c r="G995" i="1"/>
  <c r="B832" i="1"/>
  <c r="I892" i="1"/>
  <c r="P829" i="1"/>
  <c r="D807" i="1"/>
  <c r="D779" i="1"/>
  <c r="D828" i="1"/>
  <c r="D867" i="1"/>
  <c r="L935" i="1"/>
  <c r="J738" i="1"/>
  <c r="P823" i="1"/>
  <c r="P719" i="1"/>
  <c r="D836" i="1"/>
  <c r="O637" i="1"/>
  <c r="M519" i="1"/>
  <c r="M1166" i="1"/>
  <c r="H907" i="1"/>
  <c r="F1011" i="1"/>
  <c r="N1050" i="1"/>
  <c r="F870" i="1"/>
  <c r="E771" i="1"/>
  <c r="E756" i="1"/>
  <c r="O685" i="1"/>
  <c r="F461" i="1"/>
  <c r="P534" i="1"/>
  <c r="K877" i="1"/>
  <c r="M935" i="1"/>
  <c r="G818" i="1"/>
  <c r="N826" i="1"/>
  <c r="K828" i="1"/>
  <c r="E734" i="1"/>
  <c r="F1150" i="1"/>
  <c r="H792" i="1"/>
  <c r="D813" i="1"/>
  <c r="P958" i="1"/>
  <c r="C870" i="1"/>
  <c r="D765" i="1"/>
  <c r="N999" i="1"/>
  <c r="I765" i="1"/>
  <c r="G748" i="1"/>
  <c r="I766" i="1"/>
  <c r="B715" i="1"/>
  <c r="F1082" i="1"/>
  <c r="F705" i="1"/>
  <c r="B731" i="1"/>
  <c r="L671" i="1"/>
  <c r="F874" i="1"/>
  <c r="F689" i="1"/>
  <c r="F719" i="1"/>
  <c r="L639" i="1"/>
  <c r="F778" i="1"/>
  <c r="N670" i="1"/>
  <c r="H702" i="1"/>
  <c r="L635" i="1"/>
  <c r="O761" i="1"/>
  <c r="N866" i="1"/>
  <c r="P529" i="1"/>
  <c r="P621" i="1"/>
  <c r="P857" i="1"/>
  <c r="N847" i="1"/>
  <c r="C589" i="1"/>
  <c r="G649" i="1"/>
  <c r="N702" i="1"/>
  <c r="K650" i="1"/>
  <c r="C741" i="1"/>
  <c r="F729" i="1"/>
  <c r="B709" i="1"/>
  <c r="M343" i="1"/>
  <c r="L324" i="1"/>
  <c r="J1291" i="1"/>
  <c r="I1100" i="1"/>
  <c r="A931" i="1"/>
  <c r="I924" i="1"/>
  <c r="L963" i="1"/>
  <c r="A967" i="1"/>
  <c r="B1032" i="1"/>
  <c r="A793" i="1"/>
  <c r="M767" i="1"/>
  <c r="C834" i="1"/>
  <c r="A789" i="1"/>
  <c r="I710" i="1"/>
  <c r="E1015" i="1"/>
  <c r="I881" i="1"/>
  <c r="E809" i="1"/>
  <c r="I837" i="1"/>
  <c r="I801" i="1"/>
  <c r="I884" i="1"/>
  <c r="H659" i="1"/>
  <c r="H655" i="1"/>
  <c r="H647" i="1"/>
  <c r="K777" i="1"/>
  <c r="G620" i="1"/>
  <c r="C452" i="1"/>
  <c r="N709" i="1"/>
  <c r="J480" i="1"/>
  <c r="L653" i="1"/>
  <c r="J785" i="1"/>
  <c r="K471" i="1"/>
  <c r="K757" i="1"/>
  <c r="A444" i="1"/>
  <c r="K496" i="1"/>
  <c r="J583" i="1"/>
  <c r="B579" i="1"/>
  <c r="L570" i="1"/>
  <c r="G579" i="1"/>
  <c r="N352" i="1"/>
  <c r="D465" i="1"/>
  <c r="J406" i="1"/>
  <c r="G1038" i="1"/>
  <c r="G846" i="1"/>
  <c r="L731" i="1"/>
  <c r="C925" i="1"/>
  <c r="K950" i="1"/>
  <c r="H761" i="1"/>
  <c r="H733" i="1"/>
  <c r="H701" i="1"/>
  <c r="H697" i="1"/>
  <c r="J687" i="1"/>
  <c r="G681" i="1"/>
  <c r="L844" i="1"/>
  <c r="M330" i="1"/>
  <c r="K678" i="1"/>
  <c r="J612" i="1"/>
  <c r="A654" i="1"/>
  <c r="L536" i="1"/>
  <c r="F652" i="1"/>
  <c r="A665" i="1"/>
  <c r="L712" i="1"/>
  <c r="E555" i="1"/>
  <c r="O550" i="1"/>
  <c r="G542" i="1"/>
  <c r="M458" i="1"/>
  <c r="C236" i="1"/>
  <c r="F492" i="1"/>
  <c r="G643" i="1"/>
  <c r="J661" i="1"/>
  <c r="A710" i="1"/>
  <c r="K657" i="1"/>
  <c r="O595" i="1"/>
  <c r="O416" i="1"/>
  <c r="P435" i="1"/>
  <c r="M672" i="1"/>
  <c r="G671" i="1"/>
  <c r="J625" i="1"/>
  <c r="O712" i="1"/>
  <c r="M758" i="1"/>
  <c r="I888" i="1"/>
  <c r="C806" i="1"/>
  <c r="F876" i="1"/>
  <c r="O885" i="1"/>
  <c r="O863" i="1"/>
  <c r="O831" i="1"/>
  <c r="C812" i="1"/>
  <c r="L839" i="1"/>
  <c r="F802" i="1"/>
  <c r="B705" i="1"/>
  <c r="E286" i="1"/>
  <c r="K685" i="1"/>
  <c r="E511" i="1"/>
  <c r="D492" i="1"/>
  <c r="J379" i="1"/>
  <c r="J415" i="1"/>
  <c r="G645" i="1"/>
  <c r="H858" i="1"/>
  <c r="B821" i="1"/>
  <c r="M752" i="1"/>
  <c r="F759" i="1"/>
  <c r="A475" i="1"/>
  <c r="I508" i="1"/>
  <c r="L379" i="1"/>
  <c r="L805" i="1"/>
  <c r="P1034" i="1"/>
  <c r="B760" i="1"/>
  <c r="D705" i="1"/>
  <c r="E891" i="1"/>
  <c r="N807" i="1"/>
  <c r="D764" i="1"/>
  <c r="N739" i="1"/>
  <c r="N701" i="1"/>
  <c r="P626" i="1"/>
  <c r="N719" i="1"/>
  <c r="A684" i="1"/>
  <c r="A900" i="1"/>
  <c r="O702" i="1"/>
  <c r="C522" i="1"/>
  <c r="D628" i="1"/>
  <c r="A483" i="1"/>
  <c r="K443" i="1"/>
  <c r="N661" i="1"/>
  <c r="H866" i="1"/>
  <c r="I912" i="1"/>
  <c r="C869" i="1"/>
  <c r="G835" i="1"/>
  <c r="F405" i="1"/>
  <c r="G428" i="1"/>
  <c r="A678" i="1"/>
  <c r="K825" i="1"/>
  <c r="C733" i="1"/>
  <c r="D748" i="1"/>
  <c r="E736" i="1"/>
  <c r="E714" i="1"/>
  <c r="D369" i="1"/>
  <c r="E896" i="1"/>
  <c r="B875" i="1"/>
  <c r="G765" i="1"/>
  <c r="A912" i="1"/>
  <c r="M884" i="1"/>
  <c r="H663" i="1"/>
  <c r="B1152" i="1"/>
  <c r="E872" i="1"/>
  <c r="G831" i="1"/>
  <c r="A846" i="1"/>
  <c r="K636" i="1"/>
  <c r="K619" i="1"/>
  <c r="N567" i="1"/>
  <c r="G687" i="1"/>
  <c r="C458" i="1"/>
  <c r="D596" i="1"/>
  <c r="D497" i="1"/>
  <c r="I411" i="1"/>
  <c r="N533" i="1"/>
  <c r="O743" i="1"/>
  <c r="M760" i="1"/>
  <c r="N745" i="1"/>
  <c r="F723" i="1"/>
  <c r="D373" i="1"/>
  <c r="G396" i="1"/>
  <c r="B925" i="1"/>
  <c r="A775" i="1"/>
  <c r="J790" i="1"/>
  <c r="C696" i="1"/>
  <c r="H1002" i="1"/>
  <c r="P618" i="1"/>
  <c r="I540" i="1"/>
  <c r="I536" i="1"/>
  <c r="I528" i="1"/>
  <c r="K544" i="1"/>
  <c r="A497" i="1"/>
  <c r="B651" i="1"/>
  <c r="F515" i="1"/>
  <c r="H648" i="1"/>
  <c r="D521" i="1"/>
  <c r="B735" i="1"/>
  <c r="C907" i="1"/>
  <c r="K379" i="1"/>
  <c r="G628" i="1"/>
  <c r="B678" i="1"/>
  <c r="C684" i="1"/>
  <c r="O678" i="1"/>
  <c r="N672" i="1"/>
  <c r="D741" i="1"/>
  <c r="N1015" i="1"/>
  <c r="C817" i="1"/>
  <c r="L918" i="1"/>
  <c r="E598" i="1"/>
  <c r="N957" i="1"/>
  <c r="J719" i="1"/>
  <c r="O849" i="1"/>
  <c r="L819" i="1"/>
  <c r="I441" i="1"/>
  <c r="E741" i="1"/>
  <c r="D768" i="1"/>
  <c r="C745" i="1"/>
  <c r="L915" i="1"/>
  <c r="F674" i="1"/>
  <c r="M755" i="1"/>
  <c r="H759" i="1"/>
  <c r="L717" i="1"/>
  <c r="P556" i="1"/>
  <c r="E515" i="1"/>
  <c r="A836" i="1"/>
  <c r="I685" i="1"/>
  <c r="J812" i="1"/>
  <c r="M524" i="1"/>
  <c r="G541" i="1"/>
  <c r="N457" i="1"/>
  <c r="L625" i="1"/>
  <c r="A598" i="1"/>
  <c r="K473" i="1"/>
  <c r="B1006" i="1"/>
  <c r="L793" i="1"/>
  <c r="L947" i="1"/>
  <c r="J698" i="1"/>
  <c r="L1059" i="1"/>
  <c r="H839" i="1"/>
  <c r="O729" i="1"/>
  <c r="C732" i="1"/>
  <c r="J888" i="1"/>
  <c r="A781" i="1"/>
  <c r="L890" i="1"/>
  <c r="M889" i="1"/>
  <c r="A745" i="1"/>
  <c r="C738" i="1"/>
  <c r="J827" i="1"/>
  <c r="N842" i="1"/>
  <c r="G520" i="1"/>
  <c r="J704" i="1"/>
  <c r="E550" i="1"/>
  <c r="O529" i="1"/>
  <c r="A671" i="1"/>
  <c r="J700" i="1"/>
  <c r="E546" i="1"/>
  <c r="H1001" i="1"/>
  <c r="A667" i="1"/>
  <c r="P854" i="1"/>
  <c r="E538" i="1"/>
  <c r="F863" i="1"/>
  <c r="A659" i="1"/>
  <c r="P838" i="1"/>
  <c r="L840" i="1"/>
  <c r="O810" i="1"/>
  <c r="B773" i="1"/>
  <c r="J765" i="1"/>
  <c r="J754" i="1"/>
  <c r="B600" i="1"/>
  <c r="D724" i="1"/>
  <c r="P616" i="1"/>
  <c r="P631" i="1"/>
  <c r="B622" i="1"/>
  <c r="E627" i="1"/>
  <c r="O622" i="1"/>
  <c r="G614" i="1"/>
  <c r="D285" i="1"/>
  <c r="C308" i="1"/>
  <c r="M1190" i="1"/>
  <c r="L766" i="1"/>
  <c r="P929" i="1"/>
  <c r="D1106" i="1"/>
  <c r="H1113" i="1"/>
  <c r="O836" i="1"/>
  <c r="F1014" i="1"/>
  <c r="J696" i="1"/>
  <c r="G757" i="1"/>
  <c r="O801" i="1"/>
  <c r="J692" i="1"/>
  <c r="B790" i="1"/>
  <c r="C1039" i="1"/>
  <c r="K790" i="1"/>
  <c r="L861" i="1"/>
  <c r="A749" i="1"/>
  <c r="A713" i="1"/>
  <c r="P565" i="1"/>
  <c r="D750" i="1"/>
  <c r="P734" i="1"/>
  <c r="K709" i="1"/>
  <c r="G575" i="1"/>
  <c r="N517" i="1"/>
  <c r="C558" i="1"/>
  <c r="E351" i="1"/>
  <c r="A473" i="1"/>
  <c r="E559" i="1"/>
  <c r="L574" i="1"/>
  <c r="B340" i="1"/>
  <c r="F240" i="1"/>
  <c r="A801" i="1"/>
  <c r="H644" i="1"/>
  <c r="C550" i="1"/>
  <c r="M545" i="1"/>
  <c r="E537" i="1"/>
  <c r="F313" i="1"/>
  <c r="E343" i="1"/>
  <c r="J439" i="1"/>
  <c r="B722" i="1"/>
  <c r="F1015" i="1"/>
  <c r="K860" i="1"/>
  <c r="D727" i="1"/>
  <c r="J730" i="1"/>
  <c r="D793" i="1"/>
  <c r="H696" i="1"/>
  <c r="H688" i="1"/>
  <c r="F662" i="1"/>
  <c r="F658" i="1"/>
  <c r="H578" i="1"/>
  <c r="C652" i="1"/>
  <c r="N520" i="1"/>
  <c r="F889" i="1"/>
  <c r="J669" i="1"/>
  <c r="B551" i="1"/>
  <c r="I706" i="1"/>
  <c r="D443" i="1"/>
  <c r="M844" i="1"/>
  <c r="O673" i="1"/>
  <c r="M615" i="1"/>
  <c r="N490" i="1"/>
  <c r="F486" i="1"/>
  <c r="P477" i="1"/>
  <c r="F432" i="1"/>
  <c r="N611" i="1"/>
  <c r="P462" i="1"/>
  <c r="D881" i="1"/>
  <c r="M579" i="1"/>
  <c r="G667" i="1"/>
  <c r="O631" i="1"/>
  <c r="F588" i="1"/>
  <c r="F396" i="1"/>
  <c r="N574" i="1"/>
  <c r="O443" i="1"/>
  <c r="F609" i="1"/>
  <c r="M543" i="1"/>
  <c r="K838" i="1"/>
  <c r="M745" i="1"/>
  <c r="G806" i="1"/>
  <c r="G770" i="1"/>
  <c r="L853" i="1"/>
  <c r="N630" i="1"/>
  <c r="N622" i="1"/>
  <c r="N610" i="1"/>
  <c r="N802" i="1"/>
  <c r="H673" i="1"/>
  <c r="K618" i="1"/>
  <c r="M311" i="1"/>
  <c r="O795" i="1"/>
  <c r="M883" i="1"/>
  <c r="J572" i="1"/>
  <c r="M307" i="1"/>
  <c r="C677" i="1"/>
  <c r="A399" i="1"/>
  <c r="J634" i="1"/>
  <c r="A552" i="1"/>
  <c r="K547" i="1"/>
  <c r="C539" i="1"/>
  <c r="H523" i="1"/>
  <c r="L528" i="1"/>
  <c r="I454" i="1"/>
  <c r="C363" i="1"/>
  <c r="D926" i="1"/>
  <c r="N728" i="1"/>
  <c r="I702" i="1"/>
  <c r="N700" i="1"/>
  <c r="C802" i="1"/>
  <c r="J796" i="1"/>
  <c r="J772" i="1"/>
  <c r="J764" i="1"/>
  <c r="J740" i="1"/>
  <c r="J944" i="1"/>
  <c r="P648" i="1"/>
  <c r="O654" i="1"/>
  <c r="M266" i="1"/>
  <c r="K582" i="1"/>
  <c r="K615" i="1"/>
  <c r="D1027" i="1"/>
  <c r="N460" i="1"/>
  <c r="G514" i="1"/>
  <c r="I461" i="1"/>
  <c r="J633" i="1"/>
  <c r="H561" i="1"/>
  <c r="J552" i="1"/>
  <c r="L535" i="1"/>
  <c r="N388" i="1"/>
  <c r="P407" i="1"/>
  <c r="G555" i="1"/>
  <c r="C621" i="1"/>
  <c r="J597" i="1"/>
  <c r="M507" i="1"/>
  <c r="E503" i="1"/>
  <c r="O494" i="1"/>
  <c r="K352" i="1"/>
  <c r="A804" i="1"/>
  <c r="H845" i="1"/>
  <c r="G729" i="1"/>
  <c r="E894" i="1"/>
  <c r="P1005" i="1"/>
  <c r="D679" i="1"/>
  <c r="D675" i="1"/>
  <c r="D647" i="1"/>
  <c r="D643" i="1"/>
  <c r="H686" i="1"/>
  <c r="P584" i="1"/>
  <c r="O590" i="1"/>
  <c r="H400" i="1"/>
  <c r="K550" i="1"/>
  <c r="K583" i="1"/>
  <c r="P513" i="1"/>
  <c r="J420" i="1"/>
  <c r="J549" i="1"/>
  <c r="J472" i="1"/>
  <c r="J601" i="1"/>
  <c r="M511" i="1"/>
  <c r="E507" i="1"/>
  <c r="O498" i="1"/>
  <c r="K356" i="1"/>
  <c r="J375" i="1"/>
  <c r="I791" i="1"/>
  <c r="O948" i="1"/>
  <c r="N784" i="1"/>
  <c r="M691" i="1"/>
  <c r="M941" i="1"/>
  <c r="K812" i="1"/>
  <c r="K808" i="1"/>
  <c r="K780" i="1"/>
  <c r="K776" i="1"/>
  <c r="A758" i="1"/>
  <c r="A615" i="1"/>
  <c r="E451" i="1"/>
  <c r="D272" i="1"/>
  <c r="I754" i="1"/>
  <c r="K551" i="1"/>
  <c r="P481" i="1"/>
  <c r="N356" i="1"/>
  <c r="D474" i="1"/>
  <c r="K525" i="1"/>
  <c r="I874" i="1"/>
  <c r="M479" i="1"/>
  <c r="E475" i="1"/>
  <c r="E450" i="1"/>
  <c r="L619" i="1"/>
  <c r="F692" i="1"/>
  <c r="C689" i="1"/>
  <c r="N863" i="1"/>
  <c r="K554" i="1"/>
  <c r="M1043" i="1"/>
  <c r="C878" i="1"/>
  <c r="G816" i="1"/>
  <c r="F839" i="1"/>
  <c r="O603" i="1"/>
  <c r="A661" i="1"/>
  <c r="A528" i="1"/>
  <c r="L621" i="1"/>
  <c r="H852" i="1"/>
  <c r="F1085" i="1"/>
  <c r="P1219" i="1"/>
  <c r="N613" i="1"/>
  <c r="N601" i="1"/>
  <c r="J732" i="1"/>
  <c r="O506" i="1"/>
  <c r="A832" i="1"/>
  <c r="C864" i="1"/>
  <c r="N926" i="1"/>
  <c r="E916" i="1"/>
  <c r="H829" i="1"/>
  <c r="J1008" i="1"/>
  <c r="D621" i="1"/>
  <c r="K647" i="1"/>
  <c r="K264" i="1"/>
  <c r="F1103" i="1"/>
  <c r="O725" i="1"/>
  <c r="L971" i="1"/>
  <c r="G741" i="1"/>
  <c r="K906" i="1"/>
  <c r="L767" i="1"/>
  <c r="F1075" i="1"/>
  <c r="O988" i="1"/>
  <c r="J787" i="1"/>
  <c r="P981" i="1"/>
  <c r="F696" i="1"/>
  <c r="M873" i="1"/>
  <c r="E825" i="1"/>
  <c r="D964" i="1"/>
  <c r="L726" i="1"/>
  <c r="O714" i="1"/>
  <c r="E724" i="1"/>
  <c r="K740" i="1"/>
  <c r="K857" i="1"/>
  <c r="O775" i="1"/>
  <c r="J642" i="1"/>
  <c r="K716" i="1"/>
  <c r="K841" i="1"/>
  <c r="O759" i="1"/>
  <c r="J638" i="1"/>
  <c r="K708" i="1"/>
  <c r="K809" i="1"/>
  <c r="P736" i="1"/>
  <c r="J630" i="1"/>
  <c r="K684" i="1"/>
  <c r="J736" i="1"/>
  <c r="E562" i="1"/>
  <c r="O541" i="1"/>
  <c r="E683" i="1"/>
  <c r="B771" i="1"/>
  <c r="D688" i="1"/>
  <c r="F665" i="1"/>
  <c r="A583" i="1"/>
  <c r="I630" i="1"/>
  <c r="O693" i="1"/>
  <c r="C625" i="1"/>
  <c r="N596" i="1"/>
  <c r="L573" i="1"/>
  <c r="K268" i="1"/>
  <c r="A1183" i="1"/>
  <c r="E1117" i="1"/>
  <c r="C831" i="1"/>
  <c r="N909" i="1"/>
  <c r="M947" i="1"/>
  <c r="J1049" i="1"/>
  <c r="F917" i="1"/>
  <c r="M697" i="1"/>
  <c r="P839" i="1"/>
  <c r="D928" i="1"/>
  <c r="M689" i="1"/>
  <c r="J834" i="1"/>
  <c r="M763" i="1"/>
  <c r="K991" i="1"/>
  <c r="F708" i="1"/>
  <c r="H743" i="1"/>
  <c r="D894" i="1"/>
  <c r="B848" i="1"/>
  <c r="F799" i="1"/>
  <c r="C676" i="1"/>
  <c r="C672" i="1"/>
  <c r="C664" i="1"/>
  <c r="K715" i="1"/>
  <c r="I599" i="1"/>
  <c r="J455" i="1"/>
  <c r="E848" i="1"/>
  <c r="H622" i="1"/>
  <c r="J515" i="1"/>
  <c r="N640" i="1"/>
  <c r="L475" i="1"/>
  <c r="D332" i="1"/>
  <c r="O874" i="1"/>
  <c r="K610" i="1"/>
  <c r="B669" i="1"/>
  <c r="L664" i="1"/>
  <c r="D656" i="1"/>
  <c r="M303" i="1"/>
  <c r="L284" i="1"/>
  <c r="F620" i="1"/>
  <c r="E670" i="1"/>
  <c r="E1023" i="1"/>
  <c r="D795" i="1"/>
  <c r="G1100" i="1"/>
  <c r="I894" i="1"/>
  <c r="I797" i="1"/>
  <c r="B810" i="1"/>
  <c r="N724" i="1"/>
  <c r="H1082" i="1"/>
  <c r="N828" i="1"/>
  <c r="I923" i="1"/>
  <c r="P751" i="1"/>
  <c r="P810" i="1"/>
  <c r="G647" i="1"/>
  <c r="C448" i="1"/>
  <c r="L828" i="1"/>
  <c r="G462" i="1"/>
  <c r="L288" i="1"/>
  <c r="N355" i="1"/>
  <c r="K664" i="1"/>
  <c r="M576" i="1"/>
  <c r="H573" i="1"/>
  <c r="J564" i="1"/>
  <c r="L547" i="1"/>
  <c r="B697" i="1"/>
  <c r="N504" i="1"/>
  <c r="N223" i="1"/>
  <c r="K568" i="1"/>
  <c r="D515" i="1"/>
  <c r="C514" i="1"/>
  <c r="M509" i="1"/>
  <c r="E501" i="1"/>
  <c r="O624" i="1"/>
  <c r="N468" i="1"/>
  <c r="E434" i="1"/>
  <c r="F525" i="1"/>
  <c r="D479" i="1"/>
  <c r="P753" i="1"/>
  <c r="D1068" i="1"/>
  <c r="H805" i="1"/>
  <c r="H769" i="1"/>
  <c r="M748" i="1"/>
  <c r="A798" i="1"/>
  <c r="A782" i="1"/>
  <c r="N751" i="1"/>
  <c r="J699" i="1"/>
  <c r="F855" i="1"/>
  <c r="D1020" i="1"/>
  <c r="P484" i="1"/>
  <c r="O681" i="1"/>
  <c r="B673" i="1"/>
  <c r="C671" i="1"/>
  <c r="K360" i="1"/>
  <c r="F479" i="1"/>
  <c r="J378" i="1"/>
  <c r="F862" i="1"/>
  <c r="I866" i="1"/>
  <c r="M848" i="1"/>
  <c r="C813" i="1"/>
  <c r="D488" i="1"/>
  <c r="N288" i="1"/>
  <c r="H392" i="1"/>
  <c r="J342" i="1"/>
  <c r="P920" i="1"/>
  <c r="B915" i="1"/>
  <c r="D821" i="1"/>
  <c r="E719" i="1"/>
  <c r="G766" i="1"/>
  <c r="B1104" i="1"/>
  <c r="L1032" i="1"/>
  <c r="L882" i="1"/>
  <c r="M875" i="1"/>
  <c r="D571" i="1"/>
  <c r="K448" i="1"/>
  <c r="C675" i="1"/>
  <c r="H684" i="1"/>
  <c r="I762" i="1"/>
  <c r="M677" i="1"/>
  <c r="E509" i="1"/>
  <c r="E347" i="1"/>
  <c r="E480" i="1"/>
  <c r="F641" i="1"/>
  <c r="M551" i="1"/>
  <c r="O555" i="1"/>
  <c r="A546" i="1"/>
  <c r="C529" i="1"/>
  <c r="B368" i="1"/>
  <c r="H505" i="1"/>
  <c r="L415" i="1"/>
  <c r="J747" i="1"/>
  <c r="M664" i="1"/>
  <c r="E700" i="1"/>
  <c r="E656" i="1"/>
  <c r="G595" i="1"/>
  <c r="B332" i="1"/>
  <c r="A800" i="1"/>
  <c r="C832" i="1"/>
  <c r="P735" i="1"/>
  <c r="J879" i="1"/>
  <c r="G702" i="1"/>
  <c r="M779" i="1"/>
  <c r="M775" i="1"/>
  <c r="M751" i="1"/>
  <c r="M747" i="1"/>
  <c r="K484" i="1"/>
  <c r="D902" i="1"/>
  <c r="C611" i="1"/>
  <c r="N566" i="1"/>
  <c r="M651" i="1"/>
  <c r="M613" i="1"/>
  <c r="M712" i="1"/>
  <c r="E315" i="1"/>
  <c r="G615" i="1"/>
  <c r="O839" i="1"/>
  <c r="K717" i="1"/>
  <c r="G807" i="1"/>
  <c r="C693" i="1"/>
  <c r="M620" i="1"/>
  <c r="B336" i="1"/>
  <c r="B594" i="1"/>
  <c r="I787" i="1"/>
  <c r="L799" i="1"/>
  <c r="E787" i="1"/>
  <c r="N686" i="1"/>
  <c r="P733" i="1"/>
  <c r="B791" i="1"/>
  <c r="B759" i="1"/>
  <c r="G812" i="1"/>
  <c r="G804" i="1"/>
  <c r="D860" i="1"/>
  <c r="G767" i="1"/>
  <c r="L642" i="1"/>
  <c r="J578" i="1"/>
  <c r="M619" i="1"/>
  <c r="M549" i="1"/>
  <c r="F508" i="1"/>
  <c r="E283" i="1"/>
  <c r="P498" i="1"/>
  <c r="I607" i="1"/>
  <c r="F554" i="1"/>
  <c r="D560" i="1"/>
  <c r="F551" i="1"/>
  <c r="F1217" i="1"/>
  <c r="M887" i="1"/>
  <c r="L564" i="1"/>
  <c r="P604" i="1"/>
  <c r="E600" i="1"/>
  <c r="B613" i="1"/>
  <c r="M1031" i="1"/>
  <c r="K700" i="1"/>
  <c r="C792" i="1"/>
  <c r="N755" i="1"/>
  <c r="I632" i="1"/>
  <c r="K640" i="1"/>
  <c r="J903" i="1"/>
  <c r="D617" i="1"/>
  <c r="H816" i="1"/>
  <c r="G746" i="1"/>
  <c r="J1009" i="1"/>
  <c r="F593" i="1"/>
  <c r="F581" i="1"/>
  <c r="E558" i="1"/>
  <c r="K364" i="1"/>
  <c r="B919" i="1"/>
  <c r="N854" i="1"/>
  <c r="E1119" i="1"/>
  <c r="M708" i="1"/>
  <c r="E883" i="1"/>
  <c r="M777" i="1"/>
  <c r="N612" i="1"/>
  <c r="B615" i="1"/>
  <c r="C513" i="1"/>
  <c r="A1037" i="1"/>
  <c r="C1061" i="1"/>
  <c r="F1062" i="1"/>
  <c r="K726" i="1"/>
  <c r="K818" i="1"/>
  <c r="M795" i="1"/>
  <c r="J690" i="1"/>
  <c r="D695" i="1"/>
  <c r="F1002" i="1"/>
  <c r="L701" i="1"/>
  <c r="E687" i="1"/>
  <c r="L841" i="1"/>
  <c r="J937" i="1"/>
  <c r="E897" i="1"/>
  <c r="J708" i="1"/>
  <c r="E554" i="1"/>
  <c r="O533" i="1"/>
  <c r="C848" i="1"/>
  <c r="G747" i="1"/>
  <c r="L698" i="1"/>
  <c r="O739" i="1"/>
  <c r="C844" i="1"/>
  <c r="M736" i="1"/>
  <c r="L690" i="1"/>
  <c r="C729" i="1"/>
  <c r="C820" i="1"/>
  <c r="J715" i="1"/>
  <c r="H679" i="1"/>
  <c r="M710" i="1"/>
  <c r="C816" i="1"/>
  <c r="K772" i="1"/>
  <c r="N529" i="1"/>
  <c r="O823" i="1"/>
  <c r="J654" i="1"/>
  <c r="P895" i="1"/>
  <c r="G652" i="1"/>
  <c r="I631" i="1"/>
  <c r="D722" i="1"/>
  <c r="H611" i="1"/>
  <c r="C484" i="1"/>
  <c r="J487" i="1"/>
  <c r="B483" i="1"/>
  <c r="L474" i="1"/>
  <c r="A450" i="1"/>
  <c r="C1032" i="1"/>
  <c r="H1179" i="1"/>
  <c r="C1099" i="1"/>
  <c r="C933" i="1"/>
  <c r="B1012" i="1"/>
  <c r="A983" i="1"/>
  <c r="G758" i="1"/>
  <c r="G786" i="1"/>
  <c r="K704" i="1"/>
  <c r="N762" i="1"/>
  <c r="G782" i="1"/>
  <c r="K796" i="1"/>
  <c r="D731" i="1"/>
  <c r="B956" i="1"/>
  <c r="B847" i="1"/>
  <c r="C700" i="1"/>
  <c r="F666" i="1"/>
  <c r="F1043" i="1"/>
  <c r="D877" i="1"/>
  <c r="H831" i="1"/>
  <c r="D745" i="1"/>
  <c r="H707" i="1"/>
  <c r="I534" i="1"/>
  <c r="O866" i="1"/>
  <c r="M553" i="1"/>
  <c r="F276" i="1"/>
  <c r="E868" i="1"/>
  <c r="B853" i="1"/>
  <c r="G546" i="1"/>
  <c r="A626" i="1"/>
  <c r="P754" i="1"/>
  <c r="F619" i="1"/>
  <c r="D816" i="1"/>
  <c r="E587" i="1"/>
  <c r="O582" i="1"/>
  <c r="G574" i="1"/>
  <c r="D245" i="1"/>
  <c r="C268" i="1"/>
  <c r="H547" i="1"/>
  <c r="A641" i="1"/>
  <c r="E987" i="1"/>
  <c r="A743" i="1"/>
  <c r="H856" i="1"/>
  <c r="H780" i="1"/>
  <c r="K836" i="1"/>
  <c r="F635" i="1"/>
  <c r="F631" i="1"/>
  <c r="F623" i="1"/>
  <c r="D693" i="1"/>
  <c r="C744" i="1"/>
  <c r="K649" i="1"/>
  <c r="F512" i="1"/>
  <c r="E318" i="1"/>
  <c r="B620" i="1"/>
  <c r="E784" i="1"/>
  <c r="F524" i="1"/>
  <c r="E445" i="1"/>
  <c r="O448" i="1"/>
  <c r="G878" i="1"/>
  <c r="F826" i="1"/>
  <c r="F790" i="1"/>
  <c r="F734" i="1"/>
  <c r="O596" i="1"/>
  <c r="D551" i="1"/>
  <c r="F475" i="1"/>
  <c r="J411" i="1"/>
  <c r="G633" i="1"/>
  <c r="H826" i="1"/>
  <c r="B789" i="1"/>
  <c r="G731" i="1"/>
  <c r="D684" i="1"/>
  <c r="A467" i="1"/>
  <c r="I476" i="1"/>
  <c r="L375" i="1"/>
  <c r="G537" i="1"/>
  <c r="B897" i="1"/>
  <c r="B767" i="1"/>
  <c r="A817" i="1"/>
  <c r="J716" i="1"/>
  <c r="F905" i="1"/>
  <c r="G559" i="1"/>
  <c r="P672" i="1"/>
  <c r="P668" i="1"/>
  <c r="P660" i="1"/>
  <c r="G496" i="1"/>
  <c r="B888" i="1"/>
  <c r="B677" i="1"/>
  <c r="L292" i="1"/>
  <c r="P609" i="1"/>
  <c r="M515" i="1"/>
  <c r="C829" i="1"/>
  <c r="B276" i="1"/>
  <c r="M390" i="1"/>
  <c r="M693" i="1"/>
  <c r="H580" i="1"/>
  <c r="F753" i="1"/>
  <c r="J741" i="1"/>
  <c r="N717" i="1"/>
  <c r="F249" i="1"/>
  <c r="E279" i="1"/>
  <c r="K375" i="1"/>
  <c r="L743" i="1"/>
  <c r="B886" i="1"/>
  <c r="E855" i="1"/>
  <c r="E983" i="1"/>
  <c r="H1106" i="1"/>
  <c r="G902" i="1"/>
  <c r="E582" i="1"/>
  <c r="E578" i="1"/>
  <c r="E570" i="1"/>
  <c r="H797" i="1"/>
  <c r="G728" i="1"/>
  <c r="G532" i="1"/>
  <c r="G646" i="1"/>
  <c r="P502" i="1"/>
  <c r="D523" i="1"/>
  <c r="L636" i="1"/>
  <c r="B536" i="1"/>
  <c r="L224" i="1"/>
  <c r="N259" i="1"/>
  <c r="B564" i="1"/>
  <c r="D487" i="1"/>
  <c r="C486" i="1"/>
  <c r="M481" i="1"/>
  <c r="E473" i="1"/>
  <c r="F628" i="1"/>
  <c r="P581" i="1"/>
  <c r="E406" i="1"/>
  <c r="A449" i="1"/>
  <c r="I642" i="1"/>
  <c r="E832" i="1"/>
  <c r="C721" i="1"/>
  <c r="K637" i="1"/>
  <c r="I661" i="1"/>
  <c r="L885" i="1"/>
  <c r="N822" i="1"/>
  <c r="I872" i="1"/>
  <c r="L778" i="1"/>
  <c r="M713" i="1"/>
  <c r="B865" i="1"/>
  <c r="B849" i="1"/>
  <c r="B817" i="1"/>
  <c r="B1073" i="1"/>
  <c r="A865" i="1"/>
  <c r="F651" i="1"/>
  <c r="G582" i="1"/>
  <c r="G469" i="1"/>
  <c r="D734" i="1"/>
  <c r="L604" i="1"/>
  <c r="I467" i="1"/>
  <c r="E1063" i="1"/>
  <c r="B694" i="1"/>
  <c r="B714" i="1"/>
  <c r="D1004" i="1"/>
  <c r="G653" i="1"/>
  <c r="L608" i="1"/>
  <c r="K888" i="1"/>
  <c r="G725" i="1"/>
  <c r="N782" i="1"/>
  <c r="D811" i="1"/>
  <c r="D783" i="1"/>
  <c r="K722" i="1"/>
  <c r="L852" i="1"/>
  <c r="N608" i="1"/>
  <c r="L777" i="1"/>
  <c r="P790" i="1"/>
  <c r="H775" i="1"/>
  <c r="D852" i="1"/>
  <c r="D804" i="1"/>
  <c r="O537" i="1"/>
  <c r="J383" i="1"/>
  <c r="E1253" i="1"/>
  <c r="G877" i="1"/>
  <c r="G866" i="1"/>
  <c r="F1018" i="1"/>
  <c r="F806" i="1"/>
  <c r="N798" i="1"/>
  <c r="K407" i="1"/>
  <c r="B586" i="1"/>
  <c r="I388" i="1"/>
  <c r="F1234" i="1"/>
  <c r="L789" i="1"/>
  <c r="G790" i="1"/>
  <c r="K768" i="1"/>
  <c r="G814" i="1"/>
  <c r="D763" i="1"/>
  <c r="B1068" i="1"/>
  <c r="J778" i="1"/>
  <c r="P805" i="1"/>
  <c r="E845" i="1"/>
  <c r="N783" i="1"/>
  <c r="P769" i="1"/>
  <c r="M765" i="1"/>
  <c r="J750" i="1"/>
  <c r="K744" i="1"/>
  <c r="K873" i="1"/>
  <c r="O791" i="1"/>
  <c r="F626" i="1"/>
  <c r="F603" i="1"/>
  <c r="P582" i="1"/>
  <c r="K504" i="1"/>
  <c r="F622" i="1"/>
  <c r="F599" i="1"/>
  <c r="P578" i="1"/>
  <c r="K500" i="1"/>
  <c r="L1055" i="1"/>
  <c r="F591" i="1"/>
  <c r="B879" i="1"/>
  <c r="K492" i="1"/>
  <c r="E881" i="1"/>
  <c r="G876" i="1"/>
  <c r="J793" i="1"/>
  <c r="P724" i="1"/>
  <c r="E780" i="1"/>
  <c r="L1039" i="1"/>
  <c r="P623" i="1"/>
  <c r="H603" i="1"/>
  <c r="C620" i="1"/>
  <c r="D962" i="1"/>
  <c r="G852" i="1"/>
  <c r="K770" i="1"/>
  <c r="P863" i="1"/>
  <c r="G863" i="1"/>
  <c r="P570" i="1"/>
  <c r="L892" i="1"/>
  <c r="F923" i="1"/>
  <c r="P1044" i="1"/>
  <c r="P1012" i="1"/>
  <c r="B1136" i="1"/>
  <c r="C986" i="1"/>
  <c r="D825" i="1"/>
  <c r="P907" i="1"/>
  <c r="M733" i="1"/>
  <c r="O842" i="1"/>
  <c r="P1030" i="1"/>
  <c r="B764" i="1"/>
  <c r="H827" i="1"/>
  <c r="A922" i="1"/>
  <c r="K782" i="1"/>
  <c r="M695" i="1"/>
  <c r="E821" i="1"/>
  <c r="G781" i="1"/>
  <c r="C784" i="1"/>
  <c r="C780" i="1"/>
  <c r="C756" i="1"/>
  <c r="C752" i="1"/>
  <c r="J622" i="1"/>
  <c r="H670" i="1"/>
  <c r="B451" i="1"/>
  <c r="K383" i="1"/>
  <c r="B721" i="1"/>
  <c r="B583" i="1"/>
  <c r="L502" i="1"/>
  <c r="N228" i="1"/>
  <c r="F496" i="1"/>
  <c r="B805" i="1"/>
  <c r="M647" i="1"/>
  <c r="N522" i="1"/>
  <c r="F518" i="1"/>
  <c r="P509" i="1"/>
  <c r="K228" i="1"/>
  <c r="F779" i="1"/>
  <c r="P494" i="1"/>
  <c r="O649" i="1"/>
  <c r="C903" i="1"/>
  <c r="B815" i="1"/>
  <c r="G870" i="1"/>
  <c r="G834" i="1"/>
  <c r="B823" i="1"/>
  <c r="B696" i="1"/>
  <c r="G1204" i="1"/>
  <c r="B837" i="1"/>
  <c r="E707" i="1"/>
  <c r="N734" i="1"/>
  <c r="M682" i="1"/>
  <c r="M375" i="1"/>
  <c r="P691" i="1"/>
  <c r="J555" i="1"/>
  <c r="B447" i="1"/>
  <c r="M371" i="1"/>
  <c r="H500" i="1"/>
  <c r="A431" i="1"/>
  <c r="D788" i="1"/>
  <c r="A584" i="1"/>
  <c r="K579" i="1"/>
  <c r="C571" i="1"/>
  <c r="I459" i="1"/>
  <c r="F598" i="1"/>
  <c r="F236" i="1"/>
  <c r="A395" i="1"/>
  <c r="J626" i="1"/>
  <c r="A548" i="1"/>
  <c r="K543" i="1"/>
  <c r="C535" i="1"/>
  <c r="L517" i="1"/>
  <c r="O523" i="1"/>
  <c r="I447" i="1"/>
  <c r="C359" i="1"/>
  <c r="H678" i="1"/>
  <c r="N940" i="1"/>
  <c r="A794" i="1"/>
  <c r="K728" i="1"/>
  <c r="M773" i="1"/>
  <c r="M701" i="1"/>
  <c r="K699" i="1"/>
  <c r="K472" i="1"/>
  <c r="K468" i="1"/>
  <c r="K460" i="1"/>
  <c r="H671" i="1"/>
  <c r="N771" i="1"/>
  <c r="M906" i="1"/>
  <c r="I846" i="1"/>
  <c r="E632" i="1"/>
  <c r="G583" i="1"/>
  <c r="D660" i="1"/>
  <c r="D567" i="1"/>
  <c r="D268" i="1"/>
  <c r="E566" i="1"/>
  <c r="K546" i="1"/>
  <c r="B605" i="1"/>
  <c r="L600" i="1"/>
  <c r="D592" i="1"/>
  <c r="F437" i="1"/>
  <c r="A500" i="1"/>
  <c r="G482" i="1"/>
  <c r="N637" i="1"/>
  <c r="P880" i="1"/>
  <c r="E798" i="1"/>
  <c r="F724" i="1"/>
  <c r="P1074" i="1"/>
  <c r="H962" i="1"/>
  <c r="A553" i="1"/>
  <c r="A549" i="1"/>
  <c r="A541" i="1"/>
  <c r="F771" i="1"/>
  <c r="D994" i="1"/>
  <c r="P548" i="1"/>
  <c r="N539" i="1"/>
  <c r="B456" i="1"/>
  <c r="A620" i="1"/>
  <c r="E447" i="1"/>
  <c r="C446" i="1"/>
  <c r="O878" i="1"/>
  <c r="L383" i="1"/>
  <c r="G561" i="1"/>
  <c r="B676" i="1"/>
  <c r="N666" i="1"/>
  <c r="P649" i="1"/>
  <c r="I633" i="1"/>
  <c r="N552" i="1"/>
  <c r="B428" i="1"/>
  <c r="L347" i="1"/>
  <c r="H694" i="1"/>
  <c r="B608" i="1"/>
  <c r="N602" i="1"/>
  <c r="C865" i="1"/>
  <c r="N556" i="1"/>
  <c r="D489" i="1"/>
  <c r="C880" i="1"/>
  <c r="P864" i="1"/>
  <c r="M901" i="1"/>
  <c r="M949" i="1"/>
  <c r="C788" i="1"/>
  <c r="P557" i="1"/>
  <c r="P549" i="1"/>
  <c r="P533" i="1"/>
  <c r="K861" i="1"/>
  <c r="E733" i="1"/>
  <c r="A599" i="1"/>
  <c r="B552" i="1"/>
  <c r="P387" i="1"/>
  <c r="A588" i="1"/>
  <c r="F522" i="1"/>
  <c r="F381" i="1"/>
  <c r="M590" i="1"/>
  <c r="L351" i="1"/>
  <c r="A764" i="1"/>
  <c r="H625" i="1"/>
  <c r="I838" i="1"/>
  <c r="N753" i="1"/>
  <c r="I697" i="1"/>
  <c r="D600" i="1"/>
  <c r="L846" i="1"/>
  <c r="C826" i="1"/>
  <c r="O773" i="1"/>
  <c r="I445" i="1"/>
  <c r="P744" i="1"/>
  <c r="N684" i="1"/>
  <c r="L493" i="1"/>
  <c r="K403" i="1"/>
  <c r="P743" i="1"/>
  <c r="P871" i="1"/>
  <c r="P1042" i="1"/>
  <c r="H727" i="1"/>
  <c r="L693" i="1"/>
  <c r="A679" i="1"/>
  <c r="E516" i="1"/>
  <c r="E865" i="1"/>
  <c r="B941" i="1"/>
  <c r="J776" i="1"/>
  <c r="G545" i="1"/>
  <c r="G533" i="1"/>
  <c r="G492" i="1"/>
  <c r="O388" i="1"/>
  <c r="C639" i="1"/>
  <c r="D558" i="1"/>
  <c r="D1120" i="1"/>
  <c r="M987" i="1"/>
  <c r="H789" i="1"/>
  <c r="C836" i="1"/>
  <c r="J694" i="1"/>
  <c r="E823" i="1"/>
  <c r="G696" i="1"/>
  <c r="N722" i="1"/>
  <c r="E737" i="1"/>
  <c r="H994" i="1"/>
  <c r="O746" i="1"/>
  <c r="N934" i="1"/>
  <c r="M956" i="1"/>
  <c r="G734" i="1"/>
  <c r="C852" i="1"/>
  <c r="J761" i="1"/>
  <c r="L706" i="1"/>
  <c r="M843" i="1"/>
  <c r="A746" i="1"/>
  <c r="K581" i="1"/>
  <c r="J652" i="1"/>
  <c r="M839" i="1"/>
  <c r="G675" i="1"/>
  <c r="B572" i="1"/>
  <c r="J644" i="1"/>
  <c r="M815" i="1"/>
  <c r="G611" i="1"/>
  <c r="B556" i="1"/>
  <c r="J628" i="1"/>
  <c r="M811" i="1"/>
  <c r="F654" i="1"/>
  <c r="F615" i="1"/>
  <c r="P594" i="1"/>
  <c r="K516" i="1"/>
  <c r="B763" i="1"/>
  <c r="I696" i="1"/>
  <c r="K668" i="1"/>
  <c r="L589" i="1"/>
  <c r="M690" i="1"/>
  <c r="A656" i="1"/>
  <c r="K651" i="1"/>
  <c r="C643" i="1"/>
  <c r="F469" i="1"/>
  <c r="C517" i="1"/>
  <c r="I950" i="1"/>
  <c r="N890" i="1"/>
  <c r="N922" i="1"/>
  <c r="H904" i="1"/>
  <c r="N853" i="1"/>
  <c r="N817" i="1"/>
  <c r="H757" i="1"/>
  <c r="M886" i="1"/>
  <c r="C772" i="1"/>
  <c r="C1080" i="1"/>
  <c r="K879" i="1"/>
  <c r="P795" i="1"/>
  <c r="E791" i="1"/>
  <c r="O1097" i="1"/>
  <c r="M827" i="1"/>
  <c r="N690" i="1"/>
  <c r="F730" i="1"/>
  <c r="B750" i="1"/>
  <c r="N774" i="1"/>
  <c r="N770" i="1"/>
  <c r="N746" i="1"/>
  <c r="N742" i="1"/>
  <c r="I895" i="1"/>
  <c r="F840" i="1"/>
  <c r="E545" i="1"/>
  <c r="F468" i="1"/>
  <c r="C512" i="1"/>
  <c r="D649" i="1"/>
  <c r="B931" i="1"/>
  <c r="L352" i="1"/>
  <c r="J387" i="1"/>
  <c r="P598" i="1"/>
  <c r="C444" i="1"/>
  <c r="J447" i="1"/>
  <c r="O819" i="1"/>
  <c r="I666" i="1"/>
  <c r="E840" i="1"/>
  <c r="E616" i="1"/>
  <c r="N255" i="1"/>
  <c r="K652" i="1"/>
  <c r="G850" i="1"/>
  <c r="H723" i="1"/>
  <c r="H869" i="1"/>
  <c r="H833" i="1"/>
  <c r="N553" i="1"/>
  <c r="P614" i="1"/>
  <c r="P610" i="1"/>
  <c r="P602" i="1"/>
  <c r="G528" i="1"/>
  <c r="P655" i="1"/>
  <c r="O513" i="1"/>
  <c r="L491" i="1"/>
  <c r="B869" i="1"/>
  <c r="H846" i="1"/>
  <c r="P601" i="1"/>
  <c r="O424" i="1"/>
  <c r="F511" i="1"/>
  <c r="J410" i="1"/>
  <c r="P577" i="1"/>
  <c r="J551" i="1"/>
  <c r="B547" i="1"/>
  <c r="L538" i="1"/>
  <c r="D520" i="1"/>
  <c r="N320" i="1"/>
  <c r="H424" i="1"/>
  <c r="J374" i="1"/>
  <c r="F766" i="1"/>
  <c r="I850" i="1"/>
  <c r="M832" i="1"/>
  <c r="C797" i="1"/>
  <c r="D484" i="1"/>
  <c r="N284" i="1"/>
  <c r="G388" i="1"/>
  <c r="J338" i="1"/>
  <c r="L603" i="1"/>
  <c r="D1056" i="1"/>
  <c r="P749" i="1"/>
  <c r="F835" i="1"/>
  <c r="E765" i="1"/>
  <c r="E838" i="1"/>
  <c r="G805" i="1"/>
  <c r="B775" i="1"/>
  <c r="G800" i="1"/>
  <c r="G792" i="1"/>
  <c r="O811" i="1"/>
  <c r="G617" i="1"/>
  <c r="L672" i="1"/>
  <c r="M298" i="1"/>
  <c r="K614" i="1"/>
  <c r="K679" i="1"/>
  <c r="O502" i="1"/>
  <c r="N467" i="1"/>
  <c r="K769" i="1"/>
  <c r="A537" i="1"/>
  <c r="J665" i="1"/>
  <c r="I798" i="1"/>
  <c r="O695" i="1"/>
  <c r="A622" i="1"/>
  <c r="O420" i="1"/>
  <c r="I440" i="1"/>
  <c r="J729" i="1"/>
  <c r="O867" i="1"/>
  <c r="J899" i="1"/>
  <c r="H691" i="1"/>
  <c r="P837" i="1"/>
  <c r="P801" i="1"/>
  <c r="J1092" i="1"/>
  <c r="O561" i="1"/>
  <c r="O557" i="1"/>
  <c r="O549" i="1"/>
  <c r="K810" i="1"/>
  <c r="B680" i="1"/>
  <c r="B654" i="1"/>
  <c r="D317" i="1"/>
  <c r="E574" i="1"/>
  <c r="C682" i="1"/>
  <c r="M517" i="1"/>
  <c r="M275" i="1"/>
  <c r="E680" i="1"/>
  <c r="C367" i="1"/>
  <c r="J713" i="1"/>
  <c r="D872" i="1"/>
  <c r="H854" i="1"/>
  <c r="L820" i="1"/>
  <c r="L485" i="1"/>
  <c r="N495" i="1"/>
  <c r="M418" i="1"/>
  <c r="C331" i="1"/>
  <c r="H602" i="1"/>
  <c r="D738" i="1"/>
  <c r="H726" i="1"/>
  <c r="P706" i="1"/>
  <c r="G619" i="1"/>
  <c r="N459" i="1"/>
  <c r="F893" i="1"/>
  <c r="G874" i="1"/>
  <c r="P773" i="1"/>
  <c r="P737" i="1"/>
  <c r="N778" i="1"/>
  <c r="F783" i="1"/>
  <c r="F767" i="1"/>
  <c r="N741" i="1"/>
  <c r="F714" i="1"/>
  <c r="K701" i="1"/>
  <c r="D848" i="1"/>
  <c r="D253" i="1"/>
  <c r="N541" i="1"/>
  <c r="C618" i="1"/>
  <c r="M453" i="1"/>
  <c r="C441" i="1"/>
  <c r="L509" i="1"/>
  <c r="C335" i="1"/>
  <c r="H614" i="1"/>
  <c r="P748" i="1"/>
  <c r="B737" i="1"/>
  <c r="P714" i="1"/>
  <c r="G651" i="1"/>
  <c r="N463" i="1"/>
  <c r="J386" i="1"/>
  <c r="O1045" i="1"/>
  <c r="D1075" i="1"/>
  <c r="E801" i="1"/>
  <c r="E729" i="1"/>
  <c r="D853" i="1"/>
  <c r="F529" i="1"/>
  <c r="O901" i="1"/>
  <c r="O855" i="1"/>
  <c r="E594" i="1"/>
  <c r="B769" i="1"/>
  <c r="I778" i="1"/>
  <c r="K300" i="1"/>
  <c r="F627" i="1"/>
  <c r="C554" i="1"/>
  <c r="N516" i="1"/>
  <c r="D377" i="1"/>
  <c r="N476" i="1"/>
  <c r="C303" i="1"/>
  <c r="I718" i="1"/>
  <c r="J679" i="1"/>
  <c r="B675" i="1"/>
  <c r="L666" i="1"/>
  <c r="L976" i="1"/>
  <c r="G706" i="1"/>
  <c r="O699" i="1"/>
  <c r="O677" i="1"/>
  <c r="N727" i="1"/>
  <c r="G445" i="1"/>
  <c r="P757" i="1"/>
  <c r="H777" i="1"/>
  <c r="G744" i="1"/>
  <c r="O635" i="1"/>
  <c r="E580" i="1"/>
  <c r="A561" i="1"/>
  <c r="N503" i="1"/>
  <c r="H958" i="1"/>
  <c r="F1107" i="1"/>
  <c r="A724" i="1"/>
  <c r="B921" i="1"/>
  <c r="N609" i="1"/>
  <c r="A769" i="1"/>
  <c r="J504" i="1"/>
  <c r="N584" i="1"/>
  <c r="I689" i="1"/>
  <c r="L763" i="1"/>
  <c r="C890" i="1"/>
  <c r="H861" i="1"/>
  <c r="H825" i="1"/>
  <c r="I790" i="1"/>
  <c r="J680" i="1"/>
  <c r="L606" i="1"/>
  <c r="F304" i="1"/>
  <c r="A799" i="1"/>
  <c r="E880" i="1"/>
  <c r="A955" i="1"/>
  <c r="E789" i="1"/>
  <c r="J1016" i="1"/>
  <c r="H601" i="1"/>
  <c r="J816" i="1"/>
  <c r="K962" i="1"/>
  <c r="H837" i="1"/>
  <c r="H908" i="1"/>
  <c r="I840" i="1"/>
  <c r="H801" i="1"/>
  <c r="H871" i="1"/>
  <c r="P701" i="1"/>
  <c r="F630" i="1"/>
  <c r="F607" i="1"/>
  <c r="P586" i="1"/>
  <c r="G740" i="1"/>
  <c r="A694" i="1"/>
  <c r="I574" i="1"/>
  <c r="N827" i="1"/>
  <c r="G732" i="1"/>
  <c r="C653" i="1"/>
  <c r="I566" i="1"/>
  <c r="N811" i="1"/>
  <c r="G684" i="1"/>
  <c r="H595" i="1"/>
  <c r="I550" i="1"/>
  <c r="N779" i="1"/>
  <c r="B1036" i="1"/>
  <c r="M871" i="1"/>
  <c r="A533" i="1"/>
  <c r="O639" i="1"/>
  <c r="J676" i="1"/>
  <c r="P989" i="1"/>
  <c r="I485" i="1"/>
  <c r="A465" i="1"/>
  <c r="I676" i="1"/>
  <c r="C552" i="1"/>
  <c r="J623" i="1"/>
  <c r="B619" i="1"/>
  <c r="L610" i="1"/>
  <c r="K477" i="1"/>
  <c r="J392" i="1"/>
  <c r="G1073" i="1"/>
  <c r="H938" i="1"/>
  <c r="P966" i="1"/>
  <c r="P934" i="1"/>
  <c r="F853" i="1"/>
  <c r="F817" i="1"/>
  <c r="B710" i="1"/>
  <c r="H785" i="1"/>
  <c r="F743" i="1"/>
  <c r="A788" i="1"/>
  <c r="H781" i="1"/>
  <c r="C768" i="1"/>
  <c r="N758" i="1"/>
  <c r="M1048" i="1"/>
  <c r="J1073" i="1"/>
  <c r="C906" i="1"/>
  <c r="K958" i="1"/>
  <c r="J725" i="1"/>
  <c r="P679" i="1"/>
  <c r="P675" i="1"/>
  <c r="P667" i="1"/>
  <c r="N1046" i="1"/>
  <c r="M805" i="1"/>
  <c r="P630" i="1"/>
  <c r="K805" i="1"/>
  <c r="N446" i="1"/>
  <c r="F926" i="1"/>
  <c r="O554" i="1"/>
  <c r="A590" i="1"/>
  <c r="C240" i="1"/>
  <c r="E314" i="1"/>
  <c r="F694" i="1"/>
  <c r="O858" i="1"/>
  <c r="O822" i="1"/>
  <c r="O754" i="1"/>
  <c r="D630" i="1"/>
  <c r="P468" i="1"/>
  <c r="F507" i="1"/>
  <c r="L443" i="1"/>
  <c r="G1084" i="1"/>
  <c r="K800" i="1"/>
  <c r="I885" i="1"/>
  <c r="J780" i="1"/>
  <c r="J744" i="1"/>
  <c r="J492" i="1"/>
  <c r="J845" i="1"/>
  <c r="J829" i="1"/>
  <c r="J797" i="1"/>
  <c r="N598" i="1"/>
  <c r="G460" i="1"/>
  <c r="H862" i="1"/>
  <c r="L356" i="1"/>
  <c r="F726" i="1"/>
  <c r="E527" i="1"/>
  <c r="L542" i="1"/>
  <c r="B308" i="1"/>
  <c r="I462" i="1"/>
  <c r="D845" i="1"/>
  <c r="H612" i="1"/>
  <c r="K883" i="1"/>
  <c r="P862" i="1"/>
  <c r="B829" i="1"/>
  <c r="F281" i="1"/>
  <c r="E311" i="1"/>
  <c r="I407" i="1"/>
  <c r="J806" i="1"/>
  <c r="H576" i="1"/>
  <c r="L742" i="1"/>
  <c r="K729" i="1"/>
  <c r="F709" i="1"/>
  <c r="F245" i="1"/>
  <c r="E275" i="1"/>
  <c r="K371" i="1"/>
  <c r="N885" i="1"/>
  <c r="H540" i="1"/>
  <c r="L1010" i="1"/>
  <c r="B828" i="1"/>
  <c r="H921" i="1"/>
  <c r="H926" i="1"/>
  <c r="H711" i="1"/>
  <c r="G751" i="1"/>
  <c r="M740" i="1"/>
  <c r="I686" i="1"/>
  <c r="G898" i="1"/>
  <c r="M694" i="1"/>
  <c r="C588" i="1"/>
  <c r="O818" i="1"/>
  <c r="B751" i="1"/>
  <c r="J605" i="1"/>
  <c r="M864" i="1"/>
  <c r="L555" i="1"/>
  <c r="C411" i="1"/>
  <c r="E512" i="1"/>
  <c r="O545" i="1"/>
  <c r="M583" i="1"/>
  <c r="M724" i="1"/>
  <c r="O663" i="1"/>
  <c r="P597" i="1"/>
  <c r="F400" i="1"/>
  <c r="I529" i="1"/>
  <c r="C451" i="1"/>
  <c r="F617" i="1"/>
  <c r="B734" i="1"/>
  <c r="I713" i="1"/>
  <c r="L679" i="1"/>
  <c r="L643" i="1"/>
  <c r="P908" i="1"/>
  <c r="K532" i="1"/>
  <c r="K528" i="1"/>
  <c r="L736" i="1"/>
  <c r="F647" i="1"/>
  <c r="O783" i="1"/>
  <c r="E696" i="1"/>
  <c r="C573" i="1"/>
  <c r="O553" i="1"/>
  <c r="B641" i="1"/>
  <c r="C607" i="1"/>
  <c r="K328" i="1"/>
  <c r="F447" i="1"/>
  <c r="J346" i="1"/>
  <c r="J636" i="1"/>
  <c r="P742" i="1"/>
  <c r="D732" i="1"/>
  <c r="E710" i="1"/>
  <c r="D456" i="1"/>
  <c r="N256" i="1"/>
  <c r="D360" i="1"/>
  <c r="J310" i="1"/>
  <c r="I660" i="1"/>
  <c r="C674" i="1"/>
  <c r="M669" i="1"/>
  <c r="E661" i="1"/>
  <c r="H437" i="1"/>
  <c r="N220" i="1"/>
  <c r="H849" i="1"/>
  <c r="H873" i="1"/>
  <c r="H1210" i="1"/>
  <c r="G869" i="1"/>
  <c r="N683" i="1"/>
  <c r="A521" i="1"/>
  <c r="A517" i="1"/>
  <c r="A509" i="1"/>
  <c r="F583" i="1"/>
  <c r="A657" i="1"/>
  <c r="A624" i="1"/>
  <c r="C485" i="1"/>
  <c r="O871" i="1"/>
  <c r="B609" i="1"/>
  <c r="C575" i="1"/>
  <c r="K296" i="1"/>
  <c r="E852" i="1"/>
  <c r="D645" i="1"/>
  <c r="K431" i="1"/>
  <c r="I1009" i="1"/>
  <c r="D659" i="1"/>
  <c r="L697" i="1"/>
  <c r="J674" i="1"/>
  <c r="J662" i="1"/>
  <c r="F711" i="1"/>
  <c r="M622" i="1"/>
  <c r="N494" i="1"/>
  <c r="G693" i="1"/>
  <c r="D803" i="1"/>
  <c r="L617" i="1"/>
  <c r="N604" i="1"/>
  <c r="K399" i="1"/>
  <c r="L380" i="1"/>
  <c r="G799" i="1"/>
  <c r="E799" i="1"/>
  <c r="K670" i="1"/>
  <c r="H814" i="1"/>
  <c r="L796" i="1"/>
  <c r="B761" i="1"/>
  <c r="M363" i="1"/>
  <c r="F896" i="1"/>
  <c r="H808" i="1"/>
  <c r="D709" i="1"/>
  <c r="L855" i="1"/>
  <c r="J886" i="1"/>
  <c r="A814" i="1"/>
  <c r="A718" i="1"/>
  <c r="J709" i="1"/>
  <c r="J693" i="1"/>
  <c r="B540" i="1"/>
  <c r="G735" i="1"/>
  <c r="B587" i="1"/>
  <c r="F340" i="1"/>
  <c r="H616" i="1"/>
  <c r="O854" i="1"/>
  <c r="G642" i="1"/>
  <c r="C565" i="1"/>
  <c r="K315" i="1"/>
  <c r="J809" i="1"/>
  <c r="B646" i="1"/>
  <c r="E651" i="1"/>
  <c r="O646" i="1"/>
  <c r="G638" i="1"/>
  <c r="D309" i="1"/>
  <c r="C332" i="1"/>
  <c r="N546" i="1"/>
  <c r="F791" i="1"/>
  <c r="B610" i="1"/>
  <c r="E615" i="1"/>
  <c r="O610" i="1"/>
  <c r="G602" i="1"/>
  <c r="D273" i="1"/>
  <c r="C296" i="1"/>
  <c r="O464" i="1"/>
  <c r="F587" i="1"/>
  <c r="D784" i="1"/>
  <c r="K688" i="1"/>
  <c r="O556" i="1"/>
  <c r="O719" i="1"/>
  <c r="B548" i="1"/>
  <c r="C482" i="1"/>
  <c r="E469" i="1"/>
  <c r="N1123" i="1"/>
  <c r="L311" i="1"/>
  <c r="H572" i="1"/>
  <c r="J737" i="1"/>
  <c r="H724" i="1"/>
  <c r="E706" i="1"/>
  <c r="D365" i="1"/>
  <c r="O847" i="1"/>
  <c r="H766" i="1"/>
  <c r="E575" i="1"/>
  <c r="O570" i="1"/>
  <c r="G562" i="1"/>
  <c r="D233" i="1"/>
  <c r="C256" i="1"/>
  <c r="J514" i="1"/>
  <c r="A601" i="1"/>
  <c r="J681" i="1"/>
  <c r="E539" i="1"/>
  <c r="O534" i="1"/>
  <c r="G526" i="1"/>
  <c r="O436" i="1"/>
  <c r="M474" i="1"/>
  <c r="F476" i="1"/>
  <c r="J491" i="1"/>
  <c r="E400" i="1"/>
  <c r="M610" i="1"/>
  <c r="J518" i="1"/>
  <c r="I312" i="1"/>
  <c r="K416" i="1"/>
  <c r="C400" i="1"/>
  <c r="M395" i="1"/>
  <c r="N983" i="1"/>
  <c r="A364" i="1"/>
  <c r="D546" i="1"/>
  <c r="J478" i="1"/>
  <c r="I264" i="1"/>
  <c r="O380" i="1"/>
  <c r="G364" i="1"/>
  <c r="O359" i="1"/>
  <c r="K591" i="1"/>
  <c r="A328" i="1"/>
  <c r="B739" i="1"/>
  <c r="O587" i="1"/>
  <c r="I216" i="1"/>
  <c r="O344" i="1"/>
  <c r="G321" i="1"/>
  <c r="O289" i="1"/>
  <c r="H1041" i="1"/>
  <c r="A292" i="1"/>
  <c r="K865" i="1"/>
  <c r="I518" i="1"/>
  <c r="P426" i="1"/>
  <c r="H246" i="1"/>
  <c r="O216" i="1"/>
  <c r="P211" i="1"/>
  <c r="F819" i="1"/>
  <c r="M617" i="1"/>
  <c r="B614" i="1"/>
  <c r="F842" i="1"/>
  <c r="M475" i="1"/>
  <c r="O462" i="1"/>
  <c r="C360" i="1"/>
  <c r="E402" i="1"/>
  <c r="K786" i="1"/>
  <c r="L609" i="1"/>
  <c r="D605" i="1"/>
  <c r="P874" i="1"/>
  <c r="K391" i="1"/>
  <c r="E638" i="1"/>
  <c r="K566" i="1"/>
  <c r="B625" i="1"/>
  <c r="L620" i="1"/>
  <c r="D612" i="1"/>
  <c r="A472" i="1"/>
  <c r="L240" i="1"/>
  <c r="I589" i="1"/>
  <c r="B801" i="1"/>
  <c r="K530" i="1"/>
  <c r="B589" i="1"/>
  <c r="L584" i="1"/>
  <c r="D576" i="1"/>
  <c r="F421" i="1"/>
  <c r="B444" i="1"/>
  <c r="L519" i="1"/>
  <c r="G753" i="1"/>
  <c r="L231" i="1"/>
  <c r="B422" i="1"/>
  <c r="I609" i="1"/>
  <c r="L273" i="1"/>
  <c r="I231" i="1"/>
  <c r="A488" i="1"/>
  <c r="P461" i="1"/>
  <c r="A628" i="1"/>
  <c r="C375" i="1"/>
  <c r="G386" i="1"/>
  <c r="N532" i="1"/>
  <c r="C265" i="1"/>
  <c r="H438" i="1"/>
  <c r="J421" i="1"/>
  <c r="B417" i="1"/>
  <c r="J563" i="1"/>
  <c r="C279" i="1"/>
  <c r="B350" i="1"/>
  <c r="C649" i="1"/>
  <c r="B359" i="1"/>
  <c r="H402" i="1"/>
  <c r="N385" i="1"/>
  <c r="H381" i="1"/>
  <c r="L800" i="1"/>
  <c r="J418" i="1"/>
  <c r="B314" i="1"/>
  <c r="H488" i="1"/>
  <c r="B287" i="1"/>
  <c r="H366" i="1"/>
  <c r="P349" i="1"/>
  <c r="H345" i="1"/>
  <c r="B585" i="1"/>
  <c r="J322" i="1"/>
  <c r="B278" i="1"/>
  <c r="M829" i="1"/>
  <c r="N448" i="1"/>
  <c r="G587" i="1"/>
  <c r="J833" i="1"/>
  <c r="O790" i="1"/>
  <c r="D598" i="1"/>
  <c r="N579" i="1"/>
  <c r="L247" i="1"/>
  <c r="O713" i="1"/>
  <c r="E643" i="1"/>
  <c r="O638" i="1"/>
  <c r="G630" i="1"/>
  <c r="D301" i="1"/>
  <c r="P541" i="1"/>
  <c r="J653" i="1"/>
  <c r="C629" i="1"/>
  <c r="B598" i="1"/>
  <c r="L575" i="1"/>
  <c r="O408" i="1"/>
  <c r="P427" i="1"/>
  <c r="M608" i="1"/>
  <c r="P547" i="1"/>
  <c r="J617" i="1"/>
  <c r="H529" i="1"/>
  <c r="E523" i="1"/>
  <c r="O514" i="1"/>
  <c r="K372" i="1"/>
  <c r="P391" i="1"/>
  <c r="H524" i="1"/>
  <c r="K655" i="1"/>
  <c r="A336" i="1"/>
  <c r="O544" i="1"/>
  <c r="A630" i="1"/>
  <c r="A227" i="1"/>
  <c r="O352" i="1"/>
  <c r="G336" i="1"/>
  <c r="O331" i="1"/>
  <c r="B591" i="1"/>
  <c r="A300" i="1"/>
  <c r="N631" i="1"/>
  <c r="M528" i="1"/>
  <c r="P434" i="1"/>
  <c r="O262" i="1"/>
  <c r="H229" i="1"/>
  <c r="J221" i="1"/>
  <c r="I1139" i="1"/>
  <c r="N870" i="1"/>
  <c r="K384" i="1"/>
  <c r="K498" i="1"/>
  <c r="F794" i="1"/>
  <c r="F718" i="1"/>
  <c r="D535" i="1"/>
  <c r="O682" i="1"/>
  <c r="D726" i="1"/>
  <c r="A640" i="1"/>
  <c r="K635" i="1"/>
  <c r="C627" i="1"/>
  <c r="C685" i="1"/>
  <c r="C501" i="1"/>
  <c r="H666" i="1"/>
  <c r="D824" i="1"/>
  <c r="H806" i="1"/>
  <c r="L772" i="1"/>
  <c r="L473" i="1"/>
  <c r="N483" i="1"/>
  <c r="M406" i="1"/>
  <c r="C319" i="1"/>
  <c r="I876" i="1"/>
  <c r="L708" i="1"/>
  <c r="N699" i="1"/>
  <c r="N682" i="1"/>
  <c r="G400" i="1"/>
  <c r="I674" i="1"/>
  <c r="A818" i="1"/>
  <c r="G705" i="1"/>
  <c r="M766" i="1"/>
  <c r="K875" i="1"/>
  <c r="H765" i="1"/>
  <c r="N545" i="1"/>
  <c r="J828" i="1"/>
  <c r="O623" i="1"/>
  <c r="N327" i="1"/>
  <c r="C757" i="1"/>
  <c r="C368" i="1"/>
  <c r="B516" i="1"/>
  <c r="B574" i="1"/>
  <c r="G670" i="1"/>
  <c r="D341" i="1"/>
  <c r="C364" i="1"/>
  <c r="D466" i="1"/>
  <c r="A726" i="1"/>
  <c r="B642" i="1"/>
  <c r="E647" i="1"/>
  <c r="O642" i="1"/>
  <c r="G634" i="1"/>
  <c r="D305" i="1"/>
  <c r="A791" i="1"/>
  <c r="K899" i="1"/>
  <c r="N704" i="1"/>
  <c r="D851" i="1"/>
  <c r="O833" i="1"/>
  <c r="B872" i="1"/>
  <c r="B868" i="1"/>
  <c r="B840" i="1"/>
  <c r="B836" i="1"/>
  <c r="A651" i="1"/>
  <c r="A551" i="1"/>
  <c r="F526" i="1"/>
  <c r="D240" i="1"/>
  <c r="B650" i="1"/>
  <c r="N747" i="1"/>
  <c r="E628" i="1"/>
  <c r="N324" i="1"/>
  <c r="N562" i="1"/>
  <c r="P537" i="1"/>
  <c r="F749" i="1"/>
  <c r="M447" i="1"/>
  <c r="E443" i="1"/>
  <c r="E768" i="1"/>
  <c r="K292" i="1"/>
  <c r="M558" i="1"/>
  <c r="P595" i="1"/>
  <c r="K738" i="1"/>
  <c r="M675" i="1"/>
  <c r="H575" i="1"/>
  <c r="J566" i="1"/>
  <c r="L549" i="1"/>
  <c r="K256" i="1"/>
  <c r="G763" i="1"/>
  <c r="P522" i="1"/>
  <c r="N662" i="1"/>
  <c r="M639" i="1"/>
  <c r="O565" i="1"/>
  <c r="J646" i="1"/>
  <c r="P710" i="1"/>
  <c r="J689" i="1"/>
  <c r="H838" i="1"/>
  <c r="L481" i="1"/>
  <c r="N500" i="1"/>
  <c r="C231" i="1"/>
  <c r="B670" i="1"/>
  <c r="M503" i="1"/>
  <c r="E499" i="1"/>
  <c r="O490" i="1"/>
  <c r="K348" i="1"/>
  <c r="L615" i="1"/>
  <c r="M635" i="1"/>
  <c r="N510" i="1"/>
  <c r="F506" i="1"/>
  <c r="P497" i="1"/>
  <c r="F460" i="1"/>
  <c r="F624" i="1"/>
  <c r="P482" i="1"/>
  <c r="O609" i="1"/>
  <c r="M599" i="1"/>
  <c r="N474" i="1"/>
  <c r="F470" i="1"/>
  <c r="C809" i="1"/>
  <c r="F416" i="1"/>
  <c r="I657" i="1"/>
  <c r="P446" i="1"/>
  <c r="B487" i="1"/>
  <c r="D550" i="1"/>
  <c r="F741" i="1"/>
  <c r="B485" i="1"/>
  <c r="E446" i="1"/>
  <c r="P84" i="1"/>
  <c r="H68" i="1"/>
  <c r="P63" i="1"/>
  <c r="O850" i="1"/>
  <c r="L748" i="1"/>
  <c r="A503" i="1"/>
  <c r="B449" i="1"/>
  <c r="A409" i="1"/>
  <c r="P48" i="1"/>
  <c r="H273" i="1"/>
  <c r="G259" i="1"/>
  <c r="C583" i="1"/>
  <c r="C891" i="1"/>
  <c r="H597" i="1"/>
  <c r="F430" i="1"/>
  <c r="G373" i="1"/>
  <c r="G229" i="1"/>
  <c r="O207" i="1"/>
  <c r="G203" i="1"/>
  <c r="C861" i="1"/>
  <c r="G510" i="1"/>
  <c r="H499" i="1"/>
  <c r="F394" i="1"/>
  <c r="G337" i="1"/>
  <c r="G188" i="1"/>
  <c r="O171" i="1"/>
  <c r="G167" i="1"/>
  <c r="P940" i="1"/>
  <c r="F308" i="1"/>
  <c r="E619" i="1"/>
  <c r="B504" i="1"/>
  <c r="B566" i="1"/>
  <c r="F540" i="1"/>
  <c r="H692" i="1"/>
  <c r="L279" i="1"/>
  <c r="E820" i="1"/>
  <c r="E675" i="1"/>
  <c r="O670" i="1"/>
  <c r="G662" i="1"/>
  <c r="D333" i="1"/>
  <c r="A609" i="1"/>
  <c r="L688" i="1"/>
  <c r="E543" i="1"/>
  <c r="O538" i="1"/>
  <c r="G530" i="1"/>
  <c r="J440" i="1"/>
  <c r="M506" i="1"/>
  <c r="F480" i="1"/>
  <c r="O525" i="1"/>
  <c r="J649" i="1"/>
  <c r="H599" i="1"/>
  <c r="F586" i="1"/>
  <c r="L567" i="1"/>
  <c r="O404" i="1"/>
  <c r="P423" i="1"/>
  <c r="J592" i="1"/>
  <c r="E841" i="1"/>
  <c r="A368" i="1"/>
  <c r="D578" i="1"/>
  <c r="J482" i="1"/>
  <c r="I269" i="1"/>
  <c r="N384" i="1"/>
  <c r="G368" i="1"/>
  <c r="O363" i="1"/>
  <c r="K623" i="1"/>
  <c r="A332" i="1"/>
  <c r="F859" i="1"/>
  <c r="P599" i="1"/>
  <c r="I221" i="1"/>
  <c r="O348" i="1"/>
  <c r="G332" i="1"/>
  <c r="G317" i="1"/>
  <c r="B559" i="1"/>
  <c r="A296" i="1"/>
  <c r="N599" i="1"/>
  <c r="I522" i="1"/>
  <c r="P430" i="1"/>
  <c r="H254" i="1"/>
  <c r="D222" i="1"/>
  <c r="D216" i="1"/>
  <c r="P782" i="1"/>
  <c r="A260" i="1"/>
  <c r="N550" i="1"/>
  <c r="I486" i="1"/>
  <c r="P394" i="1"/>
  <c r="P200" i="1"/>
  <c r="H184" i="1"/>
  <c r="P179" i="1"/>
  <c r="L580" i="1"/>
  <c r="A224" i="1"/>
  <c r="L467" i="1"/>
  <c r="C931" i="1"/>
  <c r="D832" i="1"/>
  <c r="J574" i="1"/>
  <c r="K488" i="1"/>
  <c r="B575" i="1"/>
  <c r="J569" i="1"/>
  <c r="M516" i="1"/>
  <c r="J370" i="1"/>
  <c r="B606" i="1"/>
  <c r="M439" i="1"/>
  <c r="I782" i="1"/>
  <c r="A650" i="1"/>
  <c r="K284" i="1"/>
  <c r="H752" i="1"/>
  <c r="M571" i="1"/>
  <c r="G603" i="1"/>
  <c r="K589" i="1"/>
  <c r="C569" i="1"/>
  <c r="E388" i="1"/>
  <c r="G486" i="1"/>
  <c r="L435" i="1"/>
  <c r="F577" i="1"/>
  <c r="M535" i="1"/>
  <c r="C525" i="1"/>
  <c r="I520" i="1"/>
  <c r="F962" i="1"/>
  <c r="B352" i="1"/>
  <c r="D587" i="1"/>
  <c r="L399" i="1"/>
  <c r="C647" i="1"/>
  <c r="N635" i="1"/>
  <c r="K749" i="1"/>
  <c r="F438" i="1"/>
  <c r="B400" i="1"/>
  <c r="P613" i="1"/>
  <c r="K903" i="1"/>
  <c r="D493" i="1"/>
  <c r="M730" i="1"/>
  <c r="J851" i="1"/>
  <c r="H704" i="1"/>
  <c r="J484" i="1"/>
  <c r="N688" i="1"/>
  <c r="C636" i="1"/>
  <c r="L1205" i="1"/>
  <c r="F490" i="1"/>
  <c r="O524" i="1"/>
  <c r="P612" i="1"/>
  <c r="E760" i="1"/>
  <c r="O466" i="1"/>
  <c r="K324" i="1"/>
  <c r="F686" i="1"/>
  <c r="E476" i="1"/>
  <c r="G508" i="1"/>
  <c r="L738" i="1"/>
  <c r="M443" i="1"/>
  <c r="E439" i="1"/>
  <c r="A682" i="1"/>
  <c r="K288" i="1"/>
  <c r="A787" i="1"/>
  <c r="F610" i="1"/>
  <c r="E723" i="1"/>
  <c r="L694" i="1"/>
  <c r="E893" i="1"/>
  <c r="F848" i="1"/>
  <c r="H843" i="1"/>
  <c r="J810" i="1"/>
  <c r="D805" i="1"/>
  <c r="N614" i="1"/>
  <c r="I644" i="1"/>
  <c r="L578" i="1"/>
  <c r="O488" i="1"/>
  <c r="M587" i="1"/>
  <c r="H880" i="1"/>
  <c r="D662" i="1"/>
  <c r="P416" i="1"/>
  <c r="P466" i="1"/>
  <c r="J735" i="1"/>
  <c r="C508" i="1"/>
  <c r="J511" i="1"/>
  <c r="B507" i="1"/>
  <c r="L498" i="1"/>
  <c r="B272" i="1"/>
  <c r="C613" i="1"/>
  <c r="N319" i="1"/>
  <c r="G723" i="1"/>
  <c r="C472" i="1"/>
  <c r="J475" i="1"/>
  <c r="B471" i="1"/>
  <c r="L462" i="1"/>
  <c r="K433" i="1"/>
  <c r="K490" i="1"/>
  <c r="N283" i="1"/>
  <c r="A862" i="1"/>
  <c r="C825" i="1"/>
  <c r="E860" i="1"/>
  <c r="G513" i="1"/>
  <c r="B693" i="1"/>
  <c r="H544" i="1"/>
  <c r="D673" i="1"/>
  <c r="O493" i="1"/>
  <c r="B392" i="1"/>
  <c r="D721" i="1"/>
  <c r="M671" i="1"/>
  <c r="O659" i="1"/>
  <c r="E624" i="1"/>
  <c r="H583" i="1"/>
  <c r="B328" i="1"/>
  <c r="A766" i="1"/>
  <c r="C709" i="1"/>
  <c r="K673" i="1"/>
  <c r="A638" i="1"/>
  <c r="L591" i="1"/>
  <c r="M626" i="1"/>
  <c r="P551" i="1"/>
  <c r="N243" i="1"/>
  <c r="K620" i="1"/>
  <c r="F544" i="1"/>
  <c r="H541" i="1"/>
  <c r="J532" i="1"/>
  <c r="E521" i="1"/>
  <c r="D562" i="1"/>
  <c r="N488" i="1"/>
  <c r="K461" i="1"/>
  <c r="L478" i="1"/>
  <c r="I503" i="1"/>
  <c r="M828" i="1"/>
  <c r="F246" i="1"/>
  <c r="H113" i="1"/>
  <c r="G40" i="1"/>
  <c r="E260" i="1"/>
  <c r="E251" i="1"/>
  <c r="P802" i="1"/>
  <c r="J598" i="1"/>
  <c r="D556" i="1"/>
  <c r="I472" i="1"/>
  <c r="H77" i="1"/>
  <c r="B222" i="1"/>
  <c r="N203" i="1"/>
  <c r="F199" i="1"/>
  <c r="I483" i="1"/>
  <c r="P499" i="1"/>
  <c r="J505" i="1"/>
  <c r="I420" i="1"/>
  <c r="O324" i="1"/>
  <c r="F184" i="1"/>
  <c r="N167" i="1"/>
  <c r="F163" i="1"/>
  <c r="D500" i="1"/>
  <c r="I830" i="1"/>
  <c r="J469" i="1"/>
  <c r="L384" i="1"/>
  <c r="H217" i="1"/>
  <c r="F148" i="1"/>
  <c r="N131" i="1"/>
  <c r="F127" i="1"/>
  <c r="B995" i="1"/>
  <c r="H584" i="1"/>
  <c r="O614" i="1"/>
  <c r="M702" i="1"/>
  <c r="B671" i="1"/>
  <c r="A534" i="1"/>
  <c r="E572" i="1"/>
  <c r="J402" i="1"/>
  <c r="B638" i="1"/>
  <c r="M471" i="1"/>
  <c r="E467" i="1"/>
  <c r="O458" i="1"/>
  <c r="K316" i="1"/>
  <c r="O617" i="1"/>
  <c r="M603" i="1"/>
  <c r="N478" i="1"/>
  <c r="F474" i="1"/>
  <c r="P465" i="1"/>
  <c r="F420" i="1"/>
  <c r="G697" i="1"/>
  <c r="P450" i="1"/>
  <c r="E732" i="1"/>
  <c r="M567" i="1"/>
  <c r="N590" i="1"/>
  <c r="B580" i="1"/>
  <c r="C561" i="1"/>
  <c r="A384" i="1"/>
  <c r="G454" i="1"/>
  <c r="L431" i="1"/>
  <c r="K698" i="1"/>
  <c r="F875" i="1"/>
  <c r="A511" i="1"/>
  <c r="B453" i="1"/>
  <c r="A413" i="1"/>
  <c r="P52" i="1"/>
  <c r="H289" i="1"/>
  <c r="H271" i="1"/>
  <c r="C615" i="1"/>
  <c r="N603" i="1"/>
  <c r="O651" i="1"/>
  <c r="F434" i="1"/>
  <c r="G377" i="1"/>
  <c r="G237" i="1"/>
  <c r="O211" i="1"/>
  <c r="G207" i="1"/>
  <c r="L550" i="1"/>
  <c r="N558" i="1"/>
  <c r="H503" i="1"/>
  <c r="F398" i="1"/>
  <c r="G341" i="1"/>
  <c r="G192" i="1"/>
  <c r="O175" i="1"/>
  <c r="G171" i="1"/>
  <c r="N749" i="1"/>
  <c r="H469" i="1"/>
  <c r="H467" i="1"/>
  <c r="F362" i="1"/>
  <c r="H239" i="1"/>
  <c r="G156" i="1"/>
  <c r="O139" i="1"/>
  <c r="G135" i="1"/>
  <c r="E898" i="1"/>
  <c r="N531" i="1"/>
  <c r="K561" i="1"/>
  <c r="F1119" i="1"/>
  <c r="B647" i="1"/>
  <c r="L557" i="1"/>
  <c r="K606" i="1"/>
  <c r="L660" i="1"/>
  <c r="M299" i="1"/>
  <c r="F328" i="1"/>
  <c r="E905" i="1"/>
  <c r="M575" i="1"/>
  <c r="J503" i="1"/>
  <c r="B499" i="1"/>
  <c r="L490" i="1"/>
  <c r="J263" i="1"/>
  <c r="K548" i="1"/>
  <c r="D507" i="1"/>
  <c r="C506" i="1"/>
  <c r="M501" i="1"/>
  <c r="E493" i="1"/>
  <c r="O560" i="1"/>
  <c r="H748" i="1"/>
  <c r="E426" i="1"/>
  <c r="A505" i="1"/>
  <c r="D471" i="1"/>
  <c r="C470" i="1"/>
  <c r="M465" i="1"/>
  <c r="E457" i="1"/>
  <c r="N647" i="1"/>
  <c r="E548" i="1"/>
  <c r="E390" i="1"/>
  <c r="F477" i="1"/>
  <c r="P507" i="1"/>
  <c r="J513" i="1"/>
  <c r="I428" i="1"/>
  <c r="H49" i="1"/>
  <c r="F192" i="1"/>
  <c r="N175" i="1"/>
  <c r="F171" i="1"/>
  <c r="K629" i="1"/>
  <c r="P471" i="1"/>
  <c r="J477" i="1"/>
  <c r="I392" i="1"/>
  <c r="G230" i="1"/>
  <c r="F156" i="1"/>
  <c r="N139" i="1"/>
  <c r="F135" i="1"/>
  <c r="N754" i="1"/>
  <c r="F910" i="1"/>
  <c r="J805" i="1"/>
  <c r="G489" i="1"/>
  <c r="B633" i="1"/>
  <c r="D620" i="1"/>
  <c r="L376" i="1"/>
  <c r="L411" i="1"/>
  <c r="N713" i="1"/>
  <c r="C574" i="1"/>
  <c r="M569" i="1"/>
  <c r="E561" i="1"/>
  <c r="F337" i="1"/>
  <c r="F682" i="1"/>
  <c r="H536" i="1"/>
  <c r="L669" i="1"/>
  <c r="D665" i="1"/>
  <c r="N656" i="1"/>
  <c r="E456" i="1"/>
  <c r="P432" i="1"/>
  <c r="K331" i="1"/>
  <c r="M835" i="1"/>
  <c r="E788" i="1"/>
  <c r="L633" i="1"/>
  <c r="D629" i="1"/>
  <c r="N227" i="1"/>
  <c r="C678" i="1"/>
  <c r="E665" i="1"/>
  <c r="N224" i="1"/>
  <c r="J1012" i="1"/>
  <c r="F856" i="1"/>
  <c r="F639" i="1"/>
  <c r="O882" i="1"/>
  <c r="A565" i="1"/>
  <c r="J655" i="1"/>
  <c r="P606" i="1"/>
  <c r="C543" i="1"/>
  <c r="F368" i="1"/>
  <c r="I588" i="1"/>
  <c r="M641" i="1"/>
  <c r="H534" i="1"/>
  <c r="B304" i="1"/>
  <c r="H492" i="1"/>
  <c r="N351" i="1"/>
  <c r="D683" i="1"/>
  <c r="C504" i="1"/>
  <c r="J507" i="1"/>
  <c r="B503" i="1"/>
  <c r="L494" i="1"/>
  <c r="J267" i="1"/>
  <c r="C750" i="1"/>
  <c r="M914" i="1"/>
  <c r="I711" i="1"/>
  <c r="O1200" i="1"/>
  <c r="G837" i="1"/>
  <c r="A738" i="1"/>
  <c r="G727" i="1"/>
  <c r="I708" i="1"/>
  <c r="K745" i="1"/>
  <c r="L1071" i="1"/>
  <c r="F774" i="1"/>
  <c r="P517" i="1"/>
  <c r="N295" i="1"/>
  <c r="O925" i="1"/>
  <c r="O650" i="1"/>
  <c r="M683" i="1"/>
  <c r="C336" i="1"/>
  <c r="E378" i="1"/>
  <c r="I558" i="1"/>
  <c r="G707" i="1"/>
  <c r="D517" i="1"/>
  <c r="N512" i="1"/>
  <c r="P883" i="1"/>
  <c r="N743" i="1"/>
  <c r="C683" i="1"/>
  <c r="E310" i="1"/>
  <c r="N756" i="1"/>
  <c r="J878" i="1"/>
  <c r="J826" i="1"/>
  <c r="H735" i="1"/>
  <c r="M630" i="1"/>
  <c r="K524" i="1"/>
  <c r="N543" i="1"/>
  <c r="E274" i="1"/>
  <c r="A742" i="1"/>
  <c r="O794" i="1"/>
  <c r="E844" i="1"/>
  <c r="H728" i="1"/>
  <c r="M335" i="1"/>
  <c r="J629" i="1"/>
  <c r="J544" i="1"/>
  <c r="J384" i="1"/>
  <c r="M318" i="1"/>
  <c r="G596" i="1"/>
  <c r="D511" i="1"/>
  <c r="L730" i="1"/>
  <c r="C673" i="1"/>
  <c r="K605" i="1"/>
  <c r="I629" i="1"/>
  <c r="J703" i="1"/>
  <c r="O762" i="1"/>
  <c r="O726" i="1"/>
  <c r="L886" i="1"/>
  <c r="D534" i="1"/>
  <c r="I862" i="1"/>
  <c r="F495" i="1"/>
  <c r="J431" i="1"/>
  <c r="A698" i="1"/>
  <c r="F722" i="1"/>
  <c r="B704" i="1"/>
  <c r="O881" i="1"/>
  <c r="H708" i="1"/>
  <c r="A507" i="1"/>
  <c r="F459" i="1"/>
  <c r="J395" i="1"/>
  <c r="K457" i="1"/>
  <c r="B557" i="1"/>
  <c r="N338" i="1"/>
  <c r="D434" i="1"/>
  <c r="O68" i="1"/>
  <c r="G262" i="1"/>
  <c r="B229" i="1"/>
  <c r="E221" i="1"/>
  <c r="P492" i="1"/>
  <c r="H506" i="1"/>
  <c r="N302" i="1"/>
  <c r="D398" i="1"/>
  <c r="G293" i="1"/>
  <c r="M204" i="1"/>
  <c r="E188" i="1"/>
  <c r="M183" i="1"/>
  <c r="K689" i="1"/>
  <c r="H470" i="1"/>
  <c r="N266" i="1"/>
  <c r="D362" i="1"/>
  <c r="N212" i="1"/>
  <c r="M168" i="1"/>
  <c r="E152" i="1"/>
  <c r="M147" i="1"/>
  <c r="N300" i="1"/>
  <c r="D457" i="1"/>
  <c r="N230" i="1"/>
  <c r="D326" i="1"/>
  <c r="N176" i="1"/>
  <c r="M132" i="1"/>
  <c r="E116" i="1"/>
  <c r="M111" i="1"/>
  <c r="E1106" i="1"/>
  <c r="F822" i="1"/>
  <c r="G606" i="1"/>
  <c r="O723" i="1"/>
  <c r="D609" i="1"/>
  <c r="K395" i="1"/>
  <c r="F360" i="1"/>
  <c r="N716" i="1"/>
  <c r="M607" i="1"/>
  <c r="D544" i="1"/>
  <c r="F535" i="1"/>
  <c r="L522" i="1"/>
  <c r="B296" i="1"/>
  <c r="K632" i="1"/>
  <c r="F552" i="1"/>
  <c r="H549" i="1"/>
  <c r="J540" i="1"/>
  <c r="A525" i="1"/>
  <c r="D594" i="1"/>
  <c r="N492" i="1"/>
  <c r="C483" i="1"/>
  <c r="K536" i="1"/>
  <c r="D503" i="1"/>
  <c r="C502" i="1"/>
  <c r="M497" i="1"/>
  <c r="E489" i="1"/>
  <c r="O528" i="1"/>
  <c r="E676" i="1"/>
  <c r="E422" i="1"/>
  <c r="J640" i="1"/>
  <c r="G655" i="1"/>
  <c r="D564" i="1"/>
  <c r="I504" i="1"/>
  <c r="H81" i="1"/>
  <c r="E229" i="1"/>
  <c r="N207" i="1"/>
  <c r="F203" i="1"/>
  <c r="B568" i="1"/>
  <c r="P503" i="1"/>
  <c r="J509" i="1"/>
  <c r="I424" i="1"/>
  <c r="H45" i="1"/>
  <c r="F188" i="1"/>
  <c r="N171" i="1"/>
  <c r="F167" i="1"/>
  <c r="J537" i="1"/>
  <c r="P467" i="1"/>
  <c r="J473" i="1"/>
  <c r="P388" i="1"/>
  <c r="O222" i="1"/>
  <c r="F152" i="1"/>
  <c r="N135" i="1"/>
  <c r="F131" i="1"/>
  <c r="F261" i="1"/>
  <c r="I562" i="1"/>
  <c r="F464" i="1"/>
  <c r="M352" i="1"/>
  <c r="O184" i="1"/>
  <c r="F116" i="1"/>
  <c r="N99" i="1"/>
  <c r="F95" i="1"/>
  <c r="F417" i="1"/>
  <c r="O507" i="1"/>
  <c r="N418" i="1"/>
  <c r="A896" i="1"/>
  <c r="M652" i="1"/>
  <c r="K260" i="1"/>
  <c r="M643" i="1"/>
  <c r="F514" i="1"/>
  <c r="E510" i="1"/>
  <c r="H420" i="1"/>
  <c r="J757" i="1"/>
  <c r="M532" i="1"/>
  <c r="D509" i="1"/>
  <c r="D890" i="1"/>
  <c r="O718" i="1"/>
  <c r="K557" i="1"/>
  <c r="G613" i="1"/>
  <c r="H762" i="1"/>
  <c r="N733" i="1"/>
  <c r="J695" i="1"/>
  <c r="N619" i="1"/>
  <c r="M860" i="1"/>
  <c r="P451" i="1"/>
  <c r="L367" i="1"/>
  <c r="J861" i="1"/>
  <c r="B644" i="1"/>
  <c r="N634" i="1"/>
  <c r="P617" i="1"/>
  <c r="J594" i="1"/>
  <c r="B510" i="1"/>
  <c r="B412" i="1"/>
  <c r="L331" i="1"/>
  <c r="C521" i="1"/>
  <c r="H478" i="1"/>
  <c r="N274" i="1"/>
  <c r="D370" i="1"/>
  <c r="M222" i="1"/>
  <c r="M176" i="1"/>
  <c r="E160" i="1"/>
  <c r="M155" i="1"/>
  <c r="N364" i="1"/>
  <c r="O497" i="1"/>
  <c r="N238" i="1"/>
  <c r="D334" i="1"/>
  <c r="N184" i="1"/>
  <c r="M140" i="1"/>
  <c r="E124" i="1"/>
  <c r="M119" i="1"/>
  <c r="H767" i="1"/>
  <c r="E609" i="1"/>
  <c r="C476" i="1"/>
  <c r="F595" i="1"/>
  <c r="N486" i="1"/>
  <c r="P473" i="1"/>
  <c r="C264" i="1"/>
  <c r="E338" i="1"/>
  <c r="I652" i="1"/>
  <c r="N703" i="1"/>
  <c r="P694" i="1"/>
  <c r="D680" i="1"/>
  <c r="M327" i="1"/>
  <c r="N605" i="1"/>
  <c r="H818" i="1"/>
  <c r="M840" i="1"/>
  <c r="C821" i="1"/>
  <c r="G787" i="1"/>
  <c r="F393" i="1"/>
  <c r="G416" i="1"/>
  <c r="E522" i="1"/>
  <c r="I700" i="1"/>
  <c r="P704" i="1"/>
  <c r="D716" i="1"/>
  <c r="C707" i="1"/>
  <c r="J314" i="1"/>
  <c r="L649" i="1"/>
  <c r="N636" i="1"/>
  <c r="P412" i="1"/>
  <c r="I900" i="1"/>
  <c r="B738" i="1"/>
  <c r="B712" i="1"/>
  <c r="J670" i="1"/>
  <c r="O573" i="1"/>
  <c r="M455" i="1"/>
  <c r="A591" i="1"/>
  <c r="E541" i="1"/>
  <c r="G493" i="1"/>
  <c r="I734" i="1"/>
  <c r="D613" i="1"/>
  <c r="F548" i="1"/>
  <c r="G490" i="1"/>
  <c r="M488" i="1"/>
  <c r="E342" i="1"/>
  <c r="I542" i="1"/>
  <c r="G663" i="1"/>
  <c r="D513" i="1"/>
  <c r="M916" i="1"/>
  <c r="B730" i="1"/>
  <c r="C593" i="1"/>
  <c r="C714" i="1"/>
  <c r="F732" i="1"/>
  <c r="O877" i="1"/>
  <c r="M833" i="1"/>
  <c r="K765" i="1"/>
  <c r="G551" i="1"/>
  <c r="G543" i="1"/>
  <c r="J527" i="1"/>
  <c r="M807" i="1"/>
  <c r="D835" i="1"/>
  <c r="K520" i="1"/>
  <c r="O599" i="1"/>
  <c r="K750" i="1"/>
  <c r="D760" i="1"/>
  <c r="G715" i="1"/>
  <c r="F285" i="1"/>
  <c r="N643" i="1"/>
  <c r="L287" i="1"/>
  <c r="P528" i="1"/>
  <c r="A680" i="1"/>
  <c r="K675" i="1"/>
  <c r="C667" i="1"/>
  <c r="F517" i="1"/>
  <c r="C557" i="1"/>
  <c r="F332" i="1"/>
  <c r="L251" i="1"/>
  <c r="A655" i="1"/>
  <c r="A644" i="1"/>
  <c r="K639" i="1"/>
  <c r="C631" i="1"/>
  <c r="A877" i="1"/>
  <c r="C505" i="1"/>
  <c r="F296" i="1"/>
  <c r="C463" i="1"/>
  <c r="A559" i="1"/>
  <c r="L1043" i="1"/>
  <c r="E812" i="1"/>
  <c r="G522" i="1"/>
  <c r="L316" i="1"/>
  <c r="D483" i="1"/>
  <c r="M477" i="1"/>
  <c r="B873" i="1"/>
  <c r="I403" i="1"/>
  <c r="P847" i="1"/>
  <c r="D603" i="1"/>
  <c r="M910" i="1"/>
  <c r="O843" i="1"/>
  <c r="D525" i="1"/>
  <c r="D485" i="1"/>
  <c r="A547" i="1"/>
  <c r="A604" i="1"/>
  <c r="K599" i="1"/>
  <c r="C591" i="1"/>
  <c r="I499" i="1"/>
  <c r="C465" i="1"/>
  <c r="F256" i="1"/>
  <c r="A415" i="1"/>
  <c r="J678" i="1"/>
  <c r="A568" i="1"/>
  <c r="K563" i="1"/>
  <c r="C555" i="1"/>
  <c r="P587" i="1"/>
  <c r="L560" i="1"/>
  <c r="F220" i="1"/>
  <c r="C379" i="1"/>
  <c r="F388" i="1"/>
  <c r="F303" i="1"/>
  <c r="E329" i="1"/>
  <c r="M417" i="1"/>
  <c r="N28" i="1"/>
  <c r="L190" i="1"/>
  <c r="D174" i="1"/>
  <c r="L169" i="1"/>
  <c r="C248" i="1"/>
  <c r="F267" i="1"/>
  <c r="E293" i="1"/>
  <c r="K381" i="1"/>
  <c r="B247" i="1"/>
  <c r="L154" i="1"/>
  <c r="D138" i="1"/>
  <c r="L133" i="1"/>
  <c r="J624" i="1"/>
  <c r="F231" i="1"/>
  <c r="F462" i="1"/>
  <c r="K345" i="1"/>
  <c r="E197" i="1"/>
  <c r="L118" i="1"/>
  <c r="D102" i="1"/>
  <c r="L97" i="1"/>
  <c r="I625" i="1"/>
  <c r="M441" i="1"/>
  <c r="L418" i="1"/>
  <c r="K309" i="1"/>
  <c r="E161" i="1"/>
  <c r="L82" i="1"/>
  <c r="D66" i="1"/>
  <c r="L61" i="1"/>
  <c r="K911" i="1"/>
  <c r="G578" i="1"/>
  <c r="D277" i="1"/>
  <c r="I858" i="1"/>
  <c r="E471" i="1"/>
  <c r="K320" i="1"/>
  <c r="P457" i="1"/>
  <c r="J707" i="1"/>
  <c r="I610" i="1"/>
  <c r="B558" i="1"/>
  <c r="D549" i="1"/>
  <c r="F532" i="1"/>
  <c r="I646" i="1"/>
  <c r="N721" i="1"/>
  <c r="F738" i="1"/>
  <c r="B720" i="1"/>
  <c r="D687" i="1"/>
  <c r="F811" i="1"/>
  <c r="A515" i="1"/>
  <c r="F463" i="1"/>
  <c r="J399" i="1"/>
  <c r="G601" i="1"/>
  <c r="I738" i="1"/>
  <c r="F713" i="1"/>
  <c r="P681" i="1"/>
  <c r="N587" i="1"/>
  <c r="E684" i="1"/>
  <c r="G444" i="1"/>
  <c r="L363" i="1"/>
  <c r="I606" i="1"/>
  <c r="H510" i="1"/>
  <c r="N306" i="1"/>
  <c r="D402" i="1"/>
  <c r="G324" i="1"/>
  <c r="M208" i="1"/>
  <c r="E192" i="1"/>
  <c r="M187" i="1"/>
  <c r="C489" i="1"/>
  <c r="H474" i="1"/>
  <c r="N270" i="1"/>
  <c r="D366" i="1"/>
  <c r="G217" i="1"/>
  <c r="M172" i="1"/>
  <c r="E156" i="1"/>
  <c r="M151" i="1"/>
  <c r="N332" i="1"/>
  <c r="O465" i="1"/>
  <c r="N234" i="1"/>
  <c r="D330" i="1"/>
  <c r="N180" i="1"/>
  <c r="M136" i="1"/>
  <c r="E120" i="1"/>
  <c r="M115" i="1"/>
  <c r="C419" i="1"/>
  <c r="D419" i="1"/>
  <c r="H445" i="1"/>
  <c r="D294" i="1"/>
  <c r="N144" i="1"/>
  <c r="M100" i="1"/>
  <c r="E84" i="1"/>
  <c r="M79" i="1"/>
  <c r="E271" i="1"/>
  <c r="F383" i="1"/>
  <c r="J928" i="1"/>
  <c r="J883" i="1"/>
  <c r="N292" i="1"/>
  <c r="H969" i="1"/>
  <c r="O826" i="1"/>
  <c r="O722" i="1"/>
  <c r="P460" i="1"/>
  <c r="K307" i="1"/>
  <c r="F847" i="1"/>
  <c r="A672" i="1"/>
  <c r="K667" i="1"/>
  <c r="C659" i="1"/>
  <c r="F501" i="1"/>
  <c r="C541" i="1"/>
  <c r="J602" i="1"/>
  <c r="A540" i="1"/>
  <c r="K535" i="1"/>
  <c r="C527" i="1"/>
  <c r="L505" i="1"/>
  <c r="N515" i="1"/>
  <c r="M438" i="1"/>
  <c r="C351" i="1"/>
  <c r="H654" i="1"/>
  <c r="D808" i="1"/>
  <c r="H790" i="1"/>
  <c r="L756" i="1"/>
  <c r="L469" i="1"/>
  <c r="N479" i="1"/>
  <c r="M402" i="1"/>
  <c r="C315" i="1"/>
  <c r="J367" i="1"/>
  <c r="F239" i="1"/>
  <c r="E265" i="1"/>
  <c r="K353" i="1"/>
  <c r="E205" i="1"/>
  <c r="L126" i="1"/>
  <c r="D110" i="1"/>
  <c r="L105" i="1"/>
  <c r="H736" i="1"/>
  <c r="M452" i="1"/>
  <c r="L426" i="1"/>
  <c r="K317" i="1"/>
  <c r="E169" i="1"/>
  <c r="L90" i="1"/>
  <c r="D74" i="1"/>
  <c r="L69" i="1"/>
  <c r="P835" i="1"/>
  <c r="N580" i="1"/>
  <c r="J479" i="1"/>
  <c r="C833" i="1"/>
  <c r="F758" i="1"/>
  <c r="O564" i="1"/>
  <c r="H489" i="1"/>
  <c r="A423" i="1"/>
  <c r="K666" i="1"/>
  <c r="E611" i="1"/>
  <c r="O606" i="1"/>
  <c r="G598" i="1"/>
  <c r="D269" i="1"/>
  <c r="P563" i="1"/>
  <c r="J621" i="1"/>
  <c r="H537" i="1"/>
  <c r="J528" i="1"/>
  <c r="O518" i="1"/>
  <c r="K376" i="1"/>
  <c r="P395" i="1"/>
  <c r="G531" i="1"/>
  <c r="C523" i="1"/>
  <c r="J585" i="1"/>
  <c r="M495" i="1"/>
  <c r="E491" i="1"/>
  <c r="O482" i="1"/>
  <c r="A461" i="1"/>
  <c r="C454" i="1"/>
  <c r="K669" i="1"/>
  <c r="M520" i="1"/>
  <c r="H633" i="1"/>
  <c r="N781" i="1"/>
  <c r="N549" i="1"/>
  <c r="N537" i="1"/>
  <c r="N1001" i="1"/>
  <c r="O442" i="1"/>
  <c r="K821" i="1"/>
  <c r="L537" i="1"/>
  <c r="D442" i="1"/>
  <c r="M548" i="1"/>
  <c r="D565" i="1"/>
  <c r="E560" i="1"/>
  <c r="G759" i="1"/>
  <c r="F364" i="1"/>
  <c r="L283" i="1"/>
  <c r="A854" i="1"/>
  <c r="A676" i="1"/>
  <c r="K671" i="1"/>
  <c r="C663" i="1"/>
  <c r="F509" i="1"/>
  <c r="C549" i="1"/>
  <c r="J983" i="1"/>
  <c r="P841" i="1"/>
  <c r="N998" i="1"/>
  <c r="D841" i="1"/>
  <c r="P685" i="1"/>
  <c r="K691" i="1"/>
  <c r="O683" i="1"/>
  <c r="I675" i="1"/>
  <c r="E530" i="1"/>
  <c r="N653" i="1"/>
  <c r="M655" i="1"/>
  <c r="K236" i="1"/>
  <c r="A673" i="1"/>
  <c r="F994" i="1"/>
  <c r="O786" i="1"/>
  <c r="D313" i="1"/>
  <c r="H525" i="1"/>
  <c r="C271" i="1"/>
  <c r="C616" i="1"/>
  <c r="J647" i="1"/>
  <c r="B643" i="1"/>
  <c r="L634" i="1"/>
  <c r="K501" i="1"/>
  <c r="J416" i="1"/>
  <c r="M322" i="1"/>
  <c r="C235" i="1"/>
  <c r="B727" i="1"/>
  <c r="J611" i="1"/>
  <c r="B607" i="1"/>
  <c r="L598" i="1"/>
  <c r="K465" i="1"/>
  <c r="N380" i="1"/>
  <c r="M286" i="1"/>
  <c r="J434" i="1"/>
  <c r="K476" i="1"/>
  <c r="D735" i="1"/>
  <c r="F541" i="1"/>
  <c r="H396" i="1"/>
  <c r="K311" i="1"/>
  <c r="D856" i="1"/>
  <c r="L804" i="1"/>
  <c r="N491" i="1"/>
  <c r="D522" i="1"/>
  <c r="K556" i="1"/>
  <c r="J727" i="1"/>
  <c r="N715" i="1"/>
  <c r="P698" i="1"/>
  <c r="D597" i="1"/>
  <c r="N455" i="1"/>
  <c r="K464" i="1"/>
  <c r="J571" i="1"/>
  <c r="B567" i="1"/>
  <c r="L558" i="1"/>
  <c r="J553" i="1"/>
  <c r="N340" i="1"/>
  <c r="E444" i="1"/>
  <c r="J394" i="1"/>
  <c r="P711" i="1"/>
  <c r="J535" i="1"/>
  <c r="B531" i="1"/>
  <c r="M877" i="1"/>
  <c r="D504" i="1"/>
  <c r="N304" i="1"/>
  <c r="H408" i="1"/>
  <c r="J358" i="1"/>
  <c r="A388" i="1"/>
  <c r="M293" i="1"/>
  <c r="L270" i="1"/>
  <c r="D397" i="1"/>
  <c r="J220" i="1"/>
  <c r="K189" i="1"/>
  <c r="C173" i="1"/>
  <c r="K168" i="1"/>
  <c r="F248" i="1"/>
  <c r="D463" i="1"/>
  <c r="L234" i="1"/>
  <c r="B361" i="1"/>
  <c r="D183" i="1"/>
  <c r="K153" i="1"/>
  <c r="C137" i="1"/>
  <c r="K132" i="1"/>
  <c r="M346" i="1"/>
  <c r="B419" i="1"/>
  <c r="C438" i="1"/>
  <c r="B325" i="1"/>
  <c r="D147" i="1"/>
  <c r="K117" i="1"/>
  <c r="C101" i="1"/>
  <c r="F668" i="1"/>
  <c r="H404" i="1"/>
  <c r="D383" i="1"/>
  <c r="C402" i="1"/>
  <c r="B289" i="1"/>
  <c r="O536" i="1"/>
  <c r="I638" i="1"/>
  <c r="D486" i="1"/>
  <c r="F927" i="1"/>
  <c r="O825" i="1"/>
  <c r="C481" i="1"/>
  <c r="C300" i="1"/>
  <c r="M540" i="1"/>
  <c r="D557" i="1"/>
  <c r="G458" i="1"/>
  <c r="K339" i="1"/>
  <c r="O641" i="1"/>
  <c r="L746" i="1"/>
  <c r="F731" i="1"/>
  <c r="E704" i="1"/>
  <c r="P879" i="1"/>
  <c r="O647" i="1"/>
  <c r="N697" i="1"/>
  <c r="A572" i="1"/>
  <c r="K567" i="1"/>
  <c r="C559" i="1"/>
  <c r="G623" i="1"/>
  <c r="L568" i="1"/>
  <c r="F224" i="1"/>
  <c r="C383" i="1"/>
  <c r="N867" i="1"/>
  <c r="A536" i="1"/>
  <c r="K531" i="1"/>
  <c r="H896" i="1"/>
  <c r="L501" i="1"/>
  <c r="N511" i="1"/>
  <c r="M434" i="1"/>
  <c r="C347" i="1"/>
  <c r="C260" i="1"/>
  <c r="F271" i="1"/>
  <c r="E297" i="1"/>
  <c r="I385" i="1"/>
  <c r="B255" i="1"/>
  <c r="L158" i="1"/>
  <c r="D142" i="1"/>
  <c r="L137" i="1"/>
  <c r="G820" i="1"/>
  <c r="F235" i="1"/>
  <c r="M482" i="1"/>
  <c r="K349" i="1"/>
  <c r="E201" i="1"/>
  <c r="L122" i="1"/>
  <c r="D106" i="1"/>
  <c r="L101" i="1"/>
  <c r="K785" i="1"/>
  <c r="B446" i="1"/>
  <c r="L422" i="1"/>
  <c r="K313" i="1"/>
  <c r="E165" i="1"/>
  <c r="L86" i="1"/>
  <c r="D70" i="1"/>
  <c r="L65" i="1"/>
  <c r="H452" i="1"/>
  <c r="O409" i="1"/>
  <c r="I386" i="1"/>
  <c r="K277" i="1"/>
  <c r="E129" i="1"/>
  <c r="L50" i="1"/>
  <c r="D34" i="1"/>
  <c r="L29" i="1"/>
  <c r="C873" i="1"/>
  <c r="M373" i="1"/>
  <c r="J756" i="1"/>
  <c r="N689" i="1"/>
  <c r="H563" i="1"/>
  <c r="J533" i="1"/>
  <c r="J579" i="1"/>
  <c r="L566" i="1"/>
  <c r="N348" i="1"/>
  <c r="N530" i="1"/>
  <c r="B492" i="1"/>
  <c r="J639" i="1"/>
  <c r="B635" i="1"/>
  <c r="L626" i="1"/>
  <c r="K493" i="1"/>
  <c r="J408" i="1"/>
  <c r="L951" i="1"/>
  <c r="I818" i="1"/>
  <c r="M800" i="1"/>
  <c r="C765" i="1"/>
  <c r="D476" i="1"/>
  <c r="N276" i="1"/>
  <c r="D380" i="1"/>
  <c r="J330" i="1"/>
  <c r="E808" i="1"/>
  <c r="A704" i="1"/>
  <c r="C695" i="1"/>
  <c r="E681" i="1"/>
  <c r="K483" i="1"/>
  <c r="N240" i="1"/>
  <c r="D344" i="1"/>
  <c r="J294" i="1"/>
  <c r="M378" i="1"/>
  <c r="B427" i="1"/>
  <c r="K446" i="1"/>
  <c r="B333" i="1"/>
  <c r="H710" i="1"/>
  <c r="L607" i="1"/>
  <c r="I678" i="1"/>
  <c r="B396" i="1"/>
  <c r="N860" i="1"/>
  <c r="J775" i="1"/>
  <c r="J488" i="1"/>
  <c r="J476" i="1"/>
  <c r="M739" i="1"/>
  <c r="K509" i="1"/>
  <c r="A556" i="1"/>
  <c r="F317" i="1"/>
  <c r="L319" i="1"/>
  <c r="C785" i="1"/>
  <c r="P728" i="1"/>
  <c r="A542" i="1"/>
  <c r="N452" i="1"/>
  <c r="M354" i="1"/>
  <c r="C267" i="1"/>
  <c r="C604" i="1"/>
  <c r="J643" i="1"/>
  <c r="B639" i="1"/>
  <c r="L630" i="1"/>
  <c r="K497" i="1"/>
  <c r="J412" i="1"/>
  <c r="M918" i="1"/>
  <c r="B684" i="1"/>
  <c r="J770" i="1"/>
  <c r="J722" i="1"/>
  <c r="P1069" i="1"/>
  <c r="M518" i="1"/>
  <c r="M514" i="1"/>
  <c r="J723" i="1"/>
  <c r="N582" i="1"/>
  <c r="I453" i="1"/>
  <c r="J591" i="1"/>
  <c r="N360" i="1"/>
  <c r="K676" i="1"/>
  <c r="E655" i="1"/>
  <c r="C725" i="1"/>
  <c r="F436" i="1"/>
  <c r="F336" i="1"/>
  <c r="A895" i="1"/>
  <c r="N843" i="1"/>
  <c r="C614" i="1"/>
  <c r="M609" i="1"/>
  <c r="E601" i="1"/>
  <c r="F377" i="1"/>
  <c r="C407" i="1"/>
  <c r="D264" i="1"/>
  <c r="I793" i="1"/>
  <c r="H672" i="1"/>
  <c r="C578" i="1"/>
  <c r="M573" i="1"/>
  <c r="E565" i="1"/>
  <c r="F341" i="1"/>
  <c r="E371" i="1"/>
  <c r="D228" i="1"/>
  <c r="J860" i="1"/>
  <c r="H636" i="1"/>
  <c r="D829" i="1"/>
  <c r="I663" i="1"/>
  <c r="H681" i="1"/>
  <c r="E374" i="1"/>
  <c r="L677" i="1"/>
  <c r="N664" i="1"/>
  <c r="E307" i="1"/>
  <c r="I586" i="1"/>
  <c r="P592" i="1"/>
  <c r="C670" i="1"/>
  <c r="M665" i="1"/>
  <c r="E657" i="1"/>
  <c r="H433" i="1"/>
  <c r="J768" i="1"/>
  <c r="H632" i="1"/>
  <c r="C538" i="1"/>
  <c r="M533" i="1"/>
  <c r="E525" i="1"/>
  <c r="F301" i="1"/>
  <c r="E331" i="1"/>
  <c r="I427" i="1"/>
  <c r="K712" i="1"/>
  <c r="H596" i="1"/>
  <c r="L816" i="1"/>
  <c r="P798" i="1"/>
  <c r="B765" i="1"/>
  <c r="F265" i="1"/>
  <c r="E295" i="1"/>
  <c r="I391" i="1"/>
  <c r="H619" i="1"/>
  <c r="D514" i="1"/>
  <c r="D235" i="1"/>
  <c r="C254" i="1"/>
  <c r="I338" i="1"/>
  <c r="L301" i="1"/>
  <c r="E409" i="1"/>
  <c r="C373" i="1"/>
  <c r="N982" i="1"/>
  <c r="F504" i="1"/>
  <c r="K438" i="1"/>
  <c r="P463" i="1"/>
  <c r="I302" i="1"/>
  <c r="K279" i="1"/>
  <c r="D453" i="1"/>
  <c r="H431" i="1"/>
  <c r="A527" i="1"/>
  <c r="E468" i="1"/>
  <c r="K402" i="1"/>
  <c r="L417" i="1"/>
  <c r="I266" i="1"/>
  <c r="B371" i="1"/>
  <c r="J332" i="1"/>
  <c r="J323" i="1"/>
  <c r="P950" i="1"/>
  <c r="G501" i="1"/>
  <c r="K366" i="1"/>
  <c r="J381" i="1"/>
  <c r="I230" i="1"/>
  <c r="J293" i="1"/>
  <c r="M502" i="1"/>
  <c r="M456" i="1"/>
  <c r="M1005" i="1"/>
  <c r="B480" i="1"/>
  <c r="J616" i="1"/>
  <c r="O648" i="1"/>
  <c r="J675" i="1"/>
  <c r="L662" i="1"/>
  <c r="K445" i="1"/>
  <c r="D458" i="1"/>
  <c r="A441" i="1"/>
  <c r="J671" i="1"/>
  <c r="B667" i="1"/>
  <c r="L658" i="1"/>
  <c r="D527" i="1"/>
  <c r="N440" i="1"/>
  <c r="D837" i="1"/>
  <c r="J539" i="1"/>
  <c r="B535" i="1"/>
  <c r="P997" i="1"/>
  <c r="D508" i="1"/>
  <c r="N308" i="1"/>
  <c r="H412" i="1"/>
  <c r="J362" i="1"/>
  <c r="D796" i="1"/>
  <c r="I802" i="1"/>
  <c r="M784" i="1"/>
  <c r="E752" i="1"/>
  <c r="D472" i="1"/>
  <c r="N272" i="1"/>
  <c r="D376" i="1"/>
  <c r="J326" i="1"/>
  <c r="F260" i="1"/>
  <c r="E486" i="1"/>
  <c r="L238" i="1"/>
  <c r="B365" i="1"/>
  <c r="D187" i="1"/>
  <c r="K157" i="1"/>
  <c r="C141" i="1"/>
  <c r="K136" i="1"/>
  <c r="M366" i="1"/>
  <c r="B423" i="1"/>
  <c r="B442" i="1"/>
  <c r="B329" i="1"/>
  <c r="D151" i="1"/>
  <c r="K121" i="1"/>
  <c r="C105" i="1"/>
  <c r="G709" i="1"/>
  <c r="H416" i="1"/>
  <c r="H387" i="1"/>
  <c r="C406" i="1"/>
  <c r="B293" i="1"/>
  <c r="D570" i="1"/>
  <c r="L511" i="1"/>
  <c r="K577" i="1"/>
  <c r="B844" i="1"/>
  <c r="D276" i="1"/>
  <c r="D351" i="1"/>
  <c r="C370" i="1"/>
  <c r="E474" i="1"/>
  <c r="K705" i="1"/>
  <c r="A522" i="1"/>
  <c r="A486" i="1"/>
  <c r="K721" i="1"/>
  <c r="K367" i="1"/>
  <c r="D315" i="1"/>
  <c r="M759" i="1"/>
  <c r="N835" i="1"/>
  <c r="J538" i="1"/>
  <c r="L315" i="1"/>
  <c r="B665" i="1"/>
  <c r="D652" i="1"/>
  <c r="P408" i="1"/>
  <c r="P458" i="1"/>
  <c r="A643" i="1"/>
  <c r="C606" i="1"/>
  <c r="M601" i="1"/>
  <c r="E593" i="1"/>
  <c r="F369" i="1"/>
  <c r="N1039" i="1"/>
  <c r="H568" i="1"/>
  <c r="F721" i="1"/>
  <c r="D710" i="1"/>
  <c r="F693" i="1"/>
  <c r="F237" i="1"/>
  <c r="E267" i="1"/>
  <c r="K363" i="1"/>
  <c r="F618" i="1"/>
  <c r="H532" i="1"/>
  <c r="L665" i="1"/>
  <c r="D661" i="1"/>
  <c r="N652" i="1"/>
  <c r="L449" i="1"/>
  <c r="P428" i="1"/>
  <c r="K327" i="1"/>
  <c r="M706" i="1"/>
  <c r="E500" i="1"/>
  <c r="K410" i="1"/>
  <c r="L425" i="1"/>
  <c r="I274" i="1"/>
  <c r="H403" i="1"/>
  <c r="J348" i="1"/>
  <c r="J339" i="1"/>
  <c r="D531" i="1"/>
  <c r="P474" i="1"/>
  <c r="K374" i="1"/>
  <c r="L389" i="1"/>
  <c r="I238" i="1"/>
  <c r="J309" i="1"/>
  <c r="J276" i="1"/>
  <c r="B267" i="1"/>
  <c r="H624" i="1"/>
  <c r="F986" i="1"/>
  <c r="D752" i="1"/>
  <c r="L466" i="1"/>
  <c r="K574" i="1"/>
  <c r="L628" i="1"/>
  <c r="M267" i="1"/>
  <c r="F264" i="1"/>
  <c r="E735" i="1"/>
  <c r="M632" i="1"/>
  <c r="J471" i="1"/>
  <c r="B467" i="1"/>
  <c r="L458" i="1"/>
  <c r="B851" i="1"/>
  <c r="A513" i="1"/>
  <c r="D475" i="1"/>
  <c r="C474" i="1"/>
  <c r="M469" i="1"/>
  <c r="E461" i="1"/>
  <c r="N679" i="1"/>
  <c r="E556" i="1"/>
  <c r="E394" i="1"/>
  <c r="B592" i="1"/>
  <c r="I582" i="1"/>
  <c r="M644" i="1"/>
  <c r="I672" i="1"/>
  <c r="M673" i="1"/>
  <c r="E441" i="1"/>
  <c r="D328" i="1"/>
  <c r="H912" i="1"/>
  <c r="P807" i="1"/>
  <c r="B468" i="1"/>
  <c r="K681" i="1"/>
  <c r="I517" i="1"/>
  <c r="J424" i="1"/>
  <c r="M776" i="1"/>
  <c r="K232" i="1"/>
  <c r="J282" i="1"/>
  <c r="C646" i="1"/>
  <c r="E633" i="1"/>
  <c r="H409" i="1"/>
  <c r="C439" i="1"/>
  <c r="D296" i="1"/>
  <c r="K934" i="1"/>
  <c r="N795" i="1"/>
  <c r="C610" i="1"/>
  <c r="M605" i="1"/>
  <c r="E597" i="1"/>
  <c r="F373" i="1"/>
  <c r="C1250" i="1"/>
  <c r="M863" i="1"/>
  <c r="O1004" i="1"/>
  <c r="J969" i="1"/>
  <c r="H884" i="1"/>
  <c r="N638" i="1"/>
  <c r="J610" i="1"/>
  <c r="J606" i="1"/>
  <c r="P892" i="1"/>
  <c r="F831" i="1"/>
  <c r="F633" i="1"/>
  <c r="H535" i="1"/>
  <c r="D590" i="1"/>
  <c r="D820" i="1"/>
  <c r="K837" i="1"/>
  <c r="B845" i="1"/>
  <c r="K801" i="1"/>
  <c r="H428" i="1"/>
  <c r="E863" i="1"/>
  <c r="K674" i="1"/>
  <c r="H830" i="1"/>
  <c r="L812" i="1"/>
  <c r="P778" i="1"/>
  <c r="M367" i="1"/>
  <c r="L348" i="1"/>
  <c r="D682" i="1"/>
  <c r="H641" i="1"/>
  <c r="K638" i="1"/>
  <c r="N711" i="1"/>
  <c r="P702" i="1"/>
  <c r="B685" i="1"/>
  <c r="M331" i="1"/>
  <c r="L312" i="1"/>
  <c r="O616" i="1"/>
  <c r="F746" i="1"/>
  <c r="K602" i="1"/>
  <c r="K724" i="1"/>
  <c r="J519" i="1"/>
  <c r="K642" i="1"/>
  <c r="D739" i="1"/>
  <c r="H553" i="1"/>
  <c r="N527" i="1"/>
  <c r="G392" i="1"/>
  <c r="N219" i="1"/>
  <c r="E604" i="1"/>
  <c r="L641" i="1"/>
  <c r="D637" i="1"/>
  <c r="N628" i="1"/>
  <c r="K423" i="1"/>
  <c r="H778" i="1"/>
  <c r="K598" i="1"/>
  <c r="B657" i="1"/>
  <c r="L652" i="1"/>
  <c r="D644" i="1"/>
  <c r="M291" i="1"/>
  <c r="L272" i="1"/>
  <c r="N671" i="1"/>
  <c r="E630" i="1"/>
  <c r="K562" i="1"/>
  <c r="B621" i="1"/>
  <c r="L616" i="1"/>
  <c r="D608" i="1"/>
  <c r="L459" i="1"/>
  <c r="L236" i="1"/>
  <c r="I557" i="1"/>
  <c r="C488" i="1"/>
  <c r="L323" i="1"/>
  <c r="N464" i="1"/>
  <c r="D700" i="1"/>
  <c r="E332" i="1"/>
  <c r="A274" i="1"/>
  <c r="I252" i="1"/>
  <c r="A246" i="1"/>
  <c r="P707" i="1"/>
  <c r="L227" i="1"/>
  <c r="B418" i="1"/>
  <c r="I577" i="1"/>
  <c r="L241" i="1"/>
  <c r="A226" i="1"/>
  <c r="N462" i="1"/>
  <c r="P453" i="1"/>
  <c r="A596" i="1"/>
  <c r="C371" i="1"/>
  <c r="B382" i="1"/>
  <c r="H513" i="1"/>
  <c r="C249" i="1"/>
  <c r="H434" i="1"/>
  <c r="J417" i="1"/>
  <c r="B413" i="1"/>
  <c r="J531" i="1"/>
  <c r="C275" i="1"/>
  <c r="B346" i="1"/>
  <c r="N578" i="1"/>
  <c r="B351" i="1"/>
  <c r="H398" i="1"/>
  <c r="P381" i="1"/>
  <c r="H377" i="1"/>
  <c r="C764" i="1"/>
  <c r="A610" i="1"/>
  <c r="I914" i="1"/>
  <c r="E278" i="1"/>
  <c r="L613" i="1"/>
  <c r="N958" i="1"/>
  <c r="L440" i="1"/>
  <c r="P490" i="1"/>
  <c r="A806" i="1"/>
  <c r="C638" i="1"/>
  <c r="M633" i="1"/>
  <c r="E625" i="1"/>
  <c r="H401" i="1"/>
  <c r="K804" i="1"/>
  <c r="H600" i="1"/>
  <c r="L832" i="1"/>
  <c r="P814" i="1"/>
  <c r="B781" i="1"/>
  <c r="F269" i="1"/>
  <c r="E299" i="1"/>
  <c r="I395" i="1"/>
  <c r="C840" i="1"/>
  <c r="H564" i="1"/>
  <c r="B711" i="1"/>
  <c r="D702" i="1"/>
  <c r="F685" i="1"/>
  <c r="F233" i="1"/>
  <c r="I500" i="1"/>
  <c r="K359" i="1"/>
  <c r="J590" i="1"/>
  <c r="L521" i="1"/>
  <c r="K442" i="1"/>
  <c r="I492" i="1"/>
  <c r="I306" i="1"/>
  <c r="K295" i="1"/>
  <c r="C229" i="1"/>
  <c r="N450" i="1"/>
  <c r="A611" i="1"/>
  <c r="E488" i="1"/>
  <c r="K406" i="1"/>
  <c r="L421" i="1"/>
  <c r="I270" i="1"/>
  <c r="F387" i="1"/>
  <c r="J340" i="1"/>
  <c r="J331" i="1"/>
  <c r="K444" i="1"/>
  <c r="P454" i="1"/>
  <c r="K370" i="1"/>
  <c r="P385" i="1"/>
  <c r="I234" i="1"/>
  <c r="J301" i="1"/>
  <c r="B268" i="1"/>
  <c r="K495" i="1"/>
  <c r="H592" i="1"/>
  <c r="N331" i="1"/>
  <c r="K334" i="1"/>
  <c r="D780" i="1"/>
  <c r="D692" i="1"/>
  <c r="C429" i="1"/>
  <c r="G407" i="1"/>
  <c r="C401" i="1"/>
  <c r="K526" i="1"/>
  <c r="E430" i="1"/>
  <c r="K298" i="1"/>
  <c r="P887" i="1"/>
  <c r="B515" i="1"/>
  <c r="M679" i="1"/>
  <c r="G604" i="1"/>
  <c r="N518" i="1"/>
  <c r="P505" i="1"/>
  <c r="C328" i="1"/>
  <c r="E370" i="1"/>
  <c r="B708" i="1"/>
  <c r="H798" i="1"/>
  <c r="L780" i="1"/>
  <c r="J749" i="1"/>
  <c r="M359" i="1"/>
  <c r="B833" i="1"/>
  <c r="K534" i="1"/>
  <c r="B593" i="1"/>
  <c r="L588" i="1"/>
  <c r="D580" i="1"/>
  <c r="F425" i="1"/>
  <c r="H449" i="1"/>
  <c r="D545" i="1"/>
  <c r="N597" i="1"/>
  <c r="H802" i="1"/>
  <c r="M824" i="1"/>
  <c r="C805" i="1"/>
  <c r="G771" i="1"/>
  <c r="F389" i="1"/>
  <c r="G412" i="1"/>
  <c r="I714" i="1"/>
  <c r="A660" i="1"/>
  <c r="G387" i="1"/>
  <c r="B390" i="1"/>
  <c r="N564" i="1"/>
  <c r="C281" i="1"/>
  <c r="H442" i="1"/>
  <c r="J425" i="1"/>
  <c r="B421" i="1"/>
  <c r="J595" i="1"/>
  <c r="C291" i="1"/>
  <c r="B354" i="1"/>
  <c r="K515" i="1"/>
  <c r="J372" i="1"/>
  <c r="H406" i="1"/>
  <c r="J389" i="1"/>
  <c r="F385" i="1"/>
  <c r="C530" i="1"/>
  <c r="N874" i="1"/>
  <c r="O628" i="1"/>
  <c r="K437" i="1"/>
  <c r="M611" i="1"/>
  <c r="F482" i="1"/>
  <c r="F428" i="1"/>
  <c r="D356" i="1"/>
  <c r="A633" i="1"/>
  <c r="G631" i="1"/>
  <c r="H783" i="1"/>
  <c r="P699" i="1"/>
  <c r="M598" i="1"/>
  <c r="P516" i="1"/>
  <c r="G529" i="1"/>
  <c r="B652" i="1"/>
  <c r="N642" i="1"/>
  <c r="P625" i="1"/>
  <c r="I537" i="1"/>
  <c r="P515" i="1"/>
  <c r="B416" i="1"/>
  <c r="L335" i="1"/>
  <c r="P656" i="1"/>
  <c r="I870" i="1"/>
  <c r="G847" i="1"/>
  <c r="G381" i="1"/>
  <c r="L582" i="1"/>
  <c r="G345" i="1"/>
  <c r="A883" i="1"/>
  <c r="J547" i="1"/>
  <c r="M522" i="1"/>
  <c r="A786" i="1"/>
  <c r="C703" i="1"/>
  <c r="D348" i="1"/>
  <c r="M657" i="1"/>
  <c r="A582" i="1"/>
  <c r="I565" i="1"/>
  <c r="M504" i="1"/>
  <c r="E358" i="1"/>
  <c r="K481" i="1"/>
  <c r="P475" i="1"/>
  <c r="J481" i="1"/>
  <c r="I396" i="1"/>
  <c r="G238" i="1"/>
  <c r="F160" i="1"/>
  <c r="N143" i="1"/>
  <c r="F139" i="1"/>
  <c r="F325" i="1"/>
  <c r="H579" i="1"/>
  <c r="J445" i="1"/>
  <c r="M360" i="1"/>
  <c r="O192" i="1"/>
  <c r="F124" i="1"/>
  <c r="N107" i="1"/>
  <c r="F103" i="1"/>
  <c r="M283" i="1"/>
  <c r="O515" i="1"/>
  <c r="N426" i="1"/>
  <c r="M324" i="1"/>
  <c r="O156" i="1"/>
  <c r="F88" i="1"/>
  <c r="N71" i="1"/>
  <c r="F67" i="1"/>
  <c r="O432" i="1"/>
  <c r="O479" i="1"/>
  <c r="N390" i="1"/>
  <c r="M288" i="1"/>
  <c r="O120" i="1"/>
  <c r="F52" i="1"/>
  <c r="N35" i="1"/>
  <c r="F31" i="1"/>
  <c r="B380" i="1"/>
  <c r="N594" i="1"/>
  <c r="N354" i="1"/>
  <c r="J825" i="1"/>
  <c r="K505" i="1"/>
  <c r="P538" i="1"/>
  <c r="M547" i="1"/>
  <c r="A538" i="1"/>
  <c r="B364" i="1"/>
  <c r="D324" i="1"/>
  <c r="H593" i="1"/>
  <c r="P831" i="1"/>
  <c r="O758" i="1"/>
  <c r="O690" i="1"/>
  <c r="D566" i="1"/>
  <c r="P452" i="1"/>
  <c r="P664" i="1"/>
  <c r="J976" i="1"/>
  <c r="M868" i="1"/>
  <c r="I822" i="1"/>
  <c r="H509" i="1"/>
  <c r="D481" i="1"/>
  <c r="E384" i="1"/>
  <c r="L303" i="1"/>
  <c r="P568" i="1"/>
  <c r="D718" i="1"/>
  <c r="C705" i="1"/>
  <c r="G683" i="1"/>
  <c r="J573" i="1"/>
  <c r="B596" i="1"/>
  <c r="F348" i="1"/>
  <c r="L267" i="1"/>
  <c r="N216" i="1"/>
  <c r="D431" i="1"/>
  <c r="A476" i="1"/>
  <c r="D306" i="1"/>
  <c r="N156" i="1"/>
  <c r="M112" i="1"/>
  <c r="E96" i="1"/>
  <c r="M91" i="1"/>
  <c r="E323" i="1"/>
  <c r="D395" i="1"/>
  <c r="G421" i="1"/>
  <c r="D270" i="1"/>
  <c r="N120" i="1"/>
  <c r="M76" i="1"/>
  <c r="E60" i="1"/>
  <c r="M55" i="1"/>
  <c r="L372" i="1"/>
  <c r="F359" i="1"/>
  <c r="C385" i="1"/>
  <c r="D234" i="1"/>
  <c r="N84" i="1"/>
  <c r="O284" i="1"/>
  <c r="P240" i="1"/>
  <c r="P231" i="1"/>
  <c r="L232" i="1"/>
  <c r="F323" i="1"/>
  <c r="E349" i="1"/>
  <c r="M437" i="1"/>
  <c r="N48" i="1"/>
  <c r="L210" i="1"/>
  <c r="D194" i="1"/>
  <c r="L189" i="1"/>
  <c r="C324" i="1"/>
  <c r="F287" i="1"/>
  <c r="L982" i="1"/>
  <c r="G821" i="1"/>
  <c r="I561" i="1"/>
  <c r="F300" i="1"/>
  <c r="O763" i="1"/>
  <c r="A714" i="1"/>
  <c r="O679" i="1"/>
  <c r="B841" i="1"/>
  <c r="H675" i="1"/>
  <c r="A576" i="1"/>
  <c r="K571" i="1"/>
  <c r="C563" i="1"/>
  <c r="G691" i="1"/>
  <c r="B578" i="1"/>
  <c r="C668" i="1"/>
  <c r="J667" i="1"/>
  <c r="B663" i="1"/>
  <c r="L654" i="1"/>
  <c r="K521" i="1"/>
  <c r="J436" i="1"/>
  <c r="M342" i="1"/>
  <c r="C255" i="1"/>
  <c r="C572" i="1"/>
  <c r="J631" i="1"/>
  <c r="B627" i="1"/>
  <c r="L618" i="1"/>
  <c r="K485" i="1"/>
  <c r="J400" i="1"/>
  <c r="M306" i="1"/>
  <c r="K467" i="1"/>
  <c r="P567" i="1"/>
  <c r="O389" i="1"/>
  <c r="L366" i="1"/>
  <c r="K257" i="1"/>
  <c r="E109" i="1"/>
  <c r="L30" i="1"/>
  <c r="D14" i="1"/>
  <c r="L9" i="1"/>
  <c r="M500" i="1"/>
  <c r="M353" i="1"/>
  <c r="L330" i="1"/>
  <c r="G485" i="1"/>
  <c r="E73" i="1"/>
  <c r="O298" i="1"/>
  <c r="O246" i="1"/>
  <c r="O237" i="1"/>
  <c r="F467" i="1"/>
  <c r="M317" i="1"/>
  <c r="L294" i="1"/>
  <c r="D421" i="1"/>
  <c r="O270" i="1"/>
  <c r="K213" i="1"/>
  <c r="C197" i="1"/>
  <c r="K192" i="1"/>
  <c r="F344" i="1"/>
  <c r="M281" i="1"/>
  <c r="N1007" i="1"/>
  <c r="C516" i="1"/>
  <c r="C532" i="1"/>
  <c r="J278" i="1"/>
  <c r="E583" i="1"/>
  <c r="G570" i="1"/>
  <c r="L248" i="1"/>
  <c r="N315" i="1"/>
  <c r="C680" i="1"/>
  <c r="P730" i="1"/>
  <c r="D720" i="1"/>
  <c r="F701" i="1"/>
  <c r="F241" i="1"/>
  <c r="F954" i="1"/>
  <c r="K662" i="1"/>
  <c r="H782" i="1"/>
  <c r="P762" i="1"/>
  <c r="K737" i="1"/>
  <c r="M355" i="1"/>
  <c r="L336" i="1"/>
  <c r="D586" i="1"/>
  <c r="A762" i="1"/>
  <c r="K626" i="1"/>
  <c r="N687" i="1"/>
  <c r="L680" i="1"/>
  <c r="D672" i="1"/>
  <c r="M319" i="1"/>
  <c r="L300" i="1"/>
  <c r="P916" i="1"/>
  <c r="B626" i="1"/>
  <c r="E366" i="1"/>
  <c r="K282" i="1"/>
  <c r="D606" i="1"/>
  <c r="A466" i="1"/>
  <c r="I359" i="1"/>
  <c r="I337" i="1"/>
  <c r="I331" i="1"/>
  <c r="M659" i="1"/>
  <c r="J423" i="1"/>
  <c r="K246" i="1"/>
  <c r="O540" i="1"/>
  <c r="N309" i="1"/>
  <c r="N588" i="1"/>
  <c r="F580" i="1"/>
  <c r="K456" i="1"/>
  <c r="F499" i="1"/>
  <c r="F376" i="1"/>
  <c r="O319" i="1"/>
  <c r="O413" i="1"/>
  <c r="H105" i="1"/>
  <c r="A447" i="1"/>
  <c r="M377" i="1"/>
  <c r="I294" i="1"/>
  <c r="N416" i="1"/>
  <c r="G593" i="1"/>
  <c r="O475" i="1"/>
  <c r="C238" i="1"/>
  <c r="I322" i="1"/>
  <c r="E413" i="1"/>
  <c r="C293" i="1"/>
  <c r="K275" i="1"/>
  <c r="J813" i="1"/>
  <c r="M580" i="1"/>
  <c r="K422" i="1"/>
  <c r="L437" i="1"/>
  <c r="I286" i="1"/>
  <c r="J458" i="1"/>
  <c r="I384" i="1"/>
  <c r="B813" i="1"/>
  <c r="H729" i="1"/>
  <c r="P870" i="1"/>
  <c r="I698" i="1"/>
  <c r="P638" i="1"/>
  <c r="A247" i="1"/>
  <c r="I578" i="1"/>
  <c r="B295" i="1"/>
  <c r="C165" i="1"/>
  <c r="P495" i="1"/>
  <c r="K341" i="1"/>
  <c r="L114" i="1"/>
  <c r="L93" i="1"/>
  <c r="G478" i="1"/>
  <c r="L222" i="1"/>
  <c r="B349" i="1"/>
  <c r="D171" i="1"/>
  <c r="K141" i="1"/>
  <c r="C125" i="1"/>
  <c r="K120" i="1"/>
  <c r="M302" i="1"/>
  <c r="B407" i="1"/>
  <c r="C426" i="1"/>
  <c r="B313" i="1"/>
  <c r="D135" i="1"/>
  <c r="M570" i="1"/>
  <c r="G811" i="1"/>
  <c r="L479" i="1"/>
  <c r="D352" i="1"/>
  <c r="D371" i="1"/>
  <c r="C390" i="1"/>
  <c r="B277" i="1"/>
  <c r="D529" i="1"/>
  <c r="N251" i="1"/>
  <c r="N695" i="1"/>
  <c r="B653" i="1"/>
  <c r="K250" i="1"/>
  <c r="N456" i="1"/>
  <c r="M423" i="1"/>
  <c r="M546" i="1"/>
  <c r="D179" i="1"/>
  <c r="F99" i="1"/>
  <c r="L728" i="1"/>
  <c r="P362" i="1"/>
  <c r="H152" i="1"/>
  <c r="F697" i="1"/>
  <c r="M341" i="1"/>
  <c r="H481" i="1"/>
  <c r="D461" i="1"/>
  <c r="H426" i="1"/>
  <c r="J409" i="1"/>
  <c r="B405" i="1"/>
  <c r="A696" i="1"/>
  <c r="C247" i="1"/>
  <c r="B338" i="1"/>
  <c r="B545" i="1"/>
  <c r="B335" i="1"/>
  <c r="H390" i="1"/>
  <c r="P373" i="1"/>
  <c r="H369" i="1"/>
  <c r="L629" i="1"/>
  <c r="O386" i="1"/>
  <c r="B302" i="1"/>
  <c r="H464" i="1"/>
  <c r="J262" i="1"/>
  <c r="L343" i="1"/>
  <c r="E607" i="1"/>
  <c r="E571" i="1"/>
  <c r="O814" i="1"/>
  <c r="M578" i="1"/>
  <c r="M391" i="1"/>
  <c r="G843" i="1"/>
  <c r="O508" i="1"/>
  <c r="M211" i="1"/>
  <c r="F676" i="1"/>
  <c r="A433" i="1"/>
  <c r="H56" i="1"/>
  <c r="K527" i="1"/>
  <c r="C443" i="1"/>
  <c r="B561" i="1"/>
  <c r="B343" i="1"/>
  <c r="H394" i="1"/>
  <c r="P377" i="1"/>
  <c r="H373" i="1"/>
  <c r="L661" i="1"/>
  <c r="J398" i="1"/>
  <c r="B306" i="1"/>
  <c r="H472" i="1"/>
  <c r="B271" i="1"/>
  <c r="H358" i="1"/>
  <c r="P341" i="1"/>
  <c r="H337" i="1"/>
  <c r="A708" i="1"/>
  <c r="A557" i="1"/>
  <c r="I722" i="1"/>
  <c r="J550" i="1"/>
  <c r="F502" i="1"/>
  <c r="B517" i="1"/>
  <c r="B481" i="1"/>
  <c r="K196" i="1"/>
  <c r="N298" i="1"/>
  <c r="P204" i="1"/>
  <c r="G677" i="1"/>
  <c r="N294" i="1"/>
  <c r="H262" i="1"/>
  <c r="E180" i="1"/>
  <c r="K817" i="1"/>
  <c r="K266" i="1"/>
  <c r="I482" i="1"/>
  <c r="P390" i="1"/>
  <c r="P196" i="1"/>
  <c r="H180" i="1"/>
  <c r="P175" i="1"/>
  <c r="C789" i="1"/>
  <c r="A220" i="1"/>
  <c r="A646" i="1"/>
  <c r="M604" i="1"/>
  <c r="P354" i="1"/>
  <c r="P160" i="1"/>
  <c r="H144" i="1"/>
  <c r="P139" i="1"/>
  <c r="E487" i="1"/>
  <c r="M646" i="1"/>
  <c r="P520" i="1"/>
  <c r="G525" i="1"/>
  <c r="P318" i="1"/>
  <c r="E375" i="1"/>
  <c r="P633" i="1"/>
  <c r="C497" i="1"/>
  <c r="O771" i="1"/>
  <c r="P225" i="1"/>
  <c r="L269" i="1"/>
  <c r="C228" i="1"/>
  <c r="F366" i="1"/>
  <c r="I241" i="1"/>
  <c r="M654" i="1"/>
  <c r="J502" i="1"/>
  <c r="K404" i="1"/>
  <c r="O383" i="1"/>
  <c r="D618" i="1"/>
  <c r="F456" i="1"/>
  <c r="H453" i="1"/>
  <c r="O84" i="1"/>
  <c r="F16" i="1"/>
  <c r="B261" i="1"/>
  <c r="B252" i="1"/>
  <c r="N615" i="1"/>
  <c r="H522" i="1"/>
  <c r="N318" i="1"/>
  <c r="D414" i="1"/>
  <c r="O48" i="1"/>
  <c r="K222" i="1"/>
  <c r="E204" i="1"/>
  <c r="M199" i="1"/>
  <c r="D473" i="1"/>
  <c r="H486" i="1"/>
  <c r="N282" i="1"/>
  <c r="D378" i="1"/>
  <c r="B360" i="1"/>
  <c r="K185" i="1"/>
  <c r="F648" i="1"/>
  <c r="A256" i="1"/>
  <c r="L14" i="1"/>
  <c r="M337" i="1"/>
  <c r="O247" i="1"/>
  <c r="A512" i="1"/>
  <c r="L438" i="1"/>
  <c r="O76" i="1"/>
  <c r="M56" i="1"/>
  <c r="O282" i="1"/>
  <c r="G429" i="1"/>
  <c r="P320" i="1"/>
  <c r="P106" i="1"/>
  <c r="O137" i="1"/>
  <c r="K207" i="1"/>
  <c r="I192" i="1"/>
  <c r="M189" i="1"/>
  <c r="O136" i="1"/>
  <c r="O138" i="1"/>
  <c r="F50" i="1"/>
  <c r="E110" i="1"/>
  <c r="P22" i="1"/>
  <c r="H272" i="1"/>
  <c r="P61" i="1"/>
  <c r="O59" i="1"/>
  <c r="E111" i="1"/>
  <c r="D666" i="1"/>
  <c r="K82" i="1"/>
  <c r="K12" i="1"/>
  <c r="P69" i="1"/>
  <c r="J154" i="1"/>
  <c r="D59" i="1"/>
  <c r="B237" i="1"/>
  <c r="E75" i="1"/>
  <c r="O468" i="1"/>
  <c r="K46" i="1"/>
  <c r="B175" i="1"/>
  <c r="F209" i="1"/>
  <c r="P67" i="1"/>
  <c r="O559" i="1"/>
  <c r="J352" i="1"/>
  <c r="B105" i="1"/>
  <c r="I46" i="1"/>
  <c r="C180" i="1"/>
  <c r="A124" i="1"/>
  <c r="I232" i="1"/>
  <c r="C220" i="1"/>
  <c r="F130" i="1"/>
  <c r="E190" i="1"/>
  <c r="E3" i="1"/>
  <c r="C311" i="1"/>
  <c r="C225" i="1"/>
  <c r="D408" i="1"/>
  <c r="G394" i="1"/>
  <c r="G9" i="1"/>
  <c r="C150" i="1"/>
  <c r="N3" i="1"/>
  <c r="C409" i="1"/>
  <c r="M428" i="1"/>
  <c r="K220" i="1"/>
  <c r="L120" i="1"/>
  <c r="F560" i="1"/>
  <c r="D430" i="1"/>
  <c r="K558" i="1"/>
  <c r="D468" i="1"/>
  <c r="P132" i="1"/>
  <c r="D646" i="1"/>
  <c r="P96" i="1"/>
  <c r="M592" i="1"/>
  <c r="N410" i="1"/>
  <c r="H185" i="1"/>
  <c r="F40" i="1"/>
  <c r="N23" i="1"/>
  <c r="O393" i="1"/>
  <c r="I325" i="1"/>
  <c r="O406" i="1"/>
  <c r="H150" i="1"/>
  <c r="P141" i="1"/>
  <c r="L221" i="1"/>
  <c r="A119" i="1"/>
  <c r="D246" i="1"/>
  <c r="H151" i="1"/>
  <c r="G58" i="1"/>
  <c r="N93" i="1"/>
  <c r="J164" i="1"/>
  <c r="P35" i="1"/>
  <c r="A16" i="1"/>
  <c r="F36" i="1"/>
  <c r="N94" i="1"/>
  <c r="P253" i="1"/>
  <c r="M109" i="1"/>
  <c r="A98" i="1"/>
  <c r="P27" i="1"/>
  <c r="K134" i="1"/>
  <c r="A361" i="1"/>
  <c r="L194" i="1"/>
  <c r="N58" i="1"/>
  <c r="L200" i="1"/>
  <c r="D141" i="1"/>
  <c r="G3" i="1"/>
  <c r="I85" i="1"/>
  <c r="N211" i="1"/>
  <c r="E103" i="1"/>
  <c r="F604" i="1"/>
  <c r="K74" i="1"/>
  <c r="G270" i="1"/>
  <c r="C218" i="1"/>
  <c r="J146" i="1"/>
  <c r="E442" i="1"/>
  <c r="H243" i="1"/>
  <c r="G138" i="1"/>
  <c r="N173" i="1"/>
  <c r="G276" i="1"/>
  <c r="B655" i="1"/>
  <c r="L13" i="1"/>
  <c r="D155" i="1"/>
  <c r="H436" i="1"/>
  <c r="M602" i="1"/>
  <c r="H1025" i="1"/>
  <c r="B543" i="1"/>
  <c r="L696" i="1"/>
  <c r="K252" i="1"/>
  <c r="L524" i="1"/>
  <c r="L403" i="1"/>
  <c r="M584" i="1"/>
  <c r="H493" i="1"/>
  <c r="D477" i="1"/>
  <c r="F380" i="1"/>
  <c r="L299" i="1"/>
  <c r="J396" i="1"/>
  <c r="H446" i="1"/>
  <c r="N242" i="1"/>
  <c r="D338" i="1"/>
  <c r="N188" i="1"/>
  <c r="M144" i="1"/>
  <c r="E128" i="1"/>
  <c r="M123" i="1"/>
  <c r="G455" i="1"/>
  <c r="D427" i="1"/>
  <c r="O459" i="1"/>
  <c r="D302" i="1"/>
  <c r="N152" i="1"/>
  <c r="M108" i="1"/>
  <c r="E92" i="1"/>
  <c r="M87" i="1"/>
  <c r="E303" i="1"/>
  <c r="D391" i="1"/>
  <c r="G417" i="1"/>
  <c r="D266" i="1"/>
  <c r="N116" i="1"/>
  <c r="M72" i="1"/>
  <c r="E56" i="1"/>
  <c r="M51" i="1"/>
  <c r="L360" i="1"/>
  <c r="F355" i="1"/>
  <c r="E381" i="1"/>
  <c r="D230" i="1"/>
  <c r="N80" i="1"/>
  <c r="O268" i="1"/>
  <c r="P232" i="1"/>
  <c r="C224" i="1"/>
  <c r="O457" i="1"/>
  <c r="F319" i="1"/>
  <c r="L1204" i="1"/>
  <c r="K844" i="1"/>
  <c r="C272" i="1"/>
  <c r="N551" i="1"/>
  <c r="B668" i="1"/>
  <c r="P641" i="1"/>
  <c r="N536" i="1"/>
  <c r="D650" i="1"/>
  <c r="I575" i="1"/>
  <c r="A608" i="1"/>
  <c r="K603" i="1"/>
  <c r="C595" i="1"/>
  <c r="I507" i="1"/>
  <c r="C469" i="1"/>
  <c r="H582" i="1"/>
  <c r="P716" i="1"/>
  <c r="N707" i="1"/>
  <c r="P690" i="1"/>
  <c r="H585" i="1"/>
  <c r="N451" i="1"/>
  <c r="M374" i="1"/>
  <c r="C287" i="1"/>
  <c r="C660" i="1"/>
  <c r="J663" i="1"/>
  <c r="B659" i="1"/>
  <c r="L650" i="1"/>
  <c r="K517" i="1"/>
  <c r="J432" i="1"/>
  <c r="M338" i="1"/>
  <c r="C251" i="1"/>
  <c r="B553" i="1"/>
  <c r="O421" i="1"/>
  <c r="L398" i="1"/>
  <c r="K289" i="1"/>
  <c r="E141" i="1"/>
  <c r="L62" i="1"/>
  <c r="D46" i="1"/>
  <c r="L41" i="1"/>
  <c r="B522" i="1"/>
  <c r="K385" i="1"/>
  <c r="L362" i="1"/>
  <c r="K253" i="1"/>
  <c r="E105" i="1"/>
  <c r="L26" i="1"/>
  <c r="D10" i="1"/>
  <c r="L5" i="1"/>
  <c r="M480" i="1"/>
  <c r="M349" i="1"/>
  <c r="L326" i="1"/>
  <c r="B462" i="1"/>
  <c r="E69" i="1"/>
  <c r="H280" i="1"/>
  <c r="O238" i="1"/>
  <c r="O229" i="1"/>
  <c r="F455" i="1"/>
  <c r="M313" i="1"/>
  <c r="L290" i="1"/>
  <c r="D417" i="1"/>
  <c r="P258" i="1"/>
  <c r="K209" i="1"/>
  <c r="C193" i="1"/>
  <c r="K188" i="1"/>
  <c r="F324" i="1"/>
  <c r="M277" i="1"/>
  <c r="O793" i="1"/>
  <c r="J794" i="1"/>
  <c r="L255" i="1"/>
  <c r="B527" i="1"/>
  <c r="C642" i="1"/>
  <c r="E629" i="1"/>
  <c r="C435" i="1"/>
  <c r="G547" i="1"/>
  <c r="C769" i="1"/>
  <c r="J543" i="1"/>
  <c r="B539" i="1"/>
  <c r="L530" i="1"/>
  <c r="D512" i="1"/>
  <c r="N312" i="1"/>
  <c r="I556" i="1"/>
  <c r="C634" i="1"/>
  <c r="M629" i="1"/>
  <c r="E621" i="1"/>
  <c r="H397" i="1"/>
  <c r="C427" i="1"/>
  <c r="D284" i="1"/>
  <c r="M825" i="1"/>
  <c r="M728" i="1"/>
  <c r="C598" i="1"/>
  <c r="M593" i="1"/>
  <c r="E585" i="1"/>
  <c r="F361" i="1"/>
  <c r="C391" i="1"/>
  <c r="D248" i="1"/>
  <c r="N766" i="1"/>
  <c r="I431" i="1"/>
  <c r="D331" i="1"/>
  <c r="C350" i="1"/>
  <c r="I434" i="1"/>
  <c r="A494" i="1"/>
  <c r="L476" i="1"/>
  <c r="C487" i="1"/>
  <c r="F659" i="1"/>
  <c r="H876" i="1"/>
  <c r="D295" i="1"/>
  <c r="C314" i="1"/>
  <c r="I398" i="1"/>
  <c r="N337" i="1"/>
  <c r="C457" i="1"/>
  <c r="A416" i="1"/>
  <c r="E792" i="1"/>
  <c r="I621" i="1"/>
  <c r="D259" i="1"/>
  <c r="C278" i="1"/>
  <c r="I362" i="1"/>
  <c r="E296" i="1"/>
  <c r="L361" i="1"/>
  <c r="L325" i="1"/>
  <c r="K612" i="1"/>
  <c r="F600" i="1"/>
  <c r="D223" i="1"/>
  <c r="I865" i="1"/>
  <c r="B280" i="1"/>
  <c r="J615" i="1"/>
  <c r="I583" i="1"/>
  <c r="A834" i="1"/>
  <c r="I634" i="1"/>
  <c r="J371" i="1"/>
  <c r="J407" i="1"/>
  <c r="H668" i="1"/>
  <c r="B597" i="1"/>
  <c r="L592" i="1"/>
  <c r="D584" i="1"/>
  <c r="F429" i="1"/>
  <c r="P671" i="1"/>
  <c r="B634" i="1"/>
  <c r="E639" i="1"/>
  <c r="O634" i="1"/>
  <c r="G626" i="1"/>
  <c r="D297" i="1"/>
  <c r="C320" i="1"/>
  <c r="O512" i="1"/>
  <c r="L683" i="1"/>
  <c r="O886" i="1"/>
  <c r="E603" i="1"/>
  <c r="O598" i="1"/>
  <c r="G590" i="1"/>
  <c r="D261" i="1"/>
  <c r="C284" i="1"/>
  <c r="A666" i="1"/>
  <c r="E631" i="1"/>
  <c r="J286" i="1"/>
  <c r="J261" i="1"/>
  <c r="K518" i="1"/>
  <c r="K397" i="1"/>
  <c r="H314" i="1"/>
  <c r="P297" i="1"/>
  <c r="O501" i="1"/>
  <c r="H543" i="1"/>
  <c r="E428" i="1"/>
  <c r="F782" i="1"/>
  <c r="D740" i="1"/>
  <c r="I349" i="1"/>
  <c r="L583" i="1"/>
  <c r="J603" i="1"/>
  <c r="J567" i="1"/>
  <c r="M325" i="1"/>
  <c r="M289" i="1"/>
  <c r="I283" i="1"/>
  <c r="B414" i="1"/>
  <c r="E133" i="1"/>
  <c r="E235" i="1"/>
  <c r="B378" i="1"/>
  <c r="I253" i="1"/>
  <c r="G356" i="1"/>
  <c r="B703" i="1"/>
  <c r="O437" i="1"/>
  <c r="K849" i="1"/>
  <c r="N401" i="1"/>
  <c r="A253" i="1"/>
  <c r="A231" i="1"/>
  <c r="A225" i="1"/>
  <c r="B636" i="1"/>
  <c r="A419" i="1"/>
  <c r="B402" i="1"/>
  <c r="G502" i="1"/>
  <c r="C353" i="1"/>
  <c r="L463" i="1"/>
  <c r="J437" i="1"/>
  <c r="E339" i="1"/>
  <c r="H664" i="1"/>
  <c r="H628" i="1"/>
  <c r="N725" i="1"/>
  <c r="D490" i="1"/>
  <c r="P221" i="1"/>
  <c r="M285" i="1"/>
  <c r="H73" i="1"/>
  <c r="H349" i="1"/>
  <c r="B448" i="1"/>
  <c r="I262" i="1"/>
  <c r="J324" i="1"/>
  <c r="N819" i="1"/>
  <c r="H494" i="1"/>
  <c r="A443" i="1"/>
  <c r="I290" i="1"/>
  <c r="K231" i="1"/>
  <c r="N400" i="1"/>
  <c r="B383" i="1"/>
  <c r="H646" i="1"/>
  <c r="P550" i="1"/>
  <c r="K390" i="1"/>
  <c r="L405" i="1"/>
  <c r="I254" i="1"/>
  <c r="J341" i="1"/>
  <c r="J308" i="1"/>
  <c r="J299" i="1"/>
  <c r="I620" i="1"/>
  <c r="L407" i="1"/>
  <c r="K354" i="1"/>
  <c r="J369" i="1"/>
  <c r="I218" i="1"/>
  <c r="A813" i="1"/>
  <c r="C596" i="1"/>
  <c r="P686" i="1"/>
  <c r="L648" i="1"/>
  <c r="O572" i="1"/>
  <c r="N659" i="1"/>
  <c r="L197" i="1"/>
  <c r="E494" i="1"/>
  <c r="K408" i="1"/>
  <c r="K128" i="1"/>
  <c r="N422" i="1"/>
  <c r="O152" i="1"/>
  <c r="N67" i="1"/>
  <c r="N680" i="1"/>
  <c r="K362" i="1"/>
  <c r="M568" i="1"/>
  <c r="J464" i="1"/>
  <c r="O336" i="1"/>
  <c r="O275" i="1"/>
  <c r="H260" i="1"/>
  <c r="C687" i="1"/>
  <c r="A284" i="1"/>
  <c r="I677" i="1"/>
  <c r="I510" i="1"/>
  <c r="P418" i="1"/>
  <c r="H230" i="1"/>
  <c r="H208" i="1"/>
  <c r="P203" i="1"/>
  <c r="D625" i="1"/>
  <c r="A248" i="1"/>
  <c r="G442" i="1"/>
  <c r="I474" i="1"/>
  <c r="A777" i="1"/>
  <c r="H604" i="1"/>
  <c r="O602" i="1"/>
  <c r="O566" i="1"/>
  <c r="K454" i="1"/>
  <c r="P511" i="1"/>
  <c r="L165" i="1"/>
  <c r="N330" i="1"/>
  <c r="O376" i="1"/>
  <c r="E606" i="1"/>
  <c r="N326" i="1"/>
  <c r="O56" i="1"/>
  <c r="E212" i="1"/>
  <c r="L559" i="1"/>
  <c r="K330" i="1"/>
  <c r="I514" i="1"/>
  <c r="P422" i="1"/>
  <c r="H238" i="1"/>
  <c r="H212" i="1"/>
  <c r="P207" i="1"/>
  <c r="D657" i="1"/>
  <c r="A252" i="1"/>
  <c r="G474" i="1"/>
  <c r="I478" i="1"/>
  <c r="M386" i="1"/>
  <c r="P192" i="1"/>
  <c r="H176" i="1"/>
  <c r="P171" i="1"/>
  <c r="C699" i="1"/>
  <c r="K588" i="1"/>
  <c r="H545" i="1"/>
  <c r="L533" i="1"/>
  <c r="P493" i="1"/>
  <c r="P310" i="1"/>
  <c r="P306" i="1"/>
  <c r="M525" i="1"/>
  <c r="C246" i="1"/>
  <c r="M200" i="1"/>
  <c r="L612" i="1"/>
  <c r="L226" i="1"/>
  <c r="D175" i="1"/>
  <c r="C129" i="1"/>
  <c r="C399" i="1"/>
  <c r="G743" i="1"/>
  <c r="F358" i="1"/>
  <c r="H231" i="1"/>
  <c r="G152" i="1"/>
  <c r="O135" i="1"/>
  <c r="G131" i="1"/>
  <c r="G755" i="1"/>
  <c r="F521" i="1"/>
  <c r="K553" i="1"/>
  <c r="F322" i="1"/>
  <c r="H189" i="1"/>
  <c r="G116" i="1"/>
  <c r="O99" i="1"/>
  <c r="G95" i="1"/>
  <c r="O478" i="1"/>
  <c r="F449" i="1"/>
  <c r="G503" i="1"/>
  <c r="F286" i="1"/>
  <c r="H153" i="1"/>
  <c r="F568" i="1"/>
  <c r="I569" i="1"/>
  <c r="F288" i="1"/>
  <c r="F252" i="1"/>
  <c r="D206" i="1"/>
  <c r="G320" i="1"/>
  <c r="L295" i="1"/>
  <c r="K377" i="1"/>
  <c r="O143" i="1"/>
  <c r="A439" i="1"/>
  <c r="F234" i="1"/>
  <c r="G275" i="1"/>
  <c r="E227" i="1"/>
  <c r="C259" i="1"/>
  <c r="E345" i="1"/>
  <c r="M433" i="1"/>
  <c r="N44" i="1"/>
  <c r="L206" i="1"/>
  <c r="D190" i="1"/>
  <c r="L185" i="1"/>
  <c r="C312" i="1"/>
  <c r="F283" i="1"/>
  <c r="E309" i="1"/>
  <c r="M397" i="1"/>
  <c r="O295" i="1"/>
  <c r="L170" i="1"/>
  <c r="D154" i="1"/>
  <c r="L149" i="1"/>
  <c r="P399" i="1"/>
  <c r="F247" i="1"/>
  <c r="E273" i="1"/>
  <c r="K361" i="1"/>
  <c r="B463" i="1"/>
  <c r="K164" i="1"/>
  <c r="N262" i="1"/>
  <c r="B406" i="1"/>
  <c r="H148" i="1"/>
  <c r="P530" i="1"/>
  <c r="H112" i="1"/>
  <c r="O456" i="1"/>
  <c r="L401" i="1"/>
  <c r="E213" i="1"/>
  <c r="L6" i="1"/>
  <c r="H278" i="1"/>
  <c r="D278" i="1"/>
  <c r="H155" i="1"/>
  <c r="G62" i="1"/>
  <c r="N97" i="1"/>
  <c r="J168" i="1"/>
  <c r="A44" i="1"/>
  <c r="P21" i="1"/>
  <c r="F68" i="1"/>
  <c r="N98" i="1"/>
  <c r="E262" i="1"/>
  <c r="M141" i="1"/>
  <c r="A130" i="1"/>
  <c r="B54" i="1"/>
  <c r="C140" i="1"/>
  <c r="G183" i="1"/>
  <c r="L464" i="1"/>
  <c r="J304" i="1"/>
  <c r="J78" i="1"/>
  <c r="B5" i="1"/>
  <c r="K142" i="1"/>
  <c r="O25" i="1"/>
  <c r="J205" i="1"/>
  <c r="G271" i="1"/>
  <c r="D440" i="1"/>
  <c r="G431" i="1"/>
  <c r="B41" i="1"/>
  <c r="A103" i="1"/>
  <c r="A526" i="1"/>
  <c r="K172" i="1"/>
  <c r="A410" i="1"/>
  <c r="N427" i="1"/>
  <c r="I103" i="1"/>
  <c r="F85" i="1"/>
  <c r="J151" i="1"/>
  <c r="J36" i="1"/>
  <c r="O356" i="1"/>
  <c r="N178" i="1"/>
  <c r="M114" i="1"/>
  <c r="P113" i="1"/>
  <c r="I210" i="1"/>
  <c r="B362" i="1"/>
  <c r="G477" i="1"/>
  <c r="O269" i="1"/>
  <c r="H62" i="1"/>
  <c r="M105" i="1"/>
  <c r="B132" i="1"/>
  <c r="P218" i="1"/>
  <c r="L12" i="1"/>
  <c r="A422" i="1"/>
  <c r="D169" i="1"/>
  <c r="L345" i="1"/>
  <c r="E748" i="1"/>
  <c r="N393" i="1"/>
  <c r="A754" i="1"/>
  <c r="E776" i="1"/>
  <c r="O255" i="1"/>
  <c r="M305" i="1"/>
  <c r="K201" i="1"/>
  <c r="G420" i="1"/>
  <c r="L342" i="1"/>
  <c r="O44" i="1"/>
  <c r="P241" i="1"/>
  <c r="D214" i="1"/>
  <c r="L370" i="1"/>
  <c r="E466" i="1"/>
  <c r="P74" i="1"/>
  <c r="O105" i="1"/>
  <c r="C156" i="1"/>
  <c r="P25" i="1"/>
  <c r="K211" i="1"/>
  <c r="N96" i="1"/>
  <c r="O106" i="1"/>
  <c r="F18" i="1"/>
  <c r="E78" i="1"/>
  <c r="B43" i="1"/>
  <c r="K92" i="1"/>
  <c r="E247" i="1"/>
  <c r="N19" i="1"/>
  <c r="E79" i="1"/>
  <c r="N538" i="1"/>
  <c r="K50" i="1"/>
  <c r="B183" i="1"/>
  <c r="O263" i="1"/>
  <c r="J122" i="1"/>
  <c r="B73" i="1"/>
  <c r="D178" i="1"/>
  <c r="G295" i="1"/>
  <c r="P524" i="1"/>
  <c r="K14" i="1"/>
  <c r="J89" i="1"/>
  <c r="M193" i="1"/>
  <c r="G151" i="1"/>
  <c r="P417" i="1"/>
  <c r="J288" i="1"/>
  <c r="J238" i="1"/>
  <c r="J38" i="1"/>
  <c r="C130" i="1"/>
  <c r="A13" i="1"/>
  <c r="E385" i="1"/>
  <c r="O186" i="1"/>
  <c r="F98" i="1"/>
  <c r="E158" i="1"/>
  <c r="I132" i="1"/>
  <c r="A308" i="1"/>
  <c r="G245" i="1"/>
  <c r="O755" i="1"/>
  <c r="G196" i="1"/>
  <c r="I552" i="1"/>
  <c r="L534" i="1"/>
  <c r="J607" i="1"/>
  <c r="N376" i="1"/>
  <c r="E686" i="1"/>
  <c r="J298" i="1"/>
  <c r="C609" i="1"/>
  <c r="A574" i="1"/>
  <c r="N447" i="1"/>
  <c r="M370" i="1"/>
  <c r="C283" i="1"/>
  <c r="F656" i="1"/>
  <c r="M460" i="1"/>
  <c r="L430" i="1"/>
  <c r="K321" i="1"/>
  <c r="E173" i="1"/>
  <c r="L94" i="1"/>
  <c r="D78" i="1"/>
  <c r="L73" i="1"/>
  <c r="H516" i="1"/>
  <c r="O417" i="1"/>
  <c r="L394" i="1"/>
  <c r="K285" i="1"/>
  <c r="E137" i="1"/>
  <c r="L58" i="1"/>
  <c r="D42" i="1"/>
  <c r="L37" i="1"/>
  <c r="N496" i="1"/>
  <c r="M381" i="1"/>
  <c r="L358" i="1"/>
  <c r="K249" i="1"/>
  <c r="E101" i="1"/>
  <c r="L22" i="1"/>
  <c r="D6" i="1"/>
  <c r="O1" i="1"/>
  <c r="M468" i="1"/>
  <c r="M345" i="1"/>
  <c r="L322" i="1"/>
  <c r="B454" i="1"/>
  <c r="E65" i="1"/>
  <c r="M264" i="1"/>
  <c r="O230" i="1"/>
  <c r="H222" i="1"/>
  <c r="P459" i="1"/>
  <c r="M309" i="1"/>
  <c r="A756" i="1"/>
  <c r="B808" i="1"/>
  <c r="E346" i="1"/>
  <c r="E508" i="1"/>
  <c r="F733" i="1"/>
  <c r="E702" i="1"/>
  <c r="N252" i="1"/>
  <c r="F488" i="1"/>
  <c r="P683" i="1"/>
  <c r="J575" i="1"/>
  <c r="B571" i="1"/>
  <c r="L562" i="1"/>
  <c r="J561" i="1"/>
  <c r="N344" i="1"/>
  <c r="I640" i="1"/>
  <c r="C666" i="1"/>
  <c r="M661" i="1"/>
  <c r="E653" i="1"/>
  <c r="H429" i="1"/>
  <c r="E490" i="1"/>
  <c r="D316" i="1"/>
  <c r="B266" i="1"/>
  <c r="I544" i="1"/>
  <c r="C630" i="1"/>
  <c r="M625" i="1"/>
  <c r="E617" i="1"/>
  <c r="H393" i="1"/>
  <c r="C423" i="1"/>
  <c r="D280" i="1"/>
  <c r="P787" i="1"/>
  <c r="D320" i="1"/>
  <c r="D363" i="1"/>
  <c r="C382" i="1"/>
  <c r="J268" i="1"/>
  <c r="D502" i="1"/>
  <c r="B506" i="1"/>
  <c r="B470" i="1"/>
  <c r="M684" i="1"/>
  <c r="I419" i="1"/>
  <c r="D327" i="1"/>
  <c r="C346" i="1"/>
  <c r="I430" i="1"/>
  <c r="E800" i="1"/>
  <c r="L444" i="1"/>
  <c r="P425" i="1"/>
  <c r="J731" i="1"/>
  <c r="M650" i="1"/>
  <c r="D291" i="1"/>
  <c r="C310" i="1"/>
  <c r="I394" i="1"/>
  <c r="N305" i="1"/>
  <c r="A420" i="1"/>
  <c r="D384" i="1"/>
  <c r="O585" i="1"/>
  <c r="I1084" i="1"/>
  <c r="D255" i="1"/>
  <c r="C274" i="1"/>
  <c r="I358" i="1"/>
  <c r="K507" i="1"/>
  <c r="L329" i="1"/>
  <c r="L293" i="1"/>
  <c r="G855" i="1"/>
  <c r="O520" i="1"/>
  <c r="O485" i="1"/>
  <c r="M737" i="1"/>
  <c r="K921" i="1"/>
  <c r="A663" i="1"/>
  <c r="J438" i="1"/>
  <c r="E679" i="1"/>
  <c r="G666" i="1"/>
  <c r="L280" i="1"/>
  <c r="N347" i="1"/>
  <c r="H590" i="1"/>
  <c r="L848" i="1"/>
  <c r="P830" i="1"/>
  <c r="B797" i="1"/>
  <c r="F273" i="1"/>
  <c r="D886" i="1"/>
  <c r="O705" i="1"/>
  <c r="L605" i="1"/>
  <c r="D987" i="1"/>
  <c r="P858" i="1"/>
  <c r="I387" i="1"/>
  <c r="L368" i="1"/>
  <c r="M618" i="1"/>
  <c r="N830" i="1"/>
  <c r="K658" i="1"/>
  <c r="L764" i="1"/>
  <c r="L750" i="1"/>
  <c r="D728" i="1"/>
  <c r="M351" i="1"/>
  <c r="L332" i="1"/>
  <c r="D554" i="1"/>
  <c r="K654" i="1"/>
  <c r="N247" i="1"/>
  <c r="K314" i="1"/>
  <c r="M638" i="1"/>
  <c r="D446" i="1"/>
  <c r="A402" i="1"/>
  <c r="I380" i="1"/>
  <c r="A374" i="1"/>
  <c r="D864" i="1"/>
  <c r="E354" i="1"/>
  <c r="K278" i="1"/>
  <c r="D574" i="1"/>
  <c r="H570" i="1"/>
  <c r="A354" i="1"/>
  <c r="I332" i="1"/>
  <c r="A326" i="1"/>
  <c r="M627" i="1"/>
  <c r="J403" i="1"/>
  <c r="K242" i="1"/>
  <c r="F843" i="1"/>
  <c r="N277" i="1"/>
  <c r="A306" i="1"/>
  <c r="I284" i="1"/>
  <c r="A278" i="1"/>
  <c r="F536" i="1"/>
  <c r="L291" i="1"/>
  <c r="J443" i="1"/>
  <c r="E586" i="1"/>
  <c r="A545" i="1"/>
  <c r="B611" i="1"/>
  <c r="A567" i="1"/>
  <c r="K607" i="1"/>
  <c r="I515" i="1"/>
  <c r="J584" i="1"/>
  <c r="C295" i="1"/>
  <c r="K538" i="1"/>
  <c r="C661" i="1"/>
  <c r="K625" i="1"/>
  <c r="C585" i="1"/>
  <c r="O412" i="1"/>
  <c r="G476" i="1"/>
  <c r="F717" i="1"/>
  <c r="M796" i="1"/>
  <c r="O687" i="1"/>
  <c r="A618" i="1"/>
  <c r="K280" i="1"/>
  <c r="B689" i="1"/>
  <c r="P566" i="1"/>
  <c r="O806" i="1"/>
  <c r="M663" i="1"/>
  <c r="H551" i="1"/>
  <c r="J542" i="1"/>
  <c r="N525" i="1"/>
  <c r="K244" i="1"/>
  <c r="O620" i="1"/>
  <c r="P510" i="1"/>
  <c r="O626" i="1"/>
  <c r="F814" i="1"/>
  <c r="E518" i="1"/>
  <c r="F571" i="1"/>
  <c r="P342" i="1"/>
  <c r="P148" i="1"/>
  <c r="H132" i="1"/>
  <c r="P127" i="1"/>
  <c r="J534" i="1"/>
  <c r="M550" i="1"/>
  <c r="P496" i="1"/>
  <c r="B513" i="1"/>
  <c r="J760" i="1"/>
  <c r="K644" i="1"/>
  <c r="B599" i="1"/>
  <c r="B563" i="1"/>
  <c r="L302" i="1"/>
  <c r="L266" i="1"/>
  <c r="P288" i="1"/>
  <c r="E672" i="1"/>
  <c r="A221" i="1"/>
  <c r="L33" i="1"/>
  <c r="D540" i="1"/>
  <c r="H69" i="1"/>
  <c r="N195" i="1"/>
  <c r="L868" i="1"/>
  <c r="K426" i="1"/>
  <c r="J498" i="1"/>
  <c r="A291" i="1"/>
  <c r="K400" i="1"/>
  <c r="F384" i="1"/>
  <c r="O379" i="1"/>
  <c r="N626" i="1"/>
  <c r="A348" i="1"/>
  <c r="O640" i="1"/>
  <c r="A802" i="1"/>
  <c r="A243" i="1"/>
  <c r="O364" i="1"/>
  <c r="G348" i="1"/>
  <c r="E472" i="1"/>
  <c r="C570" i="1"/>
  <c r="C534" i="1"/>
  <c r="D267" i="1"/>
  <c r="D231" i="1"/>
  <c r="A241" i="1"/>
  <c r="B318" i="1"/>
  <c r="D211" i="1"/>
  <c r="F195" i="1"/>
  <c r="B282" i="1"/>
  <c r="C495" i="1"/>
  <c r="O291" i="1"/>
  <c r="H587" i="1"/>
  <c r="O405" i="1"/>
  <c r="N542" i="1"/>
  <c r="A385" i="1"/>
  <c r="K491" i="1"/>
  <c r="P441" i="1"/>
  <c r="B437" i="1"/>
  <c r="D792" i="1"/>
  <c r="C339" i="1"/>
  <c r="B370" i="1"/>
  <c r="H465" i="1"/>
  <c r="N436" i="1"/>
  <c r="H422" i="1"/>
  <c r="J405" i="1"/>
  <c r="B401" i="1"/>
  <c r="C658" i="1"/>
  <c r="C243" i="1"/>
  <c r="B334" i="1"/>
  <c r="B529" i="1"/>
  <c r="B327" i="1"/>
  <c r="C622" i="1"/>
  <c r="L673" i="1"/>
  <c r="D676" i="1"/>
  <c r="D640" i="1"/>
  <c r="N341" i="1"/>
  <c r="E300" i="1"/>
  <c r="K609" i="1"/>
  <c r="L230" i="1"/>
  <c r="F120" i="1"/>
  <c r="B688" i="1"/>
  <c r="L354" i="1"/>
  <c r="E97" i="1"/>
  <c r="D2" i="1"/>
  <c r="N507" i="1"/>
  <c r="O672" i="1"/>
  <c r="F422" i="1"/>
  <c r="G365" i="1"/>
  <c r="M216" i="1"/>
  <c r="O199" i="1"/>
  <c r="G195" i="1"/>
  <c r="E677" i="1"/>
  <c r="G446" i="1"/>
  <c r="H491" i="1"/>
  <c r="C386" i="1"/>
  <c r="G329" i="1"/>
  <c r="G180" i="1"/>
  <c r="O163" i="1"/>
  <c r="G159" i="1"/>
  <c r="N616" i="1"/>
  <c r="E544" i="1"/>
  <c r="K665" i="1"/>
  <c r="F350" i="1"/>
  <c r="C415" i="1"/>
  <c r="M856" i="1"/>
  <c r="G594" i="1"/>
  <c r="G558" i="1"/>
  <c r="A355" i="1"/>
  <c r="A307" i="1"/>
  <c r="B903" i="1"/>
  <c r="C374" i="1"/>
  <c r="B246" i="1"/>
  <c r="K559" i="1"/>
  <c r="L258" i="1"/>
  <c r="D207" i="1"/>
  <c r="C161" i="1"/>
  <c r="N280" i="1"/>
  <c r="F644" i="1"/>
  <c r="F390" i="1"/>
  <c r="G333" i="1"/>
  <c r="G184" i="1"/>
  <c r="O167" i="1"/>
  <c r="G163" i="1"/>
  <c r="N648" i="1"/>
  <c r="J576" i="1"/>
  <c r="M704" i="1"/>
  <c r="F354" i="1"/>
  <c r="M223" i="1"/>
  <c r="G148" i="1"/>
  <c r="O131" i="1"/>
  <c r="G127" i="1"/>
  <c r="G682" i="1"/>
  <c r="M577" i="1"/>
  <c r="J536" i="1"/>
  <c r="K248" i="1"/>
  <c r="F452" i="1"/>
  <c r="P116" i="1"/>
  <c r="O286" i="1"/>
  <c r="M616" i="1"/>
  <c r="I490" i="1"/>
  <c r="C345" i="1"/>
  <c r="L552" i="1"/>
  <c r="I650" i="1"/>
  <c r="A216" i="1"/>
  <c r="G441" i="1"/>
  <c r="M314" i="1"/>
  <c r="D532" i="1"/>
  <c r="M348" i="1"/>
  <c r="O180" i="1"/>
  <c r="F112" i="1"/>
  <c r="N95" i="1"/>
  <c r="F91" i="1"/>
  <c r="B385" i="1"/>
  <c r="O503" i="1"/>
  <c r="N414" i="1"/>
  <c r="M312" i="1"/>
  <c r="O144" i="1"/>
  <c r="F76" i="1"/>
  <c r="N59" i="1"/>
  <c r="F55" i="1"/>
  <c r="K336" i="1"/>
  <c r="O467" i="1"/>
  <c r="N378" i="1"/>
  <c r="M276" i="1"/>
  <c r="O108" i="1"/>
  <c r="J556" i="1"/>
  <c r="J522" i="1"/>
  <c r="A448" i="1"/>
  <c r="A411" i="1"/>
  <c r="L201" i="1"/>
  <c r="C377" i="1"/>
  <c r="H485" i="1"/>
  <c r="E268" i="1"/>
  <c r="D134" i="1"/>
  <c r="N547" i="1"/>
  <c r="M405" i="1"/>
  <c r="L178" i="1"/>
  <c r="L157" i="1"/>
  <c r="F616" i="1"/>
  <c r="L286" i="1"/>
  <c r="D413" i="1"/>
  <c r="P250" i="1"/>
  <c r="K205" i="1"/>
  <c r="C189" i="1"/>
  <c r="K184" i="1"/>
  <c r="F312" i="1"/>
  <c r="M273" i="1"/>
  <c r="L250" i="1"/>
  <c r="B377" i="1"/>
  <c r="D199" i="1"/>
  <c r="K169" i="1"/>
  <c r="C153" i="1"/>
  <c r="K148" i="1"/>
  <c r="M410" i="1"/>
  <c r="B435" i="1"/>
  <c r="G461" i="1"/>
  <c r="B341" i="1"/>
  <c r="N275" i="1"/>
  <c r="F739" i="1"/>
  <c r="D358" i="1"/>
  <c r="L350" i="1"/>
  <c r="O326" i="1"/>
  <c r="L314" i="1"/>
  <c r="E172" i="1"/>
  <c r="A312" i="1"/>
  <c r="M552" i="1"/>
  <c r="I598" i="1"/>
  <c r="N301" i="1"/>
  <c r="N265" i="1"/>
  <c r="N128" i="1"/>
  <c r="O110" i="1"/>
  <c r="F22" i="1"/>
  <c r="E82" i="1"/>
  <c r="A57" i="1"/>
  <c r="K105" i="1"/>
  <c r="G49" i="1"/>
  <c r="N51" i="1"/>
  <c r="E83" i="1"/>
  <c r="D462" i="1"/>
  <c r="K54" i="1"/>
  <c r="B195" i="1"/>
  <c r="G57" i="1"/>
  <c r="O446" i="1"/>
  <c r="D478" i="1"/>
  <c r="A378" i="1"/>
  <c r="N403" i="1"/>
  <c r="M21" i="1"/>
  <c r="M133" i="1"/>
  <c r="J127" i="1"/>
  <c r="G264" i="1"/>
  <c r="B284" i="1"/>
  <c r="C633" i="1"/>
  <c r="A330" i="1"/>
  <c r="P367" i="1"/>
  <c r="A163" i="1"/>
  <c r="D152" i="1"/>
  <c r="O548" i="1"/>
  <c r="B299" i="1"/>
  <c r="H352" i="1"/>
  <c r="G338" i="1"/>
  <c r="J59" i="1"/>
  <c r="K77" i="1"/>
  <c r="A21" i="1"/>
  <c r="G301" i="1"/>
  <c r="G340" i="1"/>
  <c r="E163" i="1"/>
  <c r="L64" i="1"/>
  <c r="C151" i="1"/>
  <c r="M219" i="1"/>
  <c r="E568" i="1"/>
  <c r="G367" i="1"/>
  <c r="G198" i="1"/>
  <c r="E248" i="1"/>
  <c r="C50" i="1"/>
  <c r="E12" i="1"/>
  <c r="B111" i="1"/>
  <c r="I532" i="1"/>
  <c r="O264" i="1"/>
  <c r="B379" i="1"/>
  <c r="I281" i="1"/>
  <c r="N951" i="1"/>
  <c r="K711" i="1"/>
  <c r="G413" i="1"/>
  <c r="B374" i="1"/>
  <c r="H116" i="1"/>
  <c r="P464" i="1"/>
  <c r="H80" i="1"/>
  <c r="P518" i="1"/>
  <c r="D670" i="1"/>
  <c r="E181" i="1"/>
  <c r="O239" i="1"/>
  <c r="C213" i="1"/>
  <c r="K261" i="1"/>
  <c r="H123" i="1"/>
  <c r="G283" i="1"/>
  <c r="N65" i="1"/>
  <c r="J136" i="1"/>
  <c r="I109" i="1"/>
  <c r="A43" i="1"/>
  <c r="M52" i="1"/>
  <c r="N66" i="1"/>
  <c r="L208" i="1"/>
  <c r="D172" i="1"/>
  <c r="E14" i="1"/>
  <c r="E18" i="1"/>
  <c r="C96" i="1"/>
  <c r="G55" i="1"/>
  <c r="N225" i="1"/>
  <c r="A438" i="1"/>
  <c r="I53" i="1"/>
  <c r="I9" i="1"/>
  <c r="C97" i="1"/>
  <c r="P271" i="1"/>
  <c r="J145" i="1"/>
  <c r="F115" i="1"/>
  <c r="L381" i="1"/>
  <c r="L388" i="1"/>
  <c r="K125" i="1"/>
  <c r="B391" i="1"/>
  <c r="I541" i="1"/>
  <c r="M812" i="1"/>
  <c r="D516" i="1"/>
  <c r="H567" i="1"/>
  <c r="F585" i="1"/>
  <c r="A516" i="1"/>
  <c r="I671" i="1"/>
  <c r="C801" i="1"/>
  <c r="H425" i="1"/>
  <c r="G463" i="1"/>
  <c r="D312" i="1"/>
  <c r="B262" i="1"/>
  <c r="K449" i="1"/>
  <c r="B395" i="1"/>
  <c r="C414" i="1"/>
  <c r="B301" i="1"/>
  <c r="O750" i="1"/>
  <c r="N623" i="1"/>
  <c r="I618" i="1"/>
  <c r="J977" i="1"/>
  <c r="D308" i="1"/>
  <c r="D359" i="1"/>
  <c r="C378" i="1"/>
  <c r="J264" i="1"/>
  <c r="G699" i="1"/>
  <c r="B474" i="1"/>
  <c r="P575" i="1"/>
  <c r="B632" i="1"/>
  <c r="I399" i="1"/>
  <c r="D323" i="1"/>
  <c r="C342" i="1"/>
  <c r="I426" i="1"/>
  <c r="H562" i="1"/>
  <c r="P429" i="1"/>
  <c r="P393" i="1"/>
  <c r="A577" i="1"/>
  <c r="M554" i="1"/>
  <c r="D287" i="1"/>
  <c r="C306" i="1"/>
  <c r="I390" i="1"/>
  <c r="N273" i="1"/>
  <c r="H388" i="1"/>
  <c r="E352" i="1"/>
  <c r="F681" i="1"/>
  <c r="I594" i="1"/>
  <c r="D251" i="1"/>
  <c r="M726" i="1"/>
  <c r="N855" i="1"/>
  <c r="H945" i="1"/>
  <c r="C299" i="1"/>
  <c r="M872" i="1"/>
  <c r="G819" i="1"/>
  <c r="L344" i="1"/>
  <c r="N379" i="1"/>
  <c r="J614" i="1"/>
  <c r="C542" i="1"/>
  <c r="M537" i="1"/>
  <c r="E529" i="1"/>
  <c r="F305" i="1"/>
  <c r="J993" i="1"/>
  <c r="E804" i="1"/>
  <c r="L637" i="1"/>
  <c r="D633" i="1"/>
  <c r="N624" i="1"/>
  <c r="K419" i="1"/>
  <c r="P400" i="1"/>
  <c r="A881" i="1"/>
  <c r="G724" i="1"/>
  <c r="O697" i="1"/>
  <c r="B1020" i="1"/>
  <c r="M879" i="1"/>
  <c r="P842" i="1"/>
  <c r="M383" i="1"/>
  <c r="L364" i="1"/>
  <c r="M586" i="1"/>
  <c r="J701" i="1"/>
  <c r="N375" i="1"/>
  <c r="K346" i="1"/>
  <c r="H815" i="1"/>
  <c r="M634" i="1"/>
  <c r="E460" i="1"/>
  <c r="G423" i="1"/>
  <c r="C417" i="1"/>
  <c r="K622" i="1"/>
  <c r="N235" i="1"/>
  <c r="K310" i="1"/>
  <c r="M606" i="1"/>
  <c r="O516" i="1"/>
  <c r="C397" i="1"/>
  <c r="A375" i="1"/>
  <c r="A369" i="1"/>
  <c r="H742" i="1"/>
  <c r="E334" i="1"/>
  <c r="K274" i="1"/>
  <c r="D542" i="1"/>
  <c r="L516" i="1"/>
  <c r="A349" i="1"/>
  <c r="A327" i="1"/>
  <c r="A321" i="1"/>
  <c r="M595" i="1"/>
  <c r="J391" i="1"/>
  <c r="K238" i="1"/>
  <c r="F727" i="1"/>
  <c r="N245" i="1"/>
  <c r="A301" i="1"/>
  <c r="A279" i="1"/>
  <c r="A273" i="1"/>
  <c r="D499" i="1"/>
  <c r="L275" i="1"/>
  <c r="B438" i="1"/>
  <c r="F938" i="1"/>
  <c r="D385" i="1"/>
  <c r="A648" i="1"/>
  <c r="N678" i="1"/>
  <c r="D552" i="1"/>
  <c r="N526" i="1"/>
  <c r="P403" i="1"/>
  <c r="K439" i="1"/>
  <c r="N763" i="1"/>
  <c r="B629" i="1"/>
  <c r="L624" i="1"/>
  <c r="D616" i="1"/>
  <c r="A504" i="1"/>
  <c r="G572" i="1"/>
  <c r="B666" i="1"/>
  <c r="E671" i="1"/>
  <c r="O666" i="1"/>
  <c r="G658" i="1"/>
  <c r="D329" i="1"/>
  <c r="C352" i="1"/>
  <c r="G791" i="1"/>
  <c r="P663" i="1"/>
  <c r="B630" i="1"/>
  <c r="E635" i="1"/>
  <c r="O630" i="1"/>
  <c r="G622" i="1"/>
  <c r="D293" i="1"/>
  <c r="C316" i="1"/>
  <c r="O504" i="1"/>
  <c r="O751" i="1"/>
  <c r="J366" i="1"/>
  <c r="B294" i="1"/>
  <c r="H448" i="1"/>
  <c r="J448" i="1"/>
  <c r="H346" i="1"/>
  <c r="P329" i="1"/>
  <c r="H325" i="1"/>
  <c r="E599" i="1"/>
  <c r="J270" i="1"/>
  <c r="G481" i="1"/>
  <c r="K510" i="1"/>
  <c r="M392" i="1"/>
  <c r="H310" i="1"/>
  <c r="G505" i="1"/>
  <c r="O469" i="1"/>
  <c r="N502" i="1"/>
  <c r="E424" i="1"/>
  <c r="D812" i="1"/>
  <c r="E648" i="1"/>
  <c r="I344" i="1"/>
  <c r="O440" i="1"/>
  <c r="C424" i="1"/>
  <c r="M419" i="1"/>
  <c r="H533" i="1"/>
  <c r="D388" i="1"/>
  <c r="P850" i="1"/>
  <c r="N791" i="1"/>
  <c r="L768" i="1"/>
  <c r="L602" i="1"/>
  <c r="H640" i="1"/>
  <c r="M541" i="1"/>
  <c r="F309" i="1"/>
  <c r="F471" i="1"/>
  <c r="H857" i="1"/>
  <c r="I842" i="1"/>
  <c r="G635" i="1"/>
  <c r="N600" i="1"/>
  <c r="L577" i="1"/>
  <c r="F392" i="1"/>
  <c r="H651" i="1"/>
  <c r="C496" i="1"/>
  <c r="J499" i="1"/>
  <c r="B495" i="1"/>
  <c r="L486" i="1"/>
  <c r="C499" i="1"/>
  <c r="F550" i="1"/>
  <c r="N307" i="1"/>
  <c r="P662" i="1"/>
  <c r="C460" i="1"/>
  <c r="J463" i="1"/>
  <c r="B459" i="1"/>
  <c r="L450" i="1"/>
  <c r="O686" i="1"/>
  <c r="K466" i="1"/>
  <c r="N271" i="1"/>
  <c r="G618" i="1"/>
  <c r="F497" i="1"/>
  <c r="K529" i="1"/>
  <c r="F310" i="1"/>
  <c r="H177" i="1"/>
  <c r="G104" i="1"/>
  <c r="O87" i="1"/>
  <c r="G83" i="1"/>
  <c r="P521" i="1"/>
  <c r="K597" i="1"/>
  <c r="G491" i="1"/>
  <c r="F274" i="1"/>
  <c r="J500" i="1"/>
  <c r="D840" i="1"/>
  <c r="L590" i="1"/>
  <c r="L554" i="1"/>
  <c r="D429" i="1"/>
  <c r="D393" i="1"/>
  <c r="M628" i="1"/>
  <c r="L390" i="1"/>
  <c r="G291" i="1"/>
  <c r="A564" i="1"/>
  <c r="E285" i="1"/>
  <c r="B231" i="1"/>
  <c r="D130" i="1"/>
  <c r="O400" i="1"/>
  <c r="B310" i="1"/>
  <c r="B469" i="1"/>
  <c r="A429" i="1"/>
  <c r="P68" i="1"/>
  <c r="H52" i="1"/>
  <c r="P47" i="1"/>
  <c r="B612" i="1"/>
  <c r="B825" i="1"/>
  <c r="A471" i="1"/>
  <c r="H455" i="1"/>
  <c r="A393" i="1"/>
  <c r="H275" i="1"/>
  <c r="G760" i="1"/>
  <c r="P676" i="1"/>
  <c r="M565" i="1"/>
  <c r="M529" i="1"/>
  <c r="C286" i="1"/>
  <c r="C250" i="1"/>
  <c r="P215" i="1"/>
  <c r="D548" i="1"/>
  <c r="H370" i="1"/>
  <c r="K160" i="1"/>
  <c r="J501" i="1"/>
  <c r="H293" i="1"/>
  <c r="N163" i="1"/>
  <c r="H740" i="1"/>
  <c r="K394" i="1"/>
  <c r="J466" i="1"/>
  <c r="I248" i="1"/>
  <c r="O368" i="1"/>
  <c r="G352" i="1"/>
  <c r="O347" i="1"/>
  <c r="H774" i="1"/>
  <c r="A316" i="1"/>
  <c r="F612" i="1"/>
  <c r="M560" i="1"/>
  <c r="J456" i="1"/>
  <c r="O332" i="1"/>
  <c r="H261" i="1"/>
  <c r="H252" i="1"/>
  <c r="M653" i="1"/>
  <c r="A280" i="1"/>
  <c r="I645" i="1"/>
  <c r="I506" i="1"/>
  <c r="P414" i="1"/>
  <c r="H676" i="1"/>
  <c r="D669" i="1"/>
  <c r="M323" i="1"/>
  <c r="M287" i="1"/>
  <c r="A317" i="1"/>
  <c r="N56" i="1"/>
  <c r="F293" i="1"/>
  <c r="J506" i="1"/>
  <c r="K149" i="1"/>
  <c r="L451" i="1"/>
  <c r="M542" i="1"/>
  <c r="F386" i="1"/>
  <c r="A358" i="1"/>
  <c r="I622" i="1"/>
  <c r="E816" i="1"/>
  <c r="I412" i="1"/>
  <c r="H277" i="1"/>
  <c r="F176" i="1"/>
  <c r="N159" i="1"/>
  <c r="F155" i="1"/>
  <c r="L461" i="1"/>
  <c r="C669" i="1"/>
  <c r="J461" i="1"/>
  <c r="M376" i="1"/>
  <c r="O208" i="1"/>
  <c r="F140" i="1"/>
  <c r="N123" i="1"/>
  <c r="F119" i="1"/>
  <c r="K411" i="1"/>
  <c r="I538" i="1"/>
  <c r="N442" i="1"/>
  <c r="M340" i="1"/>
  <c r="C582" i="1"/>
  <c r="C837" i="1"/>
  <c r="D265" i="1"/>
  <c r="D229" i="1"/>
  <c r="A452" i="1"/>
  <c r="N24" i="1"/>
  <c r="M562" i="1"/>
  <c r="J474" i="1"/>
  <c r="J586" i="1"/>
  <c r="A499" i="1"/>
  <c r="N595" i="1"/>
  <c r="A258" i="1"/>
  <c r="A230" i="1"/>
  <c r="M442" i="1"/>
  <c r="G511" i="1"/>
  <c r="M380" i="1"/>
  <c r="O212" i="1"/>
  <c r="F144" i="1"/>
  <c r="N127" i="1"/>
  <c r="F123" i="1"/>
  <c r="N443" i="1"/>
  <c r="I546" i="1"/>
  <c r="M449" i="1"/>
  <c r="M344" i="1"/>
  <c r="O176" i="1"/>
  <c r="F108" i="1"/>
  <c r="N91" i="1"/>
  <c r="F87" i="1"/>
  <c r="D353" i="1"/>
  <c r="B745" i="1"/>
  <c r="O522" i="1"/>
  <c r="O652" i="1"/>
  <c r="B857" i="1"/>
  <c r="H100" i="1"/>
  <c r="P112" i="1"/>
  <c r="D450" i="1"/>
  <c r="D394" i="1"/>
  <c r="H188" i="1"/>
  <c r="F472" i="1"/>
  <c r="M490" i="1"/>
  <c r="O320" i="1"/>
  <c r="G243" i="1"/>
  <c r="E302" i="1"/>
  <c r="D441" i="1"/>
  <c r="D290" i="1"/>
  <c r="N140" i="1"/>
  <c r="M96" i="1"/>
  <c r="E80" i="1"/>
  <c r="M75" i="1"/>
  <c r="I468" i="1"/>
  <c r="F379" i="1"/>
  <c r="G405" i="1"/>
  <c r="D254" i="1"/>
  <c r="N104" i="1"/>
  <c r="M60" i="1"/>
  <c r="G303" i="1"/>
  <c r="O280" i="1"/>
  <c r="L308" i="1"/>
  <c r="F343" i="1"/>
  <c r="E369" i="1"/>
  <c r="M478" i="1"/>
  <c r="N68" i="1"/>
  <c r="D658" i="1"/>
  <c r="A631" i="1"/>
  <c r="A535" i="1"/>
  <c r="L276" i="1"/>
  <c r="C376" i="1"/>
  <c r="E252" i="1"/>
  <c r="F263" i="1"/>
  <c r="H247" i="1"/>
  <c r="I235" i="1"/>
  <c r="F227" i="1"/>
  <c r="I326" i="1"/>
  <c r="C313" i="1"/>
  <c r="I501" i="1"/>
  <c r="I554" i="1"/>
  <c r="C270" i="1"/>
  <c r="I354" i="1"/>
  <c r="N429" i="1"/>
  <c r="L297" i="1"/>
  <c r="L261" i="1"/>
  <c r="A493" i="1"/>
  <c r="O496" i="1"/>
  <c r="E462" i="1"/>
  <c r="C234" i="1"/>
  <c r="I318" i="1"/>
  <c r="C381" i="1"/>
  <c r="C277" i="1"/>
  <c r="K259" i="1"/>
  <c r="P644" i="1"/>
  <c r="G539" i="1"/>
  <c r="K418" i="1"/>
  <c r="L433" i="1"/>
  <c r="I282" i="1"/>
  <c r="A606" i="1"/>
  <c r="O451" i="1"/>
  <c r="N208" i="1"/>
  <c r="M636" i="1"/>
  <c r="P143" i="1"/>
  <c r="F531" i="1"/>
  <c r="L229" i="1"/>
  <c r="P483" i="1"/>
  <c r="I404" i="1"/>
  <c r="A370" i="1"/>
  <c r="I348" i="1"/>
  <c r="A342" i="1"/>
  <c r="M84" i="1"/>
  <c r="N70" i="1"/>
  <c r="L212" i="1"/>
  <c r="D188" i="1"/>
  <c r="J20" i="1"/>
  <c r="H37" i="1"/>
  <c r="C100" i="1"/>
  <c r="G59" i="1"/>
  <c r="N257" i="1"/>
  <c r="M450" i="1"/>
  <c r="I69" i="1"/>
  <c r="P28" i="1"/>
  <c r="K101" i="1"/>
  <c r="P750" i="1"/>
  <c r="O455" i="1"/>
  <c r="H328" i="1"/>
  <c r="H257" i="1"/>
  <c r="L245" i="1"/>
  <c r="K53" i="1"/>
  <c r="P34" i="1"/>
  <c r="P57" i="1"/>
  <c r="B565" i="1"/>
  <c r="G395" i="1"/>
  <c r="M494" i="1"/>
  <c r="H202" i="1"/>
  <c r="A222" i="1"/>
  <c r="K17" i="1"/>
  <c r="A519" i="1"/>
  <c r="L400" i="1"/>
  <c r="P186" i="1"/>
  <c r="M218" i="1"/>
  <c r="D96" i="1"/>
  <c r="O325" i="1"/>
  <c r="E218" i="1"/>
  <c r="K178" i="1"/>
  <c r="O335" i="1"/>
  <c r="J541" i="1"/>
  <c r="O481" i="1"/>
  <c r="B133" i="1"/>
  <c r="I70" i="1"/>
  <c r="N404" i="1"/>
  <c r="H285" i="1"/>
  <c r="F158" i="1"/>
  <c r="E219" i="1"/>
  <c r="I51" i="1"/>
  <c r="L456" i="1"/>
  <c r="N441" i="1"/>
  <c r="L395" i="1"/>
  <c r="C369" i="1"/>
  <c r="D436" i="1"/>
  <c r="G422" i="1"/>
  <c r="E266" i="1"/>
  <c r="F680" i="1"/>
  <c r="D262" i="1"/>
  <c r="L318" i="1"/>
  <c r="E223" i="1"/>
  <c r="L282" i="1"/>
  <c r="D219" i="1"/>
  <c r="K690" i="1"/>
  <c r="F592" i="1"/>
  <c r="P433" i="1"/>
  <c r="E292" i="1"/>
  <c r="J460" i="1"/>
  <c r="E113" i="1"/>
  <c r="O78" i="1"/>
  <c r="B242" i="1"/>
  <c r="E50" i="1"/>
  <c r="I52" i="1"/>
  <c r="K20" i="1"/>
  <c r="O299" i="1"/>
  <c r="O266" i="1"/>
  <c r="E51" i="1"/>
  <c r="A474" i="1"/>
  <c r="K22" i="1"/>
  <c r="B115" i="1"/>
  <c r="F17" i="1"/>
  <c r="K304" i="1"/>
  <c r="A482" i="1"/>
  <c r="I335" i="1"/>
  <c r="P371" i="1"/>
  <c r="A195" i="1"/>
  <c r="D168" i="1"/>
  <c r="B95" i="1"/>
  <c r="G298" i="1"/>
  <c r="G408" i="1"/>
  <c r="N325" i="1"/>
  <c r="I287" i="1"/>
  <c r="P335" i="1"/>
  <c r="I150" i="1"/>
  <c r="L79" i="1"/>
  <c r="C761" i="1"/>
  <c r="M432" i="1"/>
  <c r="H320" i="1"/>
  <c r="H241" i="1"/>
  <c r="B375" i="1"/>
  <c r="K45" i="1"/>
  <c r="P220" i="1"/>
  <c r="G205" i="1"/>
  <c r="H221" i="1"/>
  <c r="E131" i="1"/>
  <c r="L32" i="1"/>
  <c r="C103" i="1"/>
  <c r="K76" i="1"/>
  <c r="M544" i="1"/>
  <c r="C216" i="1"/>
  <c r="H507" i="1"/>
  <c r="O179" i="1"/>
  <c r="B458" i="1"/>
  <c r="N316" i="1"/>
  <c r="B603" i="1"/>
  <c r="M852" i="1"/>
  <c r="D444" i="1"/>
  <c r="I628" i="1"/>
  <c r="E649" i="1"/>
  <c r="K415" i="1"/>
  <c r="P396" i="1"/>
  <c r="F846" i="1"/>
  <c r="C564" i="1"/>
  <c r="P486" i="1"/>
  <c r="K378" i="1"/>
  <c r="L393" i="1"/>
  <c r="I242" i="1"/>
  <c r="J317" i="1"/>
  <c r="J284" i="1"/>
  <c r="J275" i="1"/>
  <c r="H656" i="1"/>
  <c r="N363" i="1"/>
  <c r="K342" i="1"/>
  <c r="O782" i="1"/>
  <c r="D602" i="1"/>
  <c r="I446" i="1"/>
  <c r="K417" i="1"/>
  <c r="O411" i="1"/>
  <c r="K590" i="1"/>
  <c r="N215" i="1"/>
  <c r="K306" i="1"/>
  <c r="M574" i="1"/>
  <c r="O452" i="1"/>
  <c r="O391" i="1"/>
  <c r="I369" i="1"/>
  <c r="I363" i="1"/>
  <c r="J677" i="1"/>
  <c r="E322" i="1"/>
  <c r="K270" i="1"/>
  <c r="G827" i="1"/>
  <c r="L484" i="1"/>
  <c r="I343" i="1"/>
  <c r="I321" i="1"/>
  <c r="I315" i="1"/>
  <c r="M563" i="1"/>
  <c r="L371" i="1"/>
  <c r="K234" i="1"/>
  <c r="D915" i="1"/>
  <c r="L506" i="1"/>
  <c r="K714" i="1"/>
  <c r="N501" i="1"/>
  <c r="O547" i="1"/>
  <c r="C524" i="1"/>
  <c r="C232" i="1"/>
  <c r="E306" i="1"/>
  <c r="I564" i="1"/>
  <c r="B661" i="1"/>
  <c r="L656" i="1"/>
  <c r="D648" i="1"/>
  <c r="M295" i="1"/>
  <c r="M716" i="1"/>
  <c r="P712" i="1"/>
  <c r="K725" i="1"/>
  <c r="C715" i="1"/>
  <c r="E698" i="1"/>
  <c r="D361" i="1"/>
  <c r="B384" i="1"/>
  <c r="D506" i="1"/>
  <c r="G564" i="1"/>
  <c r="B662" i="1"/>
  <c r="E667" i="1"/>
  <c r="O662" i="1"/>
  <c r="G654" i="1"/>
  <c r="D325" i="1"/>
  <c r="C348" i="1"/>
  <c r="G659" i="1"/>
  <c r="C594" i="1"/>
  <c r="L457" i="1"/>
  <c r="B326" i="1"/>
  <c r="H512" i="1"/>
  <c r="B311" i="1"/>
  <c r="H378" i="1"/>
  <c r="P361" i="1"/>
  <c r="H357" i="1"/>
  <c r="B681" i="1"/>
  <c r="J354" i="1"/>
  <c r="B290" i="1"/>
  <c r="O731" i="1"/>
  <c r="M436" i="1"/>
  <c r="H342" i="1"/>
  <c r="P325" i="1"/>
  <c r="H321" i="1"/>
  <c r="E567" i="1"/>
  <c r="I488" i="1"/>
  <c r="C461" i="1"/>
  <c r="K502" i="1"/>
  <c r="E387" i="1"/>
  <c r="H306" i="1"/>
  <c r="G473" i="1"/>
  <c r="E458" i="1"/>
  <c r="N470" i="1"/>
  <c r="E420" i="1"/>
  <c r="J664" i="1"/>
  <c r="E596" i="1"/>
  <c r="A339" i="1"/>
  <c r="K436" i="1"/>
  <c r="C420" i="1"/>
  <c r="M415" i="1"/>
  <c r="C498" i="1"/>
  <c r="H384" i="1"/>
  <c r="L734" i="1"/>
  <c r="O928" i="1"/>
  <c r="B831" i="1"/>
  <c r="K643" i="1"/>
  <c r="P600" i="1"/>
  <c r="J745" i="1"/>
  <c r="E528" i="1"/>
  <c r="H484" i="1"/>
  <c r="C327" i="1"/>
  <c r="K570" i="1"/>
  <c r="E547" i="1"/>
  <c r="O542" i="1"/>
  <c r="G534" i="1"/>
  <c r="N444" i="1"/>
  <c r="N469" i="1"/>
  <c r="I826" i="1"/>
  <c r="M467" i="1"/>
  <c r="E463" i="1"/>
  <c r="O454" i="1"/>
  <c r="K312" i="1"/>
  <c r="M820" i="1"/>
  <c r="G871" i="1"/>
  <c r="G468" i="1"/>
  <c r="O709" i="1"/>
  <c r="A702" i="1"/>
  <c r="K653" i="1"/>
  <c r="L595" i="1"/>
  <c r="K276" i="1"/>
  <c r="D654" i="1"/>
  <c r="P558" i="1"/>
  <c r="P738" i="1"/>
  <c r="A240" i="1"/>
  <c r="D537" i="1"/>
  <c r="I466" i="1"/>
  <c r="P374" i="1"/>
  <c r="P180" i="1"/>
  <c r="H164" i="1"/>
  <c r="P159" i="1"/>
  <c r="O594" i="1"/>
  <c r="D844" i="1"/>
  <c r="I670" i="1"/>
  <c r="F563" i="1"/>
  <c r="P338" i="1"/>
  <c r="P144" i="1"/>
  <c r="H128" i="1"/>
  <c r="P123" i="1"/>
  <c r="F498" i="1"/>
  <c r="P866" i="1"/>
  <c r="P488" i="1"/>
  <c r="B509" i="1"/>
  <c r="P302" i="1"/>
  <c r="P108" i="1"/>
  <c r="H92" i="1"/>
  <c r="P87" i="1"/>
  <c r="J525" i="1"/>
  <c r="O676" i="1"/>
  <c r="D575" i="1"/>
  <c r="N775" i="1"/>
  <c r="F754" i="1"/>
  <c r="K469" i="1"/>
  <c r="D800" i="1"/>
  <c r="O578" i="1"/>
  <c r="D241" i="1"/>
  <c r="M382" i="1"/>
  <c r="E534" i="1"/>
  <c r="C468" i="1"/>
  <c r="C510" i="1"/>
  <c r="M505" i="1"/>
  <c r="E497" i="1"/>
  <c r="O592" i="1"/>
  <c r="A850" i="1"/>
  <c r="M600" i="1"/>
  <c r="O972" i="1"/>
  <c r="K830" i="1"/>
  <c r="B716" i="1"/>
  <c r="E526" i="1"/>
  <c r="C597" i="1"/>
  <c r="E298" i="1"/>
  <c r="O738" i="1"/>
  <c r="B746" i="1"/>
  <c r="P703" i="1"/>
  <c r="M890" i="1"/>
  <c r="M534" i="1"/>
  <c r="P500" i="1"/>
  <c r="F523" i="1"/>
  <c r="O489" i="1"/>
  <c r="D289" i="1"/>
  <c r="O491" i="1"/>
  <c r="N402" i="1"/>
  <c r="M300" i="1"/>
  <c r="O132" i="1"/>
  <c r="F64" i="1"/>
  <c r="N47" i="1"/>
  <c r="F43" i="1"/>
  <c r="K240" i="1"/>
  <c r="O675" i="1"/>
  <c r="N366" i="1"/>
  <c r="C511" i="1"/>
  <c r="F272" i="1"/>
  <c r="H822" i="1"/>
  <c r="M696" i="1"/>
  <c r="J545" i="1"/>
  <c r="G311" i="1"/>
  <c r="O96" i="1"/>
  <c r="L571" i="1"/>
  <c r="I545" i="1"/>
  <c r="L54" i="1"/>
  <c r="F664" i="1"/>
  <c r="M448" i="1"/>
  <c r="K247" i="1"/>
  <c r="H399" i="1"/>
  <c r="G518" i="1"/>
  <c r="N560" i="1"/>
  <c r="F230" i="1"/>
  <c r="H97" i="1"/>
  <c r="E261" i="1"/>
  <c r="E228" i="1"/>
  <c r="L220" i="1"/>
  <c r="H526" i="1"/>
  <c r="L529" i="1"/>
  <c r="P525" i="1"/>
  <c r="M440" i="1"/>
  <c r="H61" i="1"/>
  <c r="F204" i="1"/>
  <c r="C515" i="1"/>
  <c r="L722" i="1"/>
  <c r="E557" i="1"/>
  <c r="H937" i="1"/>
  <c r="I370" i="1"/>
  <c r="I334" i="1"/>
  <c r="O698" i="1"/>
  <c r="L262" i="1"/>
  <c r="L216" i="1"/>
  <c r="B617" i="1"/>
  <c r="F454" i="1"/>
  <c r="E193" i="1"/>
  <c r="D98" i="1"/>
  <c r="O619" i="1"/>
  <c r="C447" i="1"/>
  <c r="H463" i="1"/>
  <c r="A397" i="1"/>
  <c r="H291" i="1"/>
  <c r="G244" i="1"/>
  <c r="G235" i="1"/>
  <c r="I746" i="1"/>
  <c r="I649" i="1"/>
  <c r="N544" i="1"/>
  <c r="F418" i="1"/>
  <c r="G361" i="1"/>
  <c r="G212" i="1"/>
  <c r="O195" i="1"/>
  <c r="G191" i="1"/>
  <c r="E645" i="1"/>
  <c r="J582" i="1"/>
  <c r="H487" i="1"/>
  <c r="F382" i="1"/>
  <c r="G297" i="1"/>
  <c r="A709" i="1"/>
  <c r="N660" i="1"/>
  <c r="L304" i="1"/>
  <c r="L268" i="1"/>
  <c r="A295" i="1"/>
  <c r="L445" i="1"/>
  <c r="F228" i="1"/>
  <c r="M356" i="1"/>
  <c r="C392" i="1"/>
  <c r="M334" i="1"/>
  <c r="M668" i="1"/>
  <c r="P168" i="1"/>
  <c r="P147" i="1"/>
  <c r="N439" i="1"/>
  <c r="N258" i="1"/>
  <c r="D354" i="1"/>
  <c r="N204" i="1"/>
  <c r="M160" i="1"/>
  <c r="E144" i="1"/>
  <c r="M139" i="1"/>
  <c r="N268" i="1"/>
  <c r="F443" i="1"/>
  <c r="N222" i="1"/>
  <c r="D318" i="1"/>
  <c r="N168" i="1"/>
  <c r="M124" i="1"/>
  <c r="E108" i="1"/>
  <c r="M103" i="1"/>
  <c r="E367" i="1"/>
  <c r="D407" i="1"/>
  <c r="G433" i="1"/>
  <c r="D282" i="1"/>
  <c r="L983" i="1"/>
  <c r="G803" i="1"/>
  <c r="C288" i="1"/>
  <c r="C252" i="1"/>
  <c r="C432" i="1"/>
  <c r="K412" i="1"/>
  <c r="D288" i="1"/>
  <c r="D426" i="1"/>
  <c r="G360" i="1"/>
  <c r="O387" i="1"/>
  <c r="B473" i="1"/>
  <c r="P72" i="1"/>
  <c r="P51" i="1"/>
  <c r="N311" i="1"/>
  <c r="N226" i="1"/>
  <c r="D322" i="1"/>
  <c r="N172" i="1"/>
  <c r="M128" i="1"/>
  <c r="E112" i="1"/>
  <c r="M107" i="1"/>
  <c r="A387" i="1"/>
  <c r="D411" i="1"/>
  <c r="G437" i="1"/>
  <c r="D286" i="1"/>
  <c r="N136" i="1"/>
  <c r="M92" i="1"/>
  <c r="E76" i="1"/>
  <c r="M71" i="1"/>
  <c r="P436" i="1"/>
  <c r="K575" i="1"/>
  <c r="K380" i="1"/>
  <c r="P514" i="1"/>
  <c r="P478" i="1"/>
  <c r="P95" i="1"/>
  <c r="H218" i="1"/>
  <c r="A264" i="1"/>
  <c r="I330" i="1"/>
  <c r="E184" i="1"/>
  <c r="A228" i="1"/>
  <c r="D390" i="1"/>
  <c r="M196" i="1"/>
  <c r="M175" i="1"/>
  <c r="A288" i="1"/>
  <c r="L382" i="1"/>
  <c r="K273" i="1"/>
  <c r="E125" i="1"/>
  <c r="L46" i="1"/>
  <c r="D30" i="1"/>
  <c r="L25" i="1"/>
  <c r="E644" i="1"/>
  <c r="M369" i="1"/>
  <c r="L346" i="1"/>
  <c r="K237" i="1"/>
  <c r="E89" i="1"/>
  <c r="L10" i="1"/>
  <c r="O294" i="1"/>
  <c r="H276" i="1"/>
  <c r="N535" i="1"/>
  <c r="M333" i="1"/>
  <c r="L310" i="1"/>
  <c r="D437" i="1"/>
  <c r="E53" i="1"/>
  <c r="I435" i="1"/>
  <c r="A636" i="1"/>
  <c r="A600" i="1"/>
  <c r="F335" i="1"/>
  <c r="F299" i="1"/>
  <c r="C341" i="1"/>
  <c r="G449" i="1"/>
  <c r="B239" i="1"/>
  <c r="G139" i="1"/>
  <c r="B410" i="1"/>
  <c r="I296" i="1"/>
  <c r="B388" i="1"/>
  <c r="I786" i="1"/>
  <c r="F223" i="1"/>
  <c r="F672" i="1"/>
  <c r="G497" i="1"/>
  <c r="I295" i="1"/>
  <c r="I273" i="1"/>
  <c r="I267" i="1"/>
  <c r="D467" i="1"/>
  <c r="L263" i="1"/>
  <c r="B434" i="1"/>
  <c r="M732" i="1"/>
  <c r="L369" i="1"/>
  <c r="I247" i="1"/>
  <c r="I225" i="1"/>
  <c r="I219" i="1"/>
  <c r="C849" i="1"/>
  <c r="A407" i="1"/>
  <c r="B398" i="1"/>
  <c r="G470" i="1"/>
  <c r="C321" i="1"/>
  <c r="N239" i="1"/>
  <c r="I298" i="1"/>
  <c r="M164" i="1"/>
  <c r="K241" i="1"/>
  <c r="H292" i="1"/>
  <c r="J442" i="1"/>
  <c r="P107" i="1"/>
  <c r="K511" i="1"/>
  <c r="K329" i="1"/>
  <c r="H322" i="1"/>
  <c r="P305" i="1"/>
  <c r="H301" i="1"/>
  <c r="E68" i="1"/>
  <c r="E55" i="1"/>
  <c r="A506" i="1"/>
  <c r="K26" i="1"/>
  <c r="B123" i="1"/>
  <c r="F49" i="1"/>
  <c r="D321" i="1"/>
  <c r="A514" i="1"/>
  <c r="A341" i="1"/>
  <c r="P375" i="1"/>
  <c r="J234" i="1"/>
  <c r="D184" i="1"/>
  <c r="J99" i="1"/>
  <c r="G499" i="1"/>
  <c r="P376" i="1"/>
  <c r="P162" i="1"/>
  <c r="O193" i="1"/>
  <c r="D48" i="1"/>
  <c r="I65" i="1"/>
  <c r="N405" i="1"/>
  <c r="K139" i="1"/>
  <c r="N342" i="1"/>
  <c r="P340" i="1"/>
  <c r="P126" i="1"/>
  <c r="O157" i="1"/>
  <c r="O259" i="1"/>
  <c r="A79" i="1"/>
  <c r="B457" i="1"/>
  <c r="H251" i="1"/>
  <c r="G142" i="1"/>
  <c r="N177" i="1"/>
  <c r="G292" i="1"/>
  <c r="M13" i="1"/>
  <c r="K215" i="1"/>
  <c r="G695" i="1"/>
  <c r="L17" i="1"/>
  <c r="O477" i="1"/>
  <c r="E470" i="1"/>
  <c r="E23" i="1"/>
  <c r="G93" i="1"/>
  <c r="H414" i="1"/>
  <c r="N206" i="1"/>
  <c r="M142" i="1"/>
  <c r="I413" i="1"/>
  <c r="A191" i="1"/>
  <c r="H24" i="1"/>
  <c r="D68" i="1"/>
  <c r="K350" i="1"/>
  <c r="I245" i="1"/>
  <c r="O346" i="1"/>
  <c r="H90" i="1"/>
  <c r="F850" i="1"/>
  <c r="E321" i="1"/>
  <c r="N112" i="1"/>
  <c r="F539" i="1"/>
  <c r="P111" i="1"/>
  <c r="B497" i="1"/>
  <c r="B367" i="1"/>
  <c r="O499" i="1"/>
  <c r="M308" i="1"/>
  <c r="I327" i="1"/>
  <c r="I305" i="1"/>
  <c r="I299" i="1"/>
  <c r="L34" i="1"/>
  <c r="N38" i="1"/>
  <c r="L180" i="1"/>
  <c r="D97" i="1"/>
  <c r="J10" i="1"/>
  <c r="A148" i="1"/>
  <c r="C68" i="1"/>
  <c r="F147" i="1"/>
  <c r="A446" i="1"/>
  <c r="G399" i="1"/>
  <c r="O3" i="1"/>
  <c r="G21" i="1"/>
  <c r="C69" i="1"/>
  <c r="C857" i="1"/>
  <c r="M400" i="1"/>
  <c r="H296" i="1"/>
  <c r="H206" i="1"/>
  <c r="A265" i="1"/>
  <c r="K21" i="1"/>
  <c r="J48" i="1"/>
  <c r="E239" i="1"/>
  <c r="F307" i="1"/>
  <c r="I352" i="1"/>
  <c r="O426" i="1"/>
  <c r="H170" i="1"/>
  <c r="O377" i="1"/>
  <c r="M260" i="1"/>
  <c r="D572" i="1"/>
  <c r="P368" i="1"/>
  <c r="P154" i="1"/>
  <c r="O185" i="1"/>
  <c r="D32" i="1"/>
  <c r="B39" i="1"/>
  <c r="C471" i="1"/>
  <c r="C127" i="1"/>
  <c r="O312" i="1"/>
  <c r="A510" i="1"/>
  <c r="J344" i="1"/>
  <c r="B101" i="1"/>
  <c r="A31" i="1"/>
  <c r="H443" i="1"/>
  <c r="O214" i="1"/>
  <c r="C109" i="1"/>
  <c r="C410" i="1"/>
  <c r="L495" i="1"/>
  <c r="B475" i="1"/>
  <c r="M484" i="1"/>
  <c r="J558" i="1"/>
  <c r="M539" i="1"/>
  <c r="B356" i="1"/>
  <c r="M588" i="1"/>
  <c r="N620" i="1"/>
  <c r="D357" i="1"/>
  <c r="C380" i="1"/>
  <c r="D498" i="1"/>
  <c r="J627" i="1"/>
  <c r="C307" i="1"/>
  <c r="B358" i="1"/>
  <c r="E536" i="1"/>
  <c r="M388" i="1"/>
  <c r="H410" i="1"/>
  <c r="J393" i="1"/>
  <c r="B389" i="1"/>
  <c r="C562" i="1"/>
  <c r="B450" i="1"/>
  <c r="B322" i="1"/>
  <c r="H504" i="1"/>
  <c r="B303" i="1"/>
  <c r="H374" i="1"/>
  <c r="P357" i="1"/>
  <c r="H353" i="1"/>
  <c r="B649" i="1"/>
  <c r="J350" i="1"/>
  <c r="B286" i="1"/>
  <c r="C645" i="1"/>
  <c r="K429" i="1"/>
  <c r="H338" i="1"/>
  <c r="P321" i="1"/>
  <c r="H317" i="1"/>
  <c r="E535" i="1"/>
  <c r="A462" i="1"/>
  <c r="C453" i="1"/>
  <c r="K494" i="1"/>
  <c r="I381" i="1"/>
  <c r="H302" i="1"/>
  <c r="C459" i="1"/>
  <c r="J450" i="1"/>
  <c r="D581" i="1"/>
  <c r="E416" i="1"/>
  <c r="N606" i="1"/>
  <c r="J800" i="1"/>
  <c r="N263" i="1"/>
  <c r="D869" i="1"/>
  <c r="G549" i="1"/>
  <c r="N658" i="1"/>
  <c r="I601" i="1"/>
  <c r="B569" i="1"/>
  <c r="A391" i="1"/>
  <c r="K634" i="1"/>
  <c r="E579" i="1"/>
  <c r="O574" i="1"/>
  <c r="G566" i="1"/>
  <c r="D237" i="1"/>
  <c r="G535" i="1"/>
  <c r="J589" i="1"/>
  <c r="M499" i="1"/>
  <c r="E495" i="1"/>
  <c r="O486" i="1"/>
  <c r="K344" i="1"/>
  <c r="J363" i="1"/>
  <c r="E496" i="1"/>
  <c r="N461" i="1"/>
  <c r="I810" i="1"/>
  <c r="M463" i="1"/>
  <c r="E459" i="1"/>
  <c r="O450" i="1"/>
  <c r="K308" i="1"/>
  <c r="O691" i="1"/>
  <c r="F747" i="1"/>
  <c r="M589" i="1"/>
  <c r="A272" i="1"/>
  <c r="I581" i="1"/>
  <c r="I498" i="1"/>
  <c r="P406" i="1"/>
  <c r="P212" i="1"/>
  <c r="H196" i="1"/>
  <c r="P191" i="1"/>
  <c r="L676" i="1"/>
  <c r="A236" i="1"/>
  <c r="L515" i="1"/>
  <c r="I814" i="1"/>
  <c r="P370" i="1"/>
  <c r="P176" i="1"/>
  <c r="H160" i="1"/>
  <c r="P155" i="1"/>
  <c r="O562" i="1"/>
  <c r="J672" i="1"/>
  <c r="F582" i="1"/>
  <c r="F555" i="1"/>
  <c r="P334" i="1"/>
  <c r="P140" i="1"/>
  <c r="H124" i="1"/>
  <c r="P119" i="1"/>
  <c r="F466" i="1"/>
  <c r="F745" i="1"/>
  <c r="P480" i="1"/>
  <c r="B505" i="1"/>
  <c r="P298" i="1"/>
  <c r="P104" i="1"/>
  <c r="H88" i="1"/>
  <c r="P83" i="1"/>
  <c r="M493" i="1"/>
  <c r="O644" i="1"/>
  <c r="D559" i="1"/>
  <c r="P569" i="1"/>
  <c r="J651" i="1"/>
  <c r="C635" i="1"/>
  <c r="I576" i="1"/>
  <c r="M637" i="1"/>
  <c r="H405" i="1"/>
  <c r="F503" i="1"/>
  <c r="C794" i="1"/>
  <c r="J593" i="1"/>
  <c r="N482" i="1"/>
  <c r="F478" i="1"/>
  <c r="P469" i="1"/>
  <c r="F424" i="1"/>
  <c r="I551" i="1"/>
  <c r="F530" i="1"/>
  <c r="D536" i="1"/>
  <c r="H527" i="1"/>
  <c r="L518" i="1"/>
  <c r="B292" i="1"/>
  <c r="H468" i="1"/>
  <c r="N339" i="1"/>
  <c r="H643" i="1"/>
  <c r="C492" i="1"/>
  <c r="J495" i="1"/>
  <c r="B491" i="1"/>
  <c r="L482" i="1"/>
  <c r="C467" i="1"/>
  <c r="F534" i="1"/>
  <c r="N303" i="1"/>
  <c r="J717" i="1"/>
  <c r="C681" i="1"/>
  <c r="L601" i="1"/>
  <c r="F342" i="1"/>
  <c r="H209" i="1"/>
  <c r="G136" i="1"/>
  <c r="O119" i="1"/>
  <c r="G115" i="1"/>
  <c r="G586" i="1"/>
  <c r="F489" i="1"/>
  <c r="G523" i="1"/>
  <c r="F306" i="1"/>
  <c r="H173" i="1"/>
  <c r="G100" i="1"/>
  <c r="O83" i="1"/>
  <c r="G79" i="1"/>
  <c r="P489" i="1"/>
  <c r="E576" i="1"/>
  <c r="G487" i="1"/>
  <c r="F270" i="1"/>
  <c r="H137" i="1"/>
  <c r="G64" i="1"/>
  <c r="O47" i="1"/>
  <c r="G43" i="1"/>
  <c r="E517" i="1"/>
  <c r="I479" i="1"/>
  <c r="E640" i="1"/>
  <c r="D746" i="1"/>
  <c r="D249" i="1"/>
  <c r="M384" i="1"/>
  <c r="C440" i="1"/>
  <c r="K713" i="1"/>
  <c r="G703" i="1"/>
  <c r="D260" i="1"/>
  <c r="N493" i="1"/>
  <c r="H794" i="1"/>
  <c r="B757" i="1"/>
  <c r="J711" i="1"/>
  <c r="N651" i="1"/>
  <c r="A459" i="1"/>
  <c r="A774" i="1"/>
  <c r="A668" i="1"/>
  <c r="K663" i="1"/>
  <c r="C655" i="1"/>
  <c r="F493" i="1"/>
  <c r="C533" i="1"/>
  <c r="F320" i="1"/>
  <c r="L239" i="1"/>
  <c r="A623" i="1"/>
  <c r="A632" i="1"/>
  <c r="K627" i="1"/>
  <c r="C619" i="1"/>
  <c r="B588" i="1"/>
  <c r="C493" i="1"/>
  <c r="F284" i="1"/>
  <c r="B443" i="1"/>
  <c r="P404" i="1"/>
  <c r="F367" i="1"/>
  <c r="G393" i="1"/>
  <c r="D242" i="1"/>
  <c r="N92" i="1"/>
  <c r="M48" i="1"/>
  <c r="P256" i="1"/>
  <c r="P247" i="1"/>
  <c r="L264" i="1"/>
  <c r="F331" i="1"/>
  <c r="E357" i="1"/>
  <c r="P445" i="1"/>
  <c r="D232" i="1"/>
  <c r="L788" i="1"/>
  <c r="N372" i="1"/>
  <c r="N336" i="1"/>
  <c r="B224" i="1"/>
  <c r="I311" i="1"/>
  <c r="H476" i="1"/>
  <c r="F238" i="1"/>
  <c r="N454" i="1"/>
  <c r="N484" i="1"/>
  <c r="J470" i="1"/>
  <c r="O372" i="1"/>
  <c r="O351" i="1"/>
  <c r="M640" i="1"/>
  <c r="K386" i="1"/>
  <c r="D418" i="1"/>
  <c r="O52" i="1"/>
  <c r="B230" i="1"/>
  <c r="E208" i="1"/>
  <c r="M203" i="1"/>
  <c r="D505" i="1"/>
  <c r="H490" i="1"/>
  <c r="N286" i="1"/>
  <c r="D382" i="1"/>
  <c r="E246" i="1"/>
  <c r="M188" i="1"/>
  <c r="J830" i="1"/>
  <c r="C711" i="1"/>
  <c r="F333" i="1"/>
  <c r="F297" i="1"/>
  <c r="E360" i="1"/>
  <c r="O64" i="1"/>
  <c r="G701" i="1"/>
  <c r="H496" i="1"/>
  <c r="K181" i="1"/>
  <c r="L569" i="1"/>
  <c r="L413" i="1"/>
  <c r="J357" i="1"/>
  <c r="J315" i="1"/>
  <c r="F566" i="1"/>
  <c r="H495" i="1"/>
  <c r="P444" i="1"/>
  <c r="H65" i="1"/>
  <c r="F208" i="1"/>
  <c r="N191" i="1"/>
  <c r="F187" i="1"/>
  <c r="L465" i="1"/>
  <c r="P487" i="1"/>
  <c r="J493" i="1"/>
  <c r="I408" i="1"/>
  <c r="M262" i="1"/>
  <c r="F172" i="1"/>
  <c r="N155" i="1"/>
  <c r="F151" i="1"/>
  <c r="H421" i="1"/>
  <c r="C637" i="1"/>
  <c r="J457" i="1"/>
  <c r="M372" i="1"/>
  <c r="O204" i="1"/>
  <c r="E551" i="1"/>
  <c r="E464" i="1"/>
  <c r="O552" i="1"/>
  <c r="N639" i="1"/>
  <c r="A289" i="1"/>
  <c r="O219" i="1"/>
  <c r="E392" i="1"/>
  <c r="B357" i="1"/>
  <c r="N103" i="1"/>
  <c r="A356" i="1"/>
  <c r="M320" i="1"/>
  <c r="F84" i="1"/>
  <c r="F63" i="1"/>
  <c r="A352" i="1"/>
  <c r="H447" i="1"/>
  <c r="K337" i="1"/>
  <c r="E189" i="1"/>
  <c r="L110" i="1"/>
  <c r="D94" i="1"/>
  <c r="L89" i="1"/>
  <c r="I614" i="1"/>
  <c r="O433" i="1"/>
  <c r="L410" i="1"/>
  <c r="K301" i="1"/>
  <c r="E153" i="1"/>
  <c r="L74" i="1"/>
  <c r="D58" i="1"/>
  <c r="L53" i="1"/>
  <c r="K482" i="1"/>
  <c r="O397" i="1"/>
  <c r="L374" i="1"/>
  <c r="K265" i="1"/>
  <c r="H565" i="1"/>
  <c r="F397" i="1"/>
  <c r="K789" i="1"/>
  <c r="N508" i="1"/>
  <c r="M427" i="1"/>
  <c r="L186" i="1"/>
  <c r="A360" i="1"/>
  <c r="E506" i="1"/>
  <c r="K216" i="1"/>
  <c r="A324" i="1"/>
  <c r="D422" i="1"/>
  <c r="B238" i="1"/>
  <c r="M207" i="1"/>
  <c r="A320" i="1"/>
  <c r="L414" i="1"/>
  <c r="K305" i="1"/>
  <c r="E157" i="1"/>
  <c r="L78" i="1"/>
  <c r="D62" i="1"/>
  <c r="L57" i="1"/>
  <c r="K522" i="1"/>
  <c r="O401" i="1"/>
  <c r="L378" i="1"/>
  <c r="K269" i="1"/>
  <c r="E121" i="1"/>
  <c r="L42" i="1"/>
  <c r="D26" i="1"/>
  <c r="L21" i="1"/>
  <c r="E564" i="1"/>
  <c r="K914" i="1"/>
  <c r="O870" i="1"/>
  <c r="J604" i="1"/>
  <c r="K621" i="1"/>
  <c r="B455" i="1"/>
  <c r="H96" i="1"/>
  <c r="H502" i="1"/>
  <c r="P398" i="1"/>
  <c r="C309" i="1"/>
  <c r="H466" i="1"/>
  <c r="B353" i="1"/>
  <c r="K145" i="1"/>
  <c r="K124" i="1"/>
  <c r="L545" i="1"/>
  <c r="C366" i="1"/>
  <c r="G459" i="1"/>
  <c r="H511" i="1"/>
  <c r="A490" i="1"/>
  <c r="C665" i="1"/>
  <c r="N573" i="1"/>
  <c r="K355" i="1"/>
  <c r="D311" i="1"/>
  <c r="C330" i="1"/>
  <c r="I414" i="1"/>
  <c r="L448" i="1"/>
  <c r="N333" i="1"/>
  <c r="N297" i="1"/>
  <c r="K645" i="1"/>
  <c r="O584" i="1"/>
  <c r="D275" i="1"/>
  <c r="C294" i="1"/>
  <c r="I378" i="1"/>
  <c r="A424" i="1"/>
  <c r="G500" i="1"/>
  <c r="K631" i="1"/>
  <c r="K595" i="1"/>
  <c r="E361" i="1"/>
  <c r="E325" i="1"/>
  <c r="E243" i="1"/>
  <c r="H471" i="1"/>
  <c r="I263" i="1"/>
  <c r="L129" i="1"/>
  <c r="K569" i="1"/>
  <c r="H101" i="1"/>
  <c r="E236" i="1"/>
  <c r="P673" i="1"/>
  <c r="D283" i="1"/>
  <c r="B576" i="1"/>
  <c r="I333" i="1"/>
  <c r="K432" i="1"/>
  <c r="C416" i="1"/>
  <c r="M411" i="1"/>
  <c r="C466" i="1"/>
  <c r="A380" i="1"/>
  <c r="D674" i="1"/>
  <c r="J494" i="1"/>
  <c r="I285" i="1"/>
  <c r="K396" i="1"/>
  <c r="G380" i="1"/>
  <c r="O375" i="1"/>
  <c r="E824" i="1"/>
  <c r="A344" i="1"/>
  <c r="O608" i="1"/>
  <c r="K697" i="1"/>
  <c r="P661" i="1"/>
  <c r="F278" i="1"/>
  <c r="P76" i="1"/>
  <c r="E148" i="1"/>
  <c r="P358" i="1"/>
  <c r="E519" i="1"/>
  <c r="P322" i="1"/>
  <c r="M167" i="1"/>
  <c r="P386" i="1"/>
  <c r="I250" i="1"/>
  <c r="P156" i="1"/>
  <c r="H140" i="1"/>
  <c r="P135" i="1"/>
  <c r="F175" i="1"/>
  <c r="E280" i="1"/>
  <c r="M404" i="1"/>
  <c r="E9" i="1"/>
  <c r="A10" i="1"/>
  <c r="C73" i="1"/>
  <c r="O495" i="1"/>
  <c r="K405" i="1"/>
  <c r="G211" i="1"/>
  <c r="F402" i="1"/>
  <c r="G175" i="1"/>
  <c r="O472" i="1"/>
  <c r="H531" i="1"/>
  <c r="L594" i="1"/>
  <c r="A712" i="1"/>
  <c r="N244" i="1"/>
  <c r="C662" i="1"/>
  <c r="E690" i="1"/>
  <c r="K340" i="1"/>
  <c r="J359" i="1"/>
  <c r="E492" i="1"/>
  <c r="B623" i="1"/>
  <c r="A304" i="1"/>
  <c r="N663" i="1"/>
  <c r="M536" i="1"/>
  <c r="P438" i="1"/>
  <c r="O277" i="1"/>
  <c r="H237" i="1"/>
  <c r="H228" i="1"/>
  <c r="M557" i="1"/>
  <c r="A268" i="1"/>
  <c r="I549" i="1"/>
  <c r="I494" i="1"/>
  <c r="P402" i="1"/>
  <c r="P208" i="1"/>
  <c r="H192" i="1"/>
  <c r="P187" i="1"/>
  <c r="L644" i="1"/>
  <c r="A232" i="1"/>
  <c r="L499" i="1"/>
  <c r="P718" i="1"/>
  <c r="P366" i="1"/>
  <c r="P172" i="1"/>
  <c r="H156" i="1"/>
  <c r="P151" i="1"/>
  <c r="O530" i="1"/>
  <c r="L611" i="1"/>
  <c r="P562" i="1"/>
  <c r="F547" i="1"/>
  <c r="P330" i="1"/>
  <c r="P136" i="1"/>
  <c r="H120" i="1"/>
  <c r="P115" i="1"/>
  <c r="A570" i="1"/>
  <c r="D678" i="1"/>
  <c r="P472" i="1"/>
  <c r="J873" i="1"/>
  <c r="F858" i="1"/>
  <c r="B778" i="1"/>
  <c r="J620" i="1"/>
  <c r="J721" i="1"/>
  <c r="D452" i="1"/>
  <c r="I654" i="1"/>
  <c r="J274" i="1"/>
  <c r="J657" i="1"/>
  <c r="N514" i="1"/>
  <c r="F510" i="1"/>
  <c r="P501" i="1"/>
  <c r="E478" i="1"/>
  <c r="I679" i="1"/>
  <c r="D601" i="1"/>
  <c r="O627" i="1"/>
  <c r="J596" i="1"/>
  <c r="H574" i="1"/>
  <c r="B324" i="1"/>
  <c r="B537" i="1"/>
  <c r="N371" i="1"/>
  <c r="I543" i="1"/>
  <c r="E524" i="1"/>
  <c r="D528" i="1"/>
  <c r="B523" i="1"/>
  <c r="L514" i="1"/>
  <c r="B288" i="1"/>
  <c r="H460" i="1"/>
  <c r="N335" i="1"/>
  <c r="E581" i="1"/>
  <c r="H517" i="1"/>
  <c r="H479" i="1"/>
  <c r="F374" i="1"/>
  <c r="E264" i="1"/>
  <c r="G168" i="1"/>
  <c r="O151" i="1"/>
  <c r="G147" i="1"/>
  <c r="D668" i="1"/>
  <c r="E588" i="1"/>
  <c r="B590" i="1"/>
  <c r="F338" i="1"/>
  <c r="H205" i="1"/>
  <c r="G132" i="1"/>
  <c r="O115" i="1"/>
  <c r="G111" i="1"/>
  <c r="G554" i="1"/>
  <c r="F481" i="1"/>
  <c r="G519" i="1"/>
  <c r="F302" i="1"/>
  <c r="H169" i="1"/>
  <c r="G96" i="1"/>
  <c r="O79" i="1"/>
  <c r="G75" i="1"/>
  <c r="E708" i="1"/>
  <c r="B560" i="1"/>
  <c r="G483" i="1"/>
  <c r="F266" i="1"/>
  <c r="H133" i="1"/>
  <c r="G60" i="1"/>
  <c r="O43" i="1"/>
  <c r="G39" i="1"/>
  <c r="E485" i="1"/>
  <c r="I471" i="1"/>
  <c r="E608" i="1"/>
  <c r="P561" i="1"/>
  <c r="C793" i="1"/>
  <c r="F453" i="1"/>
  <c r="B674" i="1"/>
  <c r="O674" i="1"/>
  <c r="D337" i="1"/>
  <c r="M414" i="1"/>
  <c r="E662" i="1"/>
  <c r="C500" i="1"/>
  <c r="H557" i="1"/>
  <c r="J548" i="1"/>
  <c r="L531" i="1"/>
  <c r="D626" i="1"/>
  <c r="B484" i="1"/>
  <c r="L525" i="1"/>
  <c r="B550" i="1"/>
  <c r="D541" i="1"/>
  <c r="I525" i="1"/>
  <c r="D553" i="1"/>
  <c r="M476" i="1"/>
  <c r="E330" i="1"/>
  <c r="A674" i="1"/>
  <c r="J1060" i="1"/>
  <c r="G721" i="1"/>
  <c r="K762" i="1"/>
  <c r="B729" i="1"/>
  <c r="O835" i="1"/>
  <c r="L587" i="1"/>
  <c r="E294" i="1"/>
  <c r="M347" i="1"/>
  <c r="P523" i="1"/>
  <c r="N434" i="1"/>
  <c r="M332" i="1"/>
  <c r="O164" i="1"/>
  <c r="F96" i="1"/>
  <c r="N79" i="1"/>
  <c r="F75" i="1"/>
  <c r="D257" i="1"/>
  <c r="O487" i="1"/>
  <c r="N398" i="1"/>
  <c r="M296" i="1"/>
  <c r="O128" i="1"/>
  <c r="F60" i="1"/>
  <c r="N43" i="1"/>
  <c r="F39" i="1"/>
  <c r="O445" i="1"/>
  <c r="O643" i="1"/>
  <c r="N362" i="1"/>
  <c r="C479" i="1"/>
  <c r="O92" i="1"/>
  <c r="F24" i="1"/>
  <c r="P290" i="1"/>
  <c r="P272" i="1"/>
  <c r="D530" i="1"/>
  <c r="B533" i="1"/>
  <c r="F808" i="1"/>
  <c r="N561" i="1"/>
  <c r="M492" i="1"/>
  <c r="M290" i="1"/>
  <c r="A612" i="1"/>
  <c r="C599" i="1"/>
  <c r="C473" i="1"/>
  <c r="I653" i="1"/>
  <c r="H706" i="1"/>
  <c r="A544" i="1"/>
  <c r="K539" i="1"/>
  <c r="C531" i="1"/>
  <c r="J510" i="1"/>
  <c r="N519" i="1"/>
  <c r="C584" i="1"/>
  <c r="J635" i="1"/>
  <c r="B631" i="1"/>
  <c r="L622" i="1"/>
  <c r="K489" i="1"/>
  <c r="J404" i="1"/>
  <c r="M310" i="1"/>
  <c r="K499" i="1"/>
  <c r="D555" i="1"/>
  <c r="J599" i="1"/>
  <c r="B595" i="1"/>
  <c r="L586" i="1"/>
  <c r="K661" i="1"/>
  <c r="N368" i="1"/>
  <c r="M274" i="1"/>
  <c r="J422" i="1"/>
  <c r="M512" i="1"/>
  <c r="M357" i="1"/>
  <c r="L334" i="1"/>
  <c r="K225" i="1"/>
  <c r="E77" i="1"/>
  <c r="B71" i="1"/>
  <c r="O254" i="1"/>
  <c r="O245" i="1"/>
  <c r="F487" i="1"/>
  <c r="M321" i="1"/>
  <c r="L298" i="1"/>
  <c r="D425" i="1"/>
  <c r="A580" i="1"/>
  <c r="L477" i="1"/>
  <c r="M278" i="1"/>
  <c r="B440" i="1"/>
  <c r="C205" i="1"/>
  <c r="F28" i="1"/>
  <c r="C455" i="1"/>
  <c r="K281" i="1"/>
  <c r="E244" i="1"/>
  <c r="C355" i="1"/>
  <c r="A451" i="1"/>
  <c r="F212" i="1"/>
  <c r="F191" i="1"/>
  <c r="J414" i="1"/>
  <c r="E313" i="1"/>
  <c r="M401" i="1"/>
  <c r="O327" i="1"/>
  <c r="L174" i="1"/>
  <c r="D158" i="1"/>
  <c r="L153" i="1"/>
  <c r="P419" i="1"/>
  <c r="F251" i="1"/>
  <c r="E277" i="1"/>
  <c r="K365" i="1"/>
  <c r="P217" i="1"/>
  <c r="L138" i="1"/>
  <c r="N287" i="1"/>
  <c r="E694" i="1"/>
  <c r="E363" i="1"/>
  <c r="E327" i="1"/>
  <c r="N425" i="1"/>
  <c r="A269" i="1"/>
  <c r="F356" i="1"/>
  <c r="A458" i="1"/>
  <c r="P353" i="1"/>
  <c r="F216" i="1"/>
  <c r="C577" i="1"/>
  <c r="O340" i="1"/>
  <c r="O273" i="1"/>
  <c r="P574" i="1"/>
  <c r="N290" i="1"/>
  <c r="A386" i="1"/>
  <c r="E254" i="1"/>
  <c r="M192" i="1"/>
  <c r="E176" i="1"/>
  <c r="M171" i="1"/>
  <c r="N475" i="1"/>
  <c r="H458" i="1"/>
  <c r="N254" i="1"/>
  <c r="D350" i="1"/>
  <c r="N200" i="1"/>
  <c r="M156" i="1"/>
  <c r="E140" i="1"/>
  <c r="M135" i="1"/>
  <c r="N248" i="1"/>
  <c r="D439" i="1"/>
  <c r="N218" i="1"/>
  <c r="D314" i="1"/>
  <c r="N164" i="1"/>
  <c r="G538" i="1"/>
  <c r="A810" i="1"/>
  <c r="P708" i="1"/>
  <c r="O701" i="1"/>
  <c r="C456" i="1"/>
  <c r="C428" i="1"/>
  <c r="I570" i="1"/>
  <c r="I301" i="1"/>
  <c r="C133" i="1"/>
  <c r="O511" i="1"/>
  <c r="K245" i="1"/>
  <c r="L18" i="1"/>
  <c r="O322" i="1"/>
  <c r="M656" i="1"/>
  <c r="C430" i="1"/>
  <c r="B317" i="1"/>
  <c r="D139" i="1"/>
  <c r="B732" i="1"/>
  <c r="M538" i="1"/>
  <c r="N534" i="1"/>
  <c r="D372" i="1"/>
  <c r="D375" i="1"/>
  <c r="C394" i="1"/>
  <c r="B281" i="1"/>
  <c r="I573" i="1"/>
  <c r="G627" i="1"/>
  <c r="O492" i="1"/>
  <c r="M771" i="1"/>
  <c r="D224" i="1"/>
  <c r="D339" i="1"/>
  <c r="C358" i="1"/>
  <c r="N445" i="1"/>
  <c r="L539" i="1"/>
  <c r="F699" i="1"/>
  <c r="O815" i="1"/>
  <c r="C657" i="1"/>
  <c r="J459" i="1"/>
  <c r="C396" i="1"/>
  <c r="B541" i="1"/>
  <c r="A259" i="1"/>
  <c r="A518" i="1"/>
  <c r="H498" i="1"/>
  <c r="H385" i="1"/>
  <c r="K177" i="1"/>
  <c r="K156" i="1"/>
  <c r="F465" i="1"/>
  <c r="C398" i="1"/>
  <c r="B285" i="1"/>
  <c r="N655" i="1"/>
  <c r="D494" i="1"/>
  <c r="I590" i="1"/>
  <c r="A730" i="1"/>
  <c r="D244" i="1"/>
  <c r="D343" i="1"/>
  <c r="C362" i="1"/>
  <c r="H451" i="1"/>
  <c r="B478" i="1"/>
  <c r="O703" i="1"/>
  <c r="H546" i="1"/>
  <c r="G668" i="1"/>
  <c r="K335" i="1"/>
  <c r="K585" i="1"/>
  <c r="M667" i="1"/>
  <c r="M631" i="1"/>
  <c r="M582" i="1"/>
  <c r="G859" i="1"/>
  <c r="C201" i="1"/>
  <c r="D227" i="1"/>
  <c r="G277" i="1"/>
  <c r="P183" i="1"/>
  <c r="K430" i="1"/>
  <c r="E417" i="1"/>
  <c r="O447" i="1"/>
  <c r="J645" i="1"/>
  <c r="D415" i="1"/>
  <c r="J656" i="1"/>
  <c r="I605" i="1"/>
  <c r="O423" i="1"/>
  <c r="K401" i="1"/>
  <c r="O395" i="1"/>
  <c r="H786" i="1"/>
  <c r="E418" i="1"/>
  <c r="K294" i="1"/>
  <c r="P722" i="1"/>
  <c r="I626" i="1"/>
  <c r="I375" i="1"/>
  <c r="I353" i="1"/>
  <c r="I347" i="1"/>
  <c r="J581" i="1"/>
  <c r="E270" i="1"/>
  <c r="K258" i="1"/>
  <c r="O636" i="1"/>
  <c r="P405" i="1"/>
  <c r="P637" i="1"/>
  <c r="B660" i="1"/>
  <c r="C623" i="1"/>
  <c r="C587" i="1"/>
  <c r="I452" i="1"/>
  <c r="M413" i="1"/>
  <c r="P645" i="1"/>
  <c r="E289" i="1"/>
  <c r="G160" i="1"/>
  <c r="F706" i="1"/>
  <c r="E317" i="1"/>
  <c r="N16" i="1"/>
  <c r="D162" i="1"/>
  <c r="F229" i="1"/>
  <c r="B342" i="1"/>
  <c r="B501" i="1"/>
  <c r="P294" i="1"/>
  <c r="P100" i="1"/>
  <c r="H84" i="1"/>
  <c r="P79" i="1"/>
  <c r="M461" i="1"/>
  <c r="O612" i="1"/>
  <c r="D543" i="1"/>
  <c r="B465" i="1"/>
  <c r="A425" i="1"/>
  <c r="P64" i="1"/>
  <c r="H48" i="1"/>
  <c r="P43" i="1"/>
  <c r="O779" i="1"/>
  <c r="E716" i="1"/>
  <c r="A463" i="1"/>
  <c r="F448" i="1"/>
  <c r="P846" i="1"/>
  <c r="G51" i="1"/>
  <c r="E88" i="1"/>
  <c r="M143" i="1"/>
  <c r="E93" i="1"/>
  <c r="O575" i="1"/>
  <c r="E57" i="1"/>
  <c r="B570" i="1"/>
  <c r="B809" i="1"/>
  <c r="I237" i="1"/>
  <c r="G112" i="1"/>
  <c r="O95" i="1"/>
  <c r="E355" i="1"/>
  <c r="P421" i="1"/>
  <c r="I303" i="1"/>
  <c r="P347" i="1"/>
  <c r="P283" i="1"/>
  <c r="L103" i="1"/>
  <c r="K217" i="1"/>
  <c r="N406" i="1"/>
  <c r="P348" i="1"/>
  <c r="P134" i="1"/>
  <c r="O165" i="1"/>
  <c r="O318" i="1"/>
  <c r="O7" i="1"/>
  <c r="H295" i="1"/>
  <c r="H149" i="1"/>
  <c r="O166" i="1"/>
  <c r="F78" i="1"/>
  <c r="E138" i="1"/>
  <c r="P33" i="1"/>
  <c r="D125" i="1"/>
  <c r="O361" i="1"/>
  <c r="B22" i="1"/>
  <c r="O72" i="1"/>
  <c r="O130" i="1"/>
  <c r="F42" i="1"/>
  <c r="E102" i="1"/>
  <c r="A204" i="1"/>
  <c r="C199" i="1"/>
  <c r="P56" i="1"/>
  <c r="N150" i="1"/>
  <c r="M86" i="1"/>
  <c r="G101" i="1"/>
  <c r="M36" i="1"/>
  <c r="G8" i="1"/>
  <c r="O227" i="1"/>
  <c r="O576" i="1"/>
  <c r="L428" i="1"/>
  <c r="P214" i="1"/>
  <c r="H281" i="1"/>
  <c r="L171" i="1"/>
  <c r="B104" i="1"/>
  <c r="B393" i="1"/>
  <c r="I896" i="1"/>
  <c r="C361" i="1"/>
  <c r="B161" i="1"/>
  <c r="P6" i="1"/>
  <c r="L15" i="1"/>
  <c r="B61" i="1"/>
  <c r="N772" i="1"/>
  <c r="H63" i="1"/>
  <c r="F186" i="1"/>
  <c r="P653" i="1"/>
  <c r="M268" i="1"/>
  <c r="P44" i="1"/>
  <c r="E52" i="1"/>
  <c r="P326" i="1"/>
  <c r="I516" i="1"/>
  <c r="A484" i="1"/>
  <c r="L213" i="1"/>
  <c r="K290" i="1"/>
  <c r="O535" i="1"/>
  <c r="P124" i="1"/>
  <c r="H108" i="1"/>
  <c r="P103" i="1"/>
  <c r="F47" i="1"/>
  <c r="C507" i="1"/>
  <c r="I361" i="1"/>
  <c r="I168" i="1"/>
  <c r="K251" i="1"/>
  <c r="C41" i="1"/>
  <c r="F371" i="1"/>
  <c r="A363" i="1"/>
  <c r="O434" i="1"/>
  <c r="H178" i="1"/>
  <c r="O441" i="1"/>
  <c r="G290" i="1"/>
  <c r="I48" i="1"/>
  <c r="M272" i="1"/>
  <c r="H179" i="1"/>
  <c r="G86" i="1"/>
  <c r="N121" i="1"/>
  <c r="J192" i="1"/>
  <c r="I206" i="1"/>
  <c r="I145" i="1"/>
  <c r="J92" i="1"/>
  <c r="M421" i="1"/>
  <c r="H143" i="1"/>
  <c r="G50" i="1"/>
  <c r="P818" i="1"/>
  <c r="L597" i="1"/>
  <c r="F406" i="1"/>
  <c r="F370" i="1"/>
  <c r="F334" i="1"/>
  <c r="F298" i="1"/>
  <c r="J857" i="1"/>
  <c r="F538" i="1"/>
  <c r="C641" i="1"/>
  <c r="D533" i="1"/>
  <c r="M364" i="1"/>
  <c r="M328" i="1"/>
  <c r="M292" i="1"/>
  <c r="H461" i="1"/>
  <c r="P545" i="1"/>
  <c r="F762" i="1"/>
  <c r="K693" i="1"/>
  <c r="C651" i="1"/>
  <c r="D274" i="1"/>
  <c r="D238" i="1"/>
  <c r="K441" i="1"/>
  <c r="I684" i="1"/>
  <c r="I834" i="1"/>
  <c r="E589" i="1"/>
  <c r="E553" i="1"/>
  <c r="I402" i="1"/>
  <c r="I366" i="1"/>
  <c r="K451" i="1"/>
  <c r="B381" i="1"/>
  <c r="B345" i="1"/>
  <c r="B254" i="1"/>
  <c r="A454" i="1"/>
  <c r="F219" i="1"/>
  <c r="O429" i="1"/>
  <c r="L307" i="1"/>
  <c r="H718" i="1"/>
  <c r="L427" i="1"/>
  <c r="N279" i="1"/>
  <c r="E396" i="1"/>
  <c r="H560" i="1"/>
  <c r="N299" i="1"/>
  <c r="E398" i="1"/>
  <c r="L237" i="1"/>
  <c r="B279" i="1"/>
  <c r="K413" i="1"/>
  <c r="I365" i="1"/>
  <c r="N627" i="1"/>
  <c r="F262" i="1"/>
  <c r="F226" i="1"/>
  <c r="I436" i="1"/>
  <c r="F575" i="1"/>
  <c r="H182" i="1"/>
  <c r="H210" i="1"/>
  <c r="F282" i="1"/>
  <c r="M229" i="1"/>
  <c r="D438" i="1"/>
  <c r="J188" i="1"/>
  <c r="F102" i="1"/>
  <c r="D387" i="1"/>
  <c r="G366" i="1"/>
  <c r="E191" i="1"/>
  <c r="C425" i="1"/>
  <c r="G233" i="1"/>
  <c r="M68" i="1"/>
  <c r="P75" i="1"/>
  <c r="F440" i="1"/>
  <c r="N381" i="1"/>
  <c r="P424" i="1"/>
  <c r="I214" i="1"/>
  <c r="P344" i="1"/>
  <c r="I2" i="1"/>
  <c r="P308" i="1"/>
  <c r="C188" i="1"/>
  <c r="F218" i="1"/>
  <c r="G110" i="1"/>
  <c r="B217" i="1"/>
  <c r="I41" i="1"/>
  <c r="K144" i="1"/>
  <c r="N423" i="1"/>
  <c r="F53" i="1"/>
  <c r="L424" i="1"/>
  <c r="G166" i="1"/>
  <c r="N201" i="1"/>
  <c r="C18" i="1"/>
  <c r="J66" i="1"/>
  <c r="I31" i="1"/>
  <c r="C626" i="1"/>
  <c r="L113" i="1"/>
  <c r="J305" i="1"/>
  <c r="A239" i="1"/>
  <c r="O29" i="1"/>
  <c r="O579" i="1"/>
  <c r="P455" i="1"/>
  <c r="D143" i="1"/>
  <c r="F326" i="1"/>
  <c r="G99" i="1"/>
  <c r="F290" i="1"/>
  <c r="A305" i="1"/>
  <c r="B573" i="1"/>
  <c r="C442" i="1"/>
  <c r="A285" i="1"/>
  <c r="A263" i="1"/>
  <c r="A257" i="1"/>
  <c r="L508" i="1"/>
  <c r="P286" i="1"/>
  <c r="L148" i="1"/>
  <c r="D33" i="1"/>
  <c r="P193" i="1"/>
  <c r="B48" i="1"/>
  <c r="C36" i="1"/>
  <c r="F19" i="1"/>
  <c r="E429" i="1"/>
  <c r="I356" i="1"/>
  <c r="I136" i="1"/>
  <c r="J360" i="1"/>
  <c r="C37" i="1"/>
  <c r="F339" i="1"/>
  <c r="I357" i="1"/>
  <c r="O430" i="1"/>
  <c r="H174" i="1"/>
  <c r="I409" i="1"/>
  <c r="G274" i="1"/>
  <c r="O16" i="1"/>
  <c r="M213" i="1"/>
  <c r="M297" i="1"/>
  <c r="I309" i="1"/>
  <c r="O394" i="1"/>
  <c r="H138" i="1"/>
  <c r="P45" i="1"/>
  <c r="B208" i="1"/>
  <c r="N310" i="1"/>
  <c r="P336" i="1"/>
  <c r="P122" i="1"/>
  <c r="O153" i="1"/>
  <c r="O248" i="1"/>
  <c r="J17" i="1"/>
  <c r="H279" i="1"/>
  <c r="K87" i="1"/>
  <c r="G123" i="1"/>
  <c r="L385" i="1"/>
  <c r="J280" i="1"/>
  <c r="A197" i="1"/>
  <c r="A116" i="1"/>
  <c r="G353" i="1"/>
  <c r="O182" i="1"/>
  <c r="F94" i="1"/>
  <c r="E154" i="1"/>
  <c r="I100" i="1"/>
  <c r="O274" i="1"/>
  <c r="H323" i="1"/>
  <c r="A276" i="1"/>
  <c r="B339" i="1"/>
  <c r="H372" i="1"/>
  <c r="G358" i="1"/>
  <c r="I107" i="1"/>
  <c r="K272" i="1"/>
  <c r="A405" i="1"/>
  <c r="P397" i="1"/>
  <c r="N386" i="1"/>
  <c r="F553" i="1"/>
  <c r="I350" i="1"/>
  <c r="G63" i="1"/>
  <c r="M269" i="1"/>
  <c r="B373" i="1"/>
  <c r="K392" i="1"/>
  <c r="G376" i="1"/>
  <c r="O371" i="1"/>
  <c r="I379" i="1"/>
  <c r="D165" i="1"/>
  <c r="L313" i="1"/>
  <c r="B185" i="1"/>
  <c r="O36" i="1"/>
  <c r="D63" i="1"/>
  <c r="K323" i="1"/>
  <c r="L321" i="1"/>
  <c r="O505" i="1"/>
  <c r="G448" i="1"/>
  <c r="P9" i="1"/>
  <c r="O244" i="1"/>
  <c r="O321" i="1"/>
  <c r="L306" i="1"/>
  <c r="O449" i="1"/>
  <c r="P66" i="1"/>
  <c r="O97" i="1"/>
  <c r="K143" i="1"/>
  <c r="B13" i="1"/>
  <c r="C174" i="1"/>
  <c r="K31" i="1"/>
  <c r="C258" i="1"/>
  <c r="E411" i="1"/>
  <c r="H267" i="1"/>
  <c r="O61" i="1"/>
  <c r="C94" i="1"/>
  <c r="A104" i="1"/>
  <c r="M389" i="1"/>
  <c r="H139" i="1"/>
  <c r="G46" i="1"/>
  <c r="N81" i="1"/>
  <c r="J152" i="1"/>
  <c r="M16" i="1"/>
  <c r="J30" i="1"/>
  <c r="E584" i="1"/>
  <c r="L500" i="1"/>
  <c r="I319" i="1"/>
  <c r="P359" i="1"/>
  <c r="A99" i="1"/>
  <c r="D128" i="1"/>
  <c r="F164" i="1"/>
  <c r="N110" i="1"/>
  <c r="G323" i="1"/>
  <c r="B256" i="1"/>
  <c r="J232" i="1"/>
  <c r="J37" i="1"/>
  <c r="K159" i="1"/>
  <c r="H483" i="1"/>
  <c r="K388" i="1"/>
  <c r="P174" i="1"/>
  <c r="O205" i="1"/>
  <c r="B424" i="1"/>
  <c r="I495" i="1"/>
  <c r="P55" i="1"/>
  <c r="C717" i="1"/>
  <c r="A381" i="1"/>
  <c r="E290" i="1"/>
  <c r="A333" i="1"/>
  <c r="L700" i="1"/>
  <c r="N528" i="1"/>
  <c r="O461" i="1"/>
  <c r="F200" i="1"/>
  <c r="N183" i="1"/>
  <c r="J382" i="1"/>
  <c r="N428" i="1"/>
  <c r="D400" i="1"/>
  <c r="D386" i="1"/>
  <c r="J239" i="1"/>
  <c r="C136" i="1"/>
  <c r="I5" i="1"/>
  <c r="D638" i="1"/>
  <c r="C387" i="1"/>
  <c r="H219" i="1"/>
  <c r="O37" i="1"/>
  <c r="C70" i="1"/>
  <c r="O21" i="1"/>
  <c r="C215" i="1"/>
  <c r="A392" i="1"/>
  <c r="O38" i="1"/>
  <c r="M190" i="1"/>
  <c r="E449" i="1"/>
  <c r="J52" i="1"/>
  <c r="B171" i="1"/>
  <c r="L195" i="1"/>
  <c r="B50" i="1"/>
  <c r="I279" i="1"/>
  <c r="B220" i="1"/>
  <c r="M154" i="1"/>
  <c r="H343" i="1"/>
  <c r="E4" i="1"/>
  <c r="A149" i="1"/>
  <c r="K161" i="1"/>
  <c r="N22" i="1"/>
  <c r="L164" i="1"/>
  <c r="D65" i="1"/>
  <c r="F423" i="1"/>
  <c r="G35" i="1"/>
  <c r="C52" i="1"/>
  <c r="E269" i="1"/>
  <c r="P300" i="1"/>
  <c r="P86" i="1"/>
  <c r="O117" i="1"/>
  <c r="K175" i="1"/>
  <c r="B51" i="1"/>
  <c r="F207" i="1"/>
  <c r="E344" i="1"/>
  <c r="G415" i="1"/>
  <c r="E21" i="1"/>
  <c r="P14" i="1"/>
  <c r="C81" i="1"/>
  <c r="I115" i="1"/>
  <c r="O200" i="1"/>
  <c r="O146" i="1"/>
  <c r="F58" i="1"/>
  <c r="H608" i="1"/>
  <c r="O55" i="1"/>
  <c r="H60" i="1"/>
  <c r="G199" i="1"/>
  <c r="N108" i="1"/>
  <c r="L328" i="1"/>
  <c r="N72" i="1"/>
  <c r="K116" i="1"/>
  <c r="M674" i="1"/>
  <c r="A323" i="1"/>
  <c r="G176" i="1"/>
  <c r="O159" i="1"/>
  <c r="P826" i="1"/>
  <c r="J648" i="1"/>
  <c r="C389" i="1"/>
  <c r="N411" i="1"/>
  <c r="I34" i="1"/>
  <c r="M197" i="1"/>
  <c r="J135" i="1"/>
  <c r="K541" i="1"/>
  <c r="L412" i="1"/>
  <c r="P198" i="1"/>
  <c r="G240" i="1"/>
  <c r="D120" i="1"/>
  <c r="J86" i="1"/>
  <c r="M12" i="1"/>
  <c r="I360" i="1"/>
  <c r="G242" i="1"/>
  <c r="F142" i="1"/>
  <c r="E202" i="1"/>
  <c r="H20" i="1"/>
  <c r="H327" i="1"/>
  <c r="I439" i="1"/>
  <c r="E216" i="1"/>
  <c r="O453" i="1"/>
  <c r="O194" i="1"/>
  <c r="F106" i="1"/>
  <c r="E166" i="1"/>
  <c r="I196" i="1"/>
  <c r="F45" i="1"/>
  <c r="A237" i="1"/>
  <c r="N214" i="1"/>
  <c r="M150" i="1"/>
  <c r="H311" i="1"/>
  <c r="P3" i="1"/>
  <c r="A85" i="1"/>
  <c r="D84" i="1"/>
  <c r="K414" i="1"/>
  <c r="I256" i="1"/>
  <c r="O354" i="1"/>
  <c r="H98" i="1"/>
  <c r="F153" i="1"/>
  <c r="B168" i="1"/>
  <c r="N591" i="1"/>
  <c r="D205" i="1"/>
  <c r="A436" i="1"/>
  <c r="M230" i="1"/>
  <c r="B63" i="1"/>
  <c r="L151" i="1"/>
  <c r="H36" i="1"/>
  <c r="K293" i="1"/>
  <c r="H127" i="1"/>
  <c r="G304" i="1"/>
  <c r="N69" i="1"/>
  <c r="P508" i="1"/>
  <c r="N31" i="1"/>
  <c r="F542" i="1"/>
  <c r="P378" i="1"/>
  <c r="E38" i="1"/>
  <c r="E179" i="1"/>
  <c r="A297" i="1"/>
  <c r="I265" i="1"/>
  <c r="I40" i="1"/>
  <c r="I217" i="1"/>
  <c r="L225" i="1"/>
  <c r="C214" i="1"/>
  <c r="N18" i="1"/>
  <c r="L434" i="1"/>
  <c r="C170" i="1"/>
  <c r="F179" i="1"/>
  <c r="C393" i="1"/>
  <c r="G260" i="1"/>
  <c r="N40" i="1"/>
  <c r="G144" i="1"/>
  <c r="A346" i="1"/>
  <c r="J103" i="1"/>
  <c r="O197" i="1"/>
  <c r="P314" i="1"/>
  <c r="J237" i="1"/>
  <c r="H117" i="1"/>
  <c r="M26" i="1"/>
  <c r="M118" i="1"/>
  <c r="D20" i="1"/>
  <c r="H66" i="1"/>
  <c r="D173" i="1"/>
  <c r="D79" i="1"/>
  <c r="G219" i="1"/>
  <c r="A5" i="1"/>
  <c r="K32" i="1"/>
  <c r="F41" i="1"/>
  <c r="A139" i="1"/>
  <c r="D13" i="1"/>
  <c r="I172" i="1"/>
  <c r="G73" i="1"/>
  <c r="C135" i="1"/>
  <c r="E389" i="1"/>
  <c r="M22" i="1"/>
  <c r="C87" i="1"/>
  <c r="J44" i="1"/>
  <c r="J118" i="1"/>
  <c r="C132" i="1"/>
  <c r="D226" i="1"/>
  <c r="H333" i="1"/>
  <c r="N407" i="1"/>
  <c r="G7" i="1"/>
  <c r="N209" i="1"/>
  <c r="G440" i="1"/>
  <c r="C223" i="1"/>
  <c r="A329" i="1"/>
  <c r="J213" i="1"/>
  <c r="I15" i="1"/>
  <c r="P449" i="1"/>
  <c r="G77" i="1"/>
  <c r="L452" i="1"/>
  <c r="I470" i="1"/>
  <c r="I193" i="1"/>
  <c r="I180" i="1"/>
  <c r="I297" i="1"/>
  <c r="L3" i="1"/>
  <c r="O551" i="1"/>
  <c r="C162" i="1"/>
  <c r="G6" i="1"/>
  <c r="P37" i="1"/>
  <c r="O15" i="1"/>
  <c r="A36" i="1"/>
  <c r="O107" i="1"/>
  <c r="L38" i="1"/>
  <c r="G150" i="1"/>
  <c r="E43" i="1"/>
  <c r="A403" i="1"/>
  <c r="L124" i="1"/>
  <c r="M205" i="1"/>
  <c r="A182" i="1"/>
  <c r="I84" i="1"/>
  <c r="L51" i="1"/>
  <c r="K16" i="1"/>
  <c r="O730" i="1"/>
  <c r="A310" i="1"/>
  <c r="F318" i="1"/>
  <c r="P184" i="1"/>
  <c r="I114" i="1"/>
  <c r="F636" i="1"/>
  <c r="O310" i="1"/>
  <c r="G410" i="1"/>
  <c r="C325" i="1"/>
  <c r="G374" i="1"/>
  <c r="I261" i="1"/>
  <c r="B172" i="1"/>
  <c r="D209" i="1"/>
  <c r="K325" i="1"/>
  <c r="J144" i="1"/>
  <c r="J462" i="1"/>
  <c r="G129" i="1"/>
  <c r="B192" i="1"/>
  <c r="I138" i="1"/>
  <c r="D133" i="1"/>
  <c r="G284" i="1"/>
  <c r="L175" i="1"/>
  <c r="F37" i="1"/>
  <c r="G247" i="1"/>
  <c r="G36" i="1"/>
  <c r="J255" i="1"/>
  <c r="B194" i="1"/>
  <c r="M409" i="1"/>
  <c r="G232" i="1"/>
  <c r="P291" i="1"/>
  <c r="K97" i="1"/>
  <c r="O329" i="1"/>
  <c r="L357" i="1"/>
  <c r="B141" i="1"/>
  <c r="M236" i="1"/>
  <c r="C159" i="1"/>
  <c r="A110" i="1"/>
  <c r="A101" i="1"/>
  <c r="O8" i="1"/>
  <c r="F134" i="1"/>
  <c r="M209" i="1"/>
  <c r="M45" i="1"/>
  <c r="K486" i="1"/>
  <c r="I455" i="1"/>
  <c r="G385" i="1"/>
  <c r="M173" i="1"/>
  <c r="G187" i="1"/>
  <c r="J177" i="1"/>
  <c r="H360" i="1"/>
  <c r="O33" i="1"/>
  <c r="H324" i="1"/>
  <c r="D610" i="1"/>
  <c r="L187" i="1"/>
  <c r="B425" i="1"/>
  <c r="P24" i="1"/>
  <c r="O303" i="1"/>
  <c r="D340" i="1"/>
  <c r="K62" i="1"/>
  <c r="I405" i="1"/>
  <c r="M251" i="1"/>
  <c r="I98" i="1"/>
  <c r="O35" i="1"/>
  <c r="I43" i="1"/>
  <c r="C56" i="1"/>
  <c r="L309" i="1"/>
  <c r="J74" i="1"/>
  <c r="K59" i="1"/>
  <c r="M7" i="1"/>
  <c r="B221" i="1"/>
  <c r="B44" i="1"/>
  <c r="E328" i="1"/>
  <c r="D585" i="1"/>
  <c r="G254" i="1"/>
  <c r="L416" i="1"/>
  <c r="J90" i="1"/>
  <c r="F146" i="1"/>
  <c r="C357" i="1"/>
  <c r="O224" i="1"/>
  <c r="F65" i="1"/>
  <c r="K163" i="1"/>
  <c r="D181" i="1"/>
  <c r="D95" i="1"/>
  <c r="E233" i="1"/>
  <c r="N229" i="1"/>
  <c r="L55" i="1"/>
  <c r="B297" i="1"/>
  <c r="H566" i="1"/>
  <c r="G349" i="1"/>
  <c r="H255" i="1"/>
  <c r="H201" i="1"/>
  <c r="H165" i="1"/>
  <c r="O586" i="1"/>
  <c r="H722" i="1"/>
  <c r="H591" i="1"/>
  <c r="F520" i="1"/>
  <c r="O196" i="1"/>
  <c r="O160" i="1"/>
  <c r="O124" i="1"/>
  <c r="O88" i="1"/>
  <c r="F253" i="1"/>
  <c r="B736" i="1"/>
  <c r="C617" i="1"/>
  <c r="F485" i="1"/>
  <c r="N124" i="1"/>
  <c r="N88" i="1"/>
  <c r="N52" i="1"/>
  <c r="C239" i="1"/>
  <c r="M816" i="1"/>
  <c r="F365" i="1"/>
  <c r="F329" i="1"/>
  <c r="N369" i="1"/>
  <c r="C567" i="1"/>
  <c r="D38" i="1"/>
  <c r="D203" i="1"/>
  <c r="D167" i="1"/>
  <c r="J430" i="1"/>
  <c r="E281" i="1"/>
  <c r="L442" i="1"/>
  <c r="L406" i="1"/>
  <c r="D202" i="1"/>
  <c r="H462" i="1"/>
  <c r="K358" i="1"/>
  <c r="K322" i="1"/>
  <c r="D170" i="1"/>
  <c r="I450" i="1"/>
  <c r="K326" i="1"/>
  <c r="C263" i="1"/>
  <c r="M179" i="1"/>
  <c r="H362" i="1"/>
  <c r="H326" i="1"/>
  <c r="F404" i="1"/>
  <c r="L150" i="1"/>
  <c r="H129" i="1"/>
  <c r="H93" i="1"/>
  <c r="P726" i="1"/>
  <c r="J489" i="1"/>
  <c r="H307" i="1"/>
  <c r="N125" i="1"/>
  <c r="G76" i="1"/>
  <c r="P279" i="1"/>
  <c r="P276" i="1"/>
  <c r="A68" i="1"/>
  <c r="L36" i="1"/>
  <c r="J178" i="1"/>
  <c r="N205" i="1"/>
  <c r="J313" i="1"/>
  <c r="J207" i="1"/>
  <c r="M170" i="1"/>
  <c r="M47" i="1"/>
  <c r="E828" i="1"/>
  <c r="O63" i="1"/>
  <c r="P315" i="1"/>
  <c r="G397" i="1"/>
  <c r="C202" i="1"/>
  <c r="O134" i="1"/>
  <c r="O228" i="1"/>
  <c r="O98" i="1"/>
  <c r="J156" i="1"/>
  <c r="H85" i="1"/>
  <c r="F70" i="1"/>
  <c r="G20" i="1"/>
  <c r="J224" i="1"/>
  <c r="B291" i="1"/>
  <c r="G334" i="1"/>
  <c r="K73" i="1"/>
  <c r="G335" i="1"/>
  <c r="F126" i="1"/>
  <c r="E186" i="1"/>
  <c r="B3" i="1"/>
  <c r="P65" i="1"/>
  <c r="I371" i="1"/>
  <c r="C227" i="1"/>
  <c r="J446" i="1"/>
  <c r="D404" i="1"/>
  <c r="G390" i="1"/>
  <c r="A4" i="1"/>
  <c r="O583" i="1"/>
  <c r="A437" i="1"/>
  <c r="K113" i="1"/>
  <c r="I418" i="1"/>
  <c r="J512" i="1"/>
  <c r="I382" i="1"/>
  <c r="G227" i="1"/>
  <c r="M301" i="1"/>
  <c r="D405" i="1"/>
  <c r="K424" i="1"/>
  <c r="C408" i="1"/>
  <c r="M403" i="1"/>
  <c r="L472" i="1"/>
  <c r="D197" i="1"/>
  <c r="E372" i="1"/>
  <c r="L217" i="1"/>
  <c r="P17" i="1"/>
  <c r="L127" i="1"/>
  <c r="E540" i="1"/>
  <c r="E380" i="1"/>
  <c r="I255" i="1"/>
  <c r="P311" i="1"/>
  <c r="B31" i="1"/>
  <c r="L31" i="1"/>
  <c r="E25" i="1"/>
  <c r="E365" i="1"/>
  <c r="P312" i="1"/>
  <c r="P98" i="1"/>
  <c r="O129" i="1"/>
  <c r="C195" i="1"/>
  <c r="I128" i="1"/>
  <c r="D180" i="1"/>
  <c r="K63" i="1"/>
  <c r="L274" i="1"/>
  <c r="G443" i="1"/>
  <c r="P62" i="1"/>
  <c r="O93" i="1"/>
  <c r="C138" i="1"/>
  <c r="N5" i="1"/>
  <c r="D406" i="1"/>
  <c r="H171" i="1"/>
  <c r="G78" i="1"/>
  <c r="N113" i="1"/>
  <c r="J184" i="1"/>
  <c r="I142" i="1"/>
  <c r="H28" i="1"/>
  <c r="N555" i="1"/>
  <c r="H571" i="1"/>
  <c r="A362" i="1"/>
  <c r="N391" i="1"/>
  <c r="J3" i="1"/>
  <c r="O290" i="1"/>
  <c r="G204" i="1"/>
  <c r="N142" i="1"/>
  <c r="M78" i="1"/>
  <c r="G328" i="1"/>
  <c r="P23" i="1"/>
  <c r="P287" i="1"/>
  <c r="C211" i="1"/>
  <c r="I613" i="1"/>
  <c r="L420" i="1"/>
  <c r="P206" i="1"/>
  <c r="G256" i="1"/>
  <c r="L638" i="1"/>
  <c r="O100" i="1"/>
  <c r="L182" i="1"/>
  <c r="N361" i="1"/>
  <c r="H161" i="1"/>
  <c r="M764" i="1"/>
  <c r="H125" i="1"/>
  <c r="L117" i="1"/>
  <c r="B430" i="1"/>
  <c r="L337" i="1"/>
  <c r="P60" i="1"/>
  <c r="H44" i="1"/>
  <c r="O689" i="1"/>
  <c r="P255" i="1"/>
  <c r="B363" i="1"/>
  <c r="I276" i="1"/>
  <c r="A176" i="1"/>
  <c r="O373" i="1"/>
  <c r="M243" i="1"/>
  <c r="D303" i="1"/>
  <c r="I277" i="1"/>
  <c r="O370" i="1"/>
  <c r="H114" i="1"/>
  <c r="G65" i="1"/>
  <c r="B184" i="1"/>
  <c r="I74" i="1"/>
  <c r="D433" i="1"/>
  <c r="H115" i="1"/>
  <c r="E257" i="1"/>
  <c r="N57" i="1"/>
  <c r="J128" i="1"/>
  <c r="I1" i="1"/>
  <c r="G17" i="1"/>
  <c r="H16" i="1"/>
  <c r="I342" i="1"/>
  <c r="H79" i="1"/>
  <c r="F202" i="1"/>
  <c r="N21" i="1"/>
  <c r="B91" i="1"/>
  <c r="J32" i="1"/>
  <c r="M263" i="1"/>
  <c r="O94" i="1"/>
  <c r="P284" i="1"/>
  <c r="E66" i="1"/>
  <c r="J22" i="1"/>
  <c r="K60" i="1"/>
  <c r="F137" i="1"/>
  <c r="H482" i="1"/>
  <c r="P384" i="1"/>
  <c r="I456" i="1"/>
  <c r="H194" i="1"/>
  <c r="F403" i="1"/>
  <c r="K9" i="1"/>
  <c r="N147" i="1"/>
  <c r="E95" i="1"/>
  <c r="G466" i="1"/>
  <c r="K66" i="1"/>
  <c r="M226" i="1"/>
  <c r="G153" i="1"/>
  <c r="J138" i="1"/>
  <c r="F378" i="1"/>
  <c r="H227" i="1"/>
  <c r="G130" i="1"/>
  <c r="N165" i="1"/>
  <c r="A530" i="1"/>
  <c r="E215" i="1"/>
  <c r="E291" i="1"/>
  <c r="C384" i="1"/>
  <c r="F80" i="1"/>
  <c r="O471" i="1"/>
  <c r="F44" i="1"/>
  <c r="F572" i="1"/>
  <c r="N250" i="1"/>
  <c r="H57" i="1"/>
  <c r="M184" i="1"/>
  <c r="E168" i="1"/>
  <c r="B298" i="1"/>
  <c r="B452" i="1"/>
  <c r="H250" i="1"/>
  <c r="H54" i="1"/>
  <c r="G315" i="1"/>
  <c r="B124" i="1"/>
  <c r="A154" i="1"/>
  <c r="A498" i="1"/>
  <c r="H55" i="1"/>
  <c r="F178" i="1"/>
  <c r="B257" i="1"/>
  <c r="A193" i="1"/>
  <c r="O223" i="1"/>
  <c r="I133" i="1"/>
  <c r="K475" i="1"/>
  <c r="B259" i="1"/>
  <c r="L140" i="1"/>
  <c r="D17" i="1"/>
  <c r="G213" i="1"/>
  <c r="A202" i="1"/>
  <c r="C28" i="1"/>
  <c r="G105" i="1"/>
  <c r="I257" i="1"/>
  <c r="E203" i="1"/>
  <c r="L104" i="1"/>
  <c r="D215" i="1"/>
  <c r="D164" i="1"/>
  <c r="K235" i="1"/>
  <c r="C145" i="1"/>
  <c r="D213" i="1"/>
  <c r="N253" i="1"/>
  <c r="M246" i="1"/>
  <c r="P216" i="1"/>
  <c r="L183" i="1"/>
  <c r="I59" i="1"/>
  <c r="K357" i="1"/>
  <c r="H135" i="1"/>
  <c r="G42" i="1"/>
  <c r="N77" i="1"/>
  <c r="J148" i="1"/>
  <c r="J428" i="1"/>
  <c r="L468" i="1"/>
  <c r="A314" i="1"/>
  <c r="P355" i="1"/>
  <c r="I60" i="1"/>
  <c r="L119" i="1"/>
  <c r="B77" i="1"/>
  <c r="J201" i="1"/>
  <c r="F132" i="1"/>
  <c r="N106" i="1"/>
  <c r="O292" i="1"/>
  <c r="I877" i="1"/>
  <c r="E728" i="1"/>
  <c r="M83" i="1"/>
  <c r="D694" i="1"/>
  <c r="H330" i="1"/>
  <c r="P447" i="1"/>
  <c r="H294" i="1"/>
  <c r="M612" i="1"/>
  <c r="G471" i="1"/>
  <c r="A389" i="1"/>
  <c r="F136" i="1"/>
  <c r="N119" i="1"/>
  <c r="K519" i="1"/>
  <c r="J266" i="1"/>
  <c r="H336" i="1"/>
  <c r="O283" i="1"/>
  <c r="N313" i="1"/>
  <c r="K61" i="1"/>
  <c r="J41" i="1"/>
  <c r="L581" i="1"/>
  <c r="O287" i="1"/>
  <c r="G154" i="1"/>
  <c r="N189" i="1"/>
  <c r="C6" i="1"/>
  <c r="P32" i="1"/>
  <c r="A96" i="1"/>
  <c r="A460" i="1"/>
  <c r="N190" i="1"/>
  <c r="M126" i="1"/>
  <c r="P209" i="1"/>
  <c r="I58" i="1"/>
  <c r="I184" i="1"/>
  <c r="D36" i="1"/>
  <c r="A78" i="1"/>
  <c r="P88" i="1"/>
  <c r="N154" i="1"/>
  <c r="M90" i="1"/>
  <c r="G133" i="1"/>
  <c r="E45" i="1"/>
  <c r="J26" i="1"/>
  <c r="I215" i="1"/>
  <c r="E199" i="1"/>
  <c r="L100" i="1"/>
  <c r="C208" i="1"/>
  <c r="D136" i="1"/>
  <c r="J351" i="1"/>
  <c r="G268" i="1"/>
  <c r="L429" i="1"/>
  <c r="E403" i="1"/>
  <c r="G249" i="1"/>
  <c r="O53" i="1"/>
  <c r="C86" i="1"/>
  <c r="A55" i="1"/>
  <c r="M191" i="1"/>
  <c r="K287" i="1"/>
  <c r="I329" i="1"/>
  <c r="M34" i="1"/>
  <c r="A302" i="1"/>
  <c r="C17" i="1"/>
  <c r="A143" i="1"/>
  <c r="E145" i="1"/>
  <c r="O82" i="1"/>
  <c r="B250" i="1"/>
  <c r="E54" i="1"/>
  <c r="F32" i="1"/>
  <c r="B348" i="1"/>
  <c r="M408" i="1"/>
  <c r="O253" i="1"/>
  <c r="F213" i="1"/>
  <c r="H242" i="1"/>
  <c r="A122" i="1"/>
  <c r="B249" i="1"/>
  <c r="P29" i="1"/>
  <c r="E198" i="1"/>
  <c r="G285" i="1"/>
  <c r="B151" i="1"/>
  <c r="L386" i="1"/>
  <c r="D82" i="1"/>
  <c r="A117" i="1"/>
  <c r="H159" i="1"/>
  <c r="K214" i="1"/>
  <c r="F330" i="1"/>
  <c r="B253" i="1"/>
  <c r="H554" i="1"/>
  <c r="F54" i="1"/>
  <c r="P93" i="1"/>
  <c r="K86" i="1"/>
  <c r="K204" i="1"/>
  <c r="F149" i="1"/>
  <c r="N570" i="1"/>
  <c r="M101" i="1"/>
  <c r="G370" i="1"/>
  <c r="F415" i="1"/>
  <c r="K202" i="1"/>
  <c r="G241" i="1"/>
  <c r="K4" i="1"/>
  <c r="I324" i="1"/>
  <c r="E42" i="1"/>
  <c r="B9" i="1"/>
  <c r="C72" i="1"/>
  <c r="O281" i="1"/>
  <c r="I147" i="1"/>
  <c r="I108" i="1"/>
  <c r="C7" i="1"/>
  <c r="J158" i="1"/>
  <c r="J214" i="1"/>
  <c r="G272" i="1"/>
  <c r="I121" i="1"/>
  <c r="I129" i="1"/>
  <c r="P85" i="1"/>
  <c r="B82" i="1"/>
  <c r="F315" i="1"/>
  <c r="N83" i="1"/>
  <c r="A41" i="1"/>
  <c r="D123" i="1"/>
  <c r="I127" i="1"/>
  <c r="A270" i="1"/>
  <c r="C14" i="1"/>
  <c r="J198" i="1"/>
  <c r="A502" i="1"/>
  <c r="G41" i="1"/>
  <c r="I175" i="1"/>
  <c r="B146" i="1"/>
  <c r="M531" i="1"/>
  <c r="O476" i="1"/>
  <c r="K130" i="1"/>
  <c r="C71" i="1"/>
  <c r="O12" i="1"/>
  <c r="I336" i="1"/>
  <c r="I227" i="1"/>
  <c r="M35" i="1"/>
  <c r="J15" i="1"/>
  <c r="P26" i="1"/>
  <c r="A28" i="1"/>
  <c r="I190" i="1"/>
  <c r="D347" i="1"/>
  <c r="D22" i="1"/>
  <c r="C194" i="1"/>
  <c r="A187" i="1"/>
  <c r="C241" i="1"/>
  <c r="H286" i="1"/>
  <c r="D11" i="1"/>
  <c r="C154" i="1"/>
  <c r="B214" i="1"/>
  <c r="C160" i="1"/>
  <c r="C120" i="1"/>
  <c r="B549" i="1"/>
  <c r="L359" i="1"/>
  <c r="A421" i="1"/>
  <c r="B331" i="1"/>
  <c r="K93" i="1"/>
  <c r="G186" i="1"/>
  <c r="A213" i="1"/>
  <c r="H375" i="1"/>
  <c r="I141" i="1"/>
  <c r="P177" i="1"/>
  <c r="B243" i="1"/>
  <c r="I197" i="1"/>
  <c r="P54" i="1"/>
  <c r="F79" i="1"/>
  <c r="E272" i="1"/>
  <c r="O114" i="1"/>
  <c r="K111" i="1"/>
  <c r="J244" i="1"/>
  <c r="K100" i="1"/>
  <c r="K11" i="1"/>
  <c r="M125" i="1"/>
  <c r="J133" i="1"/>
  <c r="B122" i="1"/>
  <c r="A203" i="1"/>
  <c r="D192" i="1"/>
  <c r="M215" i="1"/>
  <c r="I143" i="1"/>
  <c r="P352" i="1"/>
  <c r="C110" i="1"/>
  <c r="O308" i="1"/>
  <c r="J171" i="1"/>
  <c r="P117" i="1"/>
  <c r="G313" i="1"/>
  <c r="I310" i="1"/>
  <c r="E100" i="1"/>
  <c r="J335" i="1"/>
  <c r="P260" i="1"/>
  <c r="E41" i="1"/>
  <c r="B521" i="1"/>
  <c r="P265" i="1"/>
  <c r="F169" i="1"/>
  <c r="K793" i="1"/>
  <c r="H298" i="1"/>
  <c r="B584" i="1"/>
  <c r="I530" i="1"/>
  <c r="A350" i="1"/>
  <c r="J215" i="1"/>
  <c r="O309" i="1"/>
  <c r="M94" i="1"/>
  <c r="O252" i="1"/>
  <c r="M58" i="1"/>
  <c r="G372" i="1"/>
  <c r="O242" i="1"/>
  <c r="G371" i="1"/>
  <c r="C648" i="1"/>
  <c r="J260" i="1"/>
  <c r="E514" i="1"/>
  <c r="O6" i="1"/>
  <c r="K194" i="1"/>
  <c r="B65" i="1"/>
  <c r="P409" i="1"/>
  <c r="C61" i="1"/>
  <c r="I20" i="1"/>
  <c r="I66" i="1"/>
  <c r="P273" i="1"/>
  <c r="C3" i="1"/>
  <c r="I181" i="1"/>
  <c r="G173" i="1"/>
  <c r="J247" i="1"/>
  <c r="H12" i="1"/>
  <c r="B445" i="1"/>
  <c r="M446" i="1"/>
  <c r="H418" i="1"/>
  <c r="E151" i="1"/>
  <c r="H299" i="1"/>
  <c r="I228" i="1"/>
  <c r="K254" i="1"/>
  <c r="B248" i="1"/>
  <c r="M642" i="1"/>
  <c r="L203" i="1"/>
  <c r="G257" i="1"/>
  <c r="K28" i="1"/>
  <c r="D671" i="1"/>
  <c r="B320" i="1"/>
  <c r="G200" i="1"/>
  <c r="G164" i="1"/>
  <c r="G128" i="1"/>
  <c r="G92" i="1"/>
  <c r="M662" i="1"/>
  <c r="A670" i="1"/>
  <c r="I597" i="1"/>
  <c r="M523" i="1"/>
  <c r="F128" i="1"/>
  <c r="F92" i="1"/>
  <c r="F56" i="1"/>
  <c r="F20" i="1"/>
  <c r="C509" i="1"/>
  <c r="F702" i="1"/>
  <c r="O615" i="1"/>
  <c r="J526" i="1"/>
  <c r="M80" i="1"/>
  <c r="G307" i="1"/>
  <c r="L214" i="1"/>
  <c r="N383" i="1"/>
  <c r="C781" i="1"/>
  <c r="C395" i="1"/>
  <c r="E359" i="1"/>
  <c r="N237" i="1"/>
  <c r="N487" i="1"/>
  <c r="L561" i="1"/>
  <c r="K173" i="1"/>
  <c r="K137" i="1"/>
  <c r="D389" i="1"/>
  <c r="K369" i="1"/>
  <c r="K333" i="1"/>
  <c r="K297" i="1"/>
  <c r="D455" i="1"/>
  <c r="L409" i="1"/>
  <c r="J373" i="1"/>
  <c r="B743" i="1"/>
  <c r="D355" i="1"/>
  <c r="J377" i="1"/>
  <c r="J600" i="1"/>
  <c r="H559" i="1"/>
  <c r="L483" i="1"/>
  <c r="P345" i="1"/>
  <c r="P309" i="1"/>
  <c r="N650" i="1"/>
  <c r="D604" i="1"/>
  <c r="G56" i="1"/>
  <c r="E253" i="1"/>
  <c r="F242" i="1"/>
  <c r="D218" i="1"/>
  <c r="G318" i="1"/>
  <c r="I307" i="1"/>
  <c r="H211" i="1"/>
  <c r="E220" i="1"/>
  <c r="H175" i="1"/>
  <c r="I174" i="1"/>
  <c r="E162" i="1"/>
  <c r="A340" i="1"/>
  <c r="B84" i="1"/>
  <c r="L92" i="1"/>
  <c r="M249" i="1"/>
  <c r="O45" i="1"/>
  <c r="D447" i="1"/>
  <c r="M365" i="1"/>
  <c r="M435" i="1"/>
  <c r="G294" i="1"/>
  <c r="P389" i="1"/>
  <c r="L95" i="1"/>
  <c r="P130" i="1"/>
  <c r="O333" i="1"/>
  <c r="P94" i="1"/>
  <c r="A29" i="1"/>
  <c r="E237" i="1"/>
  <c r="M54" i="1"/>
  <c r="J55" i="1"/>
  <c r="C172" i="1"/>
  <c r="L396" i="1"/>
  <c r="O213" i="1"/>
  <c r="B223" i="1"/>
  <c r="N174" i="1"/>
  <c r="M110" i="1"/>
  <c r="P81" i="1"/>
  <c r="I178" i="1"/>
  <c r="N11" i="1"/>
  <c r="L7" i="1"/>
  <c r="B330" i="1"/>
  <c r="B460" i="1"/>
  <c r="H258" i="1"/>
  <c r="H58" i="1"/>
  <c r="E591" i="1"/>
  <c r="H145" i="1"/>
  <c r="M104" i="1"/>
  <c r="H750" i="1"/>
  <c r="H193" i="1"/>
  <c r="O510" i="1"/>
  <c r="H157" i="1"/>
  <c r="L181" i="1"/>
  <c r="K226" i="1"/>
  <c r="A396" i="1"/>
  <c r="P92" i="1"/>
  <c r="H76" i="1"/>
  <c r="L837" i="1"/>
  <c r="M159" i="1"/>
  <c r="K255" i="1"/>
  <c r="A319" i="1"/>
  <c r="B21" i="1"/>
  <c r="A217" i="1"/>
  <c r="C9" i="1"/>
  <c r="M361" i="1"/>
  <c r="I320" i="1"/>
  <c r="O402" i="1"/>
  <c r="H146" i="1"/>
  <c r="P109" i="1"/>
  <c r="G216" i="1"/>
  <c r="A71" i="1"/>
  <c r="I460" i="1"/>
  <c r="H147" i="1"/>
  <c r="G54" i="1"/>
  <c r="N89" i="1"/>
  <c r="J160" i="1"/>
  <c r="I29" i="1"/>
  <c r="A180" i="1"/>
  <c r="A141" i="1"/>
  <c r="D401" i="1"/>
  <c r="H111" i="1"/>
  <c r="E249" i="1"/>
  <c r="N53" i="1"/>
  <c r="J124" i="1"/>
  <c r="K224" i="1"/>
  <c r="O40" i="1"/>
  <c r="O126" i="1"/>
  <c r="F38" i="1"/>
  <c r="E98" i="1"/>
  <c r="A172" i="1"/>
  <c r="K186" i="1"/>
  <c r="G177" i="1"/>
  <c r="B514" i="1"/>
  <c r="G427" i="1"/>
  <c r="H316" i="1"/>
  <c r="H233" i="1"/>
  <c r="J303" i="1"/>
  <c r="K41" i="1"/>
  <c r="O187" i="1"/>
  <c r="E127" i="1"/>
  <c r="L28" i="1"/>
  <c r="K98" i="1"/>
  <c r="K64" i="1"/>
  <c r="P197" i="1"/>
  <c r="J170" i="1"/>
  <c r="I502" i="1"/>
  <c r="G331" i="1"/>
  <c r="G162" i="1"/>
  <c r="N197" i="1"/>
  <c r="C450" i="1"/>
  <c r="B700" i="1"/>
  <c r="A406" i="1"/>
  <c r="C776" i="1"/>
  <c r="N241" i="1"/>
  <c r="L503" i="1"/>
  <c r="N397" i="1"/>
  <c r="M572" i="1"/>
  <c r="G527" i="1"/>
  <c r="P350" i="1"/>
  <c r="E245" i="1"/>
  <c r="B216" i="1"/>
  <c r="N267" i="1"/>
  <c r="C337" i="1"/>
  <c r="D432" i="1"/>
  <c r="G418" i="1"/>
  <c r="A54" i="1"/>
  <c r="K187" i="1"/>
  <c r="B49" i="1"/>
  <c r="C322" i="1"/>
  <c r="E419" i="1"/>
  <c r="O304" i="1"/>
  <c r="O69" i="1"/>
  <c r="K102" i="1"/>
  <c r="A168" i="1"/>
  <c r="K72" i="1"/>
  <c r="E49" i="1"/>
  <c r="O70" i="1"/>
  <c r="B226" i="1"/>
  <c r="D454" i="1"/>
  <c r="E40" i="1"/>
  <c r="G310" i="1"/>
  <c r="M185" i="1"/>
  <c r="H22" i="1"/>
  <c r="L333" i="1"/>
  <c r="G308" i="1"/>
  <c r="M186" i="1"/>
  <c r="A398" i="1"/>
  <c r="M40" i="1"/>
  <c r="B159" i="1"/>
  <c r="L162" i="1"/>
  <c r="N54" i="1"/>
  <c r="L196" i="1"/>
  <c r="L131" i="1"/>
  <c r="J231" i="1"/>
  <c r="J173" i="1"/>
  <c r="C84" i="1"/>
  <c r="N278" i="1"/>
  <c r="P332" i="1"/>
  <c r="P118" i="1"/>
  <c r="O149" i="1"/>
  <c r="O234" i="1"/>
  <c r="B34" i="1"/>
  <c r="G119" i="1"/>
  <c r="N353" i="1"/>
  <c r="J272" i="1"/>
  <c r="A165" i="1"/>
  <c r="E24" i="1"/>
  <c r="C116" i="1"/>
  <c r="G2" i="1"/>
  <c r="O279" i="1"/>
  <c r="O178" i="1"/>
  <c r="F90" i="1"/>
  <c r="E150" i="1"/>
  <c r="C464" i="1"/>
  <c r="C169" i="1"/>
  <c r="K398" i="1"/>
  <c r="F351" i="1"/>
  <c r="A359" i="1"/>
  <c r="K262" i="1"/>
  <c r="A311" i="1"/>
  <c r="B420" i="1"/>
  <c r="C422" i="1"/>
  <c r="N132" i="1"/>
  <c r="L134" i="1"/>
  <c r="D118" i="1"/>
  <c r="H456" i="1"/>
  <c r="G359" i="1"/>
  <c r="G190" i="1"/>
  <c r="E232" i="1"/>
  <c r="C42" i="1"/>
  <c r="J4" i="1"/>
  <c r="J81" i="1"/>
  <c r="A365" i="1"/>
  <c r="E234" i="1"/>
  <c r="M162" i="1"/>
  <c r="F407" i="1"/>
  <c r="F2" i="1"/>
  <c r="B99" i="1"/>
  <c r="D108" i="1"/>
  <c r="N421" i="1"/>
  <c r="D189" i="1"/>
  <c r="E308" i="1"/>
  <c r="B209" i="1"/>
  <c r="F7" i="1"/>
  <c r="D111" i="1"/>
  <c r="E11" i="1"/>
  <c r="K103" i="1"/>
  <c r="I251" i="1"/>
  <c r="D153" i="1"/>
  <c r="C475" i="1"/>
  <c r="B173" i="1"/>
  <c r="I87" i="1"/>
  <c r="D39" i="1"/>
  <c r="B228" i="1"/>
  <c r="C333" i="1"/>
  <c r="I340" i="1"/>
  <c r="B55" i="1"/>
  <c r="M387" i="1"/>
  <c r="C25" i="1"/>
  <c r="A207" i="1"/>
  <c r="E209" i="1"/>
  <c r="O90" i="1"/>
  <c r="P268" i="1"/>
  <c r="E62" i="1"/>
  <c r="E16" i="1"/>
  <c r="H450" i="1"/>
  <c r="A379" i="1"/>
  <c r="C449" i="1"/>
  <c r="H190" i="1"/>
  <c r="H371" i="1"/>
  <c r="K5" i="1"/>
  <c r="G19" i="1"/>
  <c r="F101" i="1"/>
  <c r="N115" i="1"/>
  <c r="E91" i="1"/>
  <c r="A614" i="1"/>
  <c r="A520" i="1"/>
  <c r="P80" i="1"/>
  <c r="G679" i="1"/>
  <c r="A435" i="1"/>
  <c r="M64" i="1"/>
  <c r="F347" i="1"/>
  <c r="P249" i="1"/>
  <c r="B316" i="1"/>
  <c r="E337" i="1"/>
  <c r="O172" i="1"/>
  <c r="M120" i="1"/>
  <c r="E104" i="1"/>
  <c r="K633" i="1"/>
  <c r="O384" i="1"/>
  <c r="P170" i="1"/>
  <c r="O201" i="1"/>
  <c r="D64" i="1"/>
  <c r="A125" i="1"/>
  <c r="I637" i="1"/>
  <c r="P346" i="1"/>
  <c r="O202" i="1"/>
  <c r="F114" i="1"/>
  <c r="E174" i="1"/>
  <c r="F5" i="1"/>
  <c r="E255" i="1"/>
  <c r="I243" i="1"/>
  <c r="C436" i="1"/>
  <c r="E175" i="1"/>
  <c r="L76" i="1"/>
  <c r="K170" i="1"/>
  <c r="D15" i="1"/>
  <c r="A254" i="1"/>
  <c r="L219" i="1"/>
  <c r="P259" i="1"/>
  <c r="H72" i="1"/>
  <c r="E139" i="1"/>
  <c r="L40" i="1"/>
  <c r="C112" i="1"/>
  <c r="K96" i="1"/>
  <c r="O369" i="1"/>
  <c r="I484" i="1"/>
  <c r="D149" i="1"/>
  <c r="E425" i="1"/>
  <c r="B169" i="1"/>
  <c r="A47" i="1"/>
  <c r="D31" i="1"/>
  <c r="I116" i="1"/>
  <c r="I278" i="1"/>
  <c r="H71" i="1"/>
  <c r="F194" i="1"/>
  <c r="N13" i="1"/>
  <c r="B83" i="1"/>
  <c r="M270" i="1"/>
  <c r="N417" i="1"/>
  <c r="A229" i="1"/>
  <c r="C491" i="1"/>
  <c r="A1" i="1"/>
  <c r="O314" i="1"/>
  <c r="I56" i="1"/>
  <c r="J12" i="1"/>
  <c r="L66" i="1"/>
  <c r="N42" i="1"/>
  <c r="L184" i="1"/>
  <c r="D105" i="1"/>
  <c r="C356" i="1"/>
  <c r="N350" i="1"/>
  <c r="D195" i="1"/>
  <c r="O206" i="1"/>
  <c r="G85" i="1"/>
  <c r="L80" i="1"/>
  <c r="I794" i="1"/>
  <c r="A112" i="1"/>
  <c r="K523" i="1"/>
  <c r="M5" i="1"/>
  <c r="G451" i="1"/>
  <c r="I156" i="1"/>
  <c r="L160" i="1"/>
  <c r="P296" i="1"/>
  <c r="A40" i="1"/>
  <c r="E312" i="1"/>
  <c r="J172" i="1"/>
  <c r="G103" i="1"/>
  <c r="I647" i="1"/>
  <c r="O127" i="1"/>
  <c r="P379" i="1"/>
  <c r="K537" i="1"/>
  <c r="D56" i="1"/>
  <c r="O198" i="1"/>
  <c r="F141" i="1"/>
  <c r="O162" i="1"/>
  <c r="D101" i="1"/>
  <c r="P145" i="1"/>
  <c r="B394" i="1"/>
  <c r="M137" i="1"/>
  <c r="G785" i="1"/>
  <c r="B524" i="1"/>
  <c r="O183" i="1"/>
  <c r="O147" i="1"/>
  <c r="O111" i="1"/>
  <c r="O75" i="1"/>
  <c r="H850" i="1"/>
  <c r="I602" i="1"/>
  <c r="M508" i="1"/>
  <c r="M472" i="1"/>
  <c r="N111" i="1"/>
  <c r="N75" i="1"/>
  <c r="N39" i="1"/>
  <c r="P274" i="1"/>
  <c r="F546" i="1"/>
  <c r="O532" i="1"/>
  <c r="F352" i="1"/>
  <c r="F316" i="1"/>
  <c r="E64" i="1"/>
  <c r="P248" i="1"/>
  <c r="D198" i="1"/>
  <c r="C546" i="1"/>
  <c r="D480" i="1"/>
  <c r="D252" i="1"/>
  <c r="A464" i="1"/>
  <c r="F450" i="1"/>
  <c r="J426" i="1"/>
  <c r="K373" i="1"/>
  <c r="C157" i="1"/>
  <c r="L864" i="1"/>
  <c r="N199" i="1"/>
  <c r="H223" i="1"/>
  <c r="E185" i="1"/>
  <c r="E149" i="1"/>
  <c r="O188" i="1"/>
  <c r="I258" i="1"/>
  <c r="I222" i="1"/>
  <c r="K533" i="1"/>
  <c r="O60" i="1"/>
  <c r="I226" i="1"/>
  <c r="D561" i="1"/>
  <c r="N506" i="1"/>
  <c r="A401" i="1"/>
  <c r="H341" i="1"/>
  <c r="H305" i="1"/>
  <c r="E620" i="1"/>
  <c r="C242" i="1"/>
  <c r="O39" i="1"/>
  <c r="G221" i="1"/>
  <c r="J666" i="1"/>
  <c r="F72" i="1"/>
  <c r="J7" i="1"/>
  <c r="J196" i="1"/>
  <c r="N126" i="1"/>
  <c r="I18" i="1"/>
  <c r="N90" i="1"/>
  <c r="H9" i="1"/>
  <c r="K107" i="1"/>
  <c r="A662" i="1"/>
  <c r="C22" i="1"/>
  <c r="I244" i="1"/>
  <c r="G14" i="1"/>
  <c r="O546" i="1"/>
  <c r="E61" i="1"/>
  <c r="K573" i="1"/>
  <c r="K458" i="1"/>
  <c r="I37" i="1"/>
  <c r="P316" i="1"/>
  <c r="I160" i="1"/>
  <c r="F46" i="1"/>
  <c r="P263" i="1"/>
  <c r="O307" i="1"/>
  <c r="O460" i="1"/>
  <c r="O484" i="1"/>
  <c r="N395" i="1"/>
  <c r="M69" i="1"/>
  <c r="I137" i="1"/>
  <c r="N146" i="1"/>
  <c r="G69" i="1"/>
  <c r="D708" i="1"/>
  <c r="E159" i="1"/>
  <c r="L60" i="1"/>
  <c r="C144" i="1"/>
  <c r="C206" i="1"/>
  <c r="H363" i="1"/>
  <c r="J202" i="1"/>
  <c r="H520" i="1"/>
  <c r="G363" i="1"/>
  <c r="G194" i="1"/>
  <c r="E240" i="1"/>
  <c r="F277" i="1"/>
  <c r="L446" i="1"/>
  <c r="H415" i="1"/>
  <c r="K833" i="1"/>
  <c r="L480" i="1"/>
  <c r="G875" i="1"/>
  <c r="G465" i="1"/>
  <c r="D579" i="1"/>
  <c r="P456" i="1"/>
  <c r="P382" i="1"/>
  <c r="G48" i="1"/>
  <c r="G289" i="1"/>
  <c r="A456" i="1"/>
  <c r="L353" i="1"/>
  <c r="A218" i="1"/>
  <c r="K455" i="1"/>
  <c r="J61" i="1"/>
  <c r="O258" i="1"/>
  <c r="I28" i="1"/>
  <c r="L338" i="1"/>
  <c r="G457" i="1"/>
  <c r="P70" i="1"/>
  <c r="O101" i="1"/>
  <c r="K150" i="1"/>
  <c r="I19" i="1"/>
  <c r="C192" i="1"/>
  <c r="N64" i="1"/>
  <c r="O102" i="1"/>
  <c r="F14" i="1"/>
  <c r="E74" i="1"/>
  <c r="H35" i="1"/>
  <c r="K80" i="1"/>
  <c r="F201" i="1"/>
  <c r="O10" i="1"/>
  <c r="P226" i="1"/>
  <c r="O66" i="1"/>
  <c r="P219" i="1"/>
  <c r="A470" i="1"/>
  <c r="J8" i="1"/>
  <c r="M258" i="1"/>
  <c r="M212" i="1"/>
  <c r="N86" i="1"/>
  <c r="P237" i="1"/>
  <c r="G319" i="1"/>
  <c r="A52" i="1"/>
  <c r="I173" i="1"/>
  <c r="C122" i="1"/>
  <c r="J517" i="1"/>
  <c r="P364" i="1"/>
  <c r="P150" i="1"/>
  <c r="O181" i="1"/>
  <c r="D24" i="1"/>
  <c r="H32" i="1"/>
  <c r="H287" i="1"/>
  <c r="A478" i="1"/>
  <c r="J336" i="1"/>
  <c r="B97" i="1"/>
  <c r="A12" i="1"/>
  <c r="K167" i="1"/>
  <c r="A65" i="1"/>
  <c r="P410" i="1"/>
  <c r="O210" i="1"/>
  <c r="F122" i="1"/>
  <c r="E182" i="1"/>
  <c r="C478" i="1"/>
  <c r="H141" i="1"/>
  <c r="C551" i="1"/>
  <c r="P431" i="1"/>
  <c r="G88" i="1"/>
  <c r="B528" i="1"/>
  <c r="G52" i="1"/>
  <c r="H558" i="1"/>
  <c r="N314" i="1"/>
  <c r="H89" i="1"/>
  <c r="E217" i="1"/>
  <c r="E200" i="1"/>
  <c r="K318" i="1"/>
  <c r="I240" i="1"/>
  <c r="O342" i="1"/>
  <c r="H86" i="1"/>
  <c r="F57" i="1"/>
  <c r="B156" i="1"/>
  <c r="B10" i="1"/>
  <c r="I406" i="1"/>
  <c r="H87" i="1"/>
  <c r="F210" i="1"/>
  <c r="N29" i="1"/>
  <c r="J100" i="1"/>
  <c r="A50" i="1"/>
  <c r="A106" i="1"/>
  <c r="O231" i="1"/>
  <c r="N30" i="1"/>
  <c r="L172" i="1"/>
  <c r="D81" i="1"/>
  <c r="J343" i="1"/>
  <c r="P2" i="1"/>
  <c r="C60" i="1"/>
  <c r="P149" i="1"/>
  <c r="B441" i="1"/>
  <c r="B251" i="1"/>
  <c r="L136" i="1"/>
  <c r="L11" i="1"/>
  <c r="G149" i="1"/>
  <c r="J28" i="1"/>
  <c r="D146" i="1"/>
  <c r="O278" i="1"/>
  <c r="L492" i="1"/>
  <c r="K10" i="1"/>
  <c r="J76" i="1"/>
  <c r="M161" i="1"/>
  <c r="B81" i="1"/>
  <c r="D374" i="1"/>
  <c r="H167" i="1"/>
  <c r="G74" i="1"/>
  <c r="N109" i="1"/>
  <c r="J180" i="1"/>
  <c r="K513" i="1"/>
  <c r="B498" i="1"/>
  <c r="A357" i="1"/>
  <c r="L387" i="1"/>
  <c r="H26" i="1"/>
  <c r="P244" i="1"/>
  <c r="J111" i="1"/>
  <c r="G29" i="1"/>
  <c r="G172" i="1"/>
  <c r="N138" i="1"/>
  <c r="M74" i="1"/>
  <c r="J223" i="1"/>
  <c r="P695" i="1"/>
  <c r="C431" i="1"/>
  <c r="H497" i="1"/>
  <c r="J497" i="1"/>
  <c r="N63" i="1"/>
  <c r="N382" i="1"/>
  <c r="G316" i="1"/>
  <c r="C323" i="1"/>
  <c r="M624" i="1"/>
  <c r="P234" i="1"/>
  <c r="K133" i="1"/>
  <c r="C117" i="1"/>
  <c r="O463" i="1"/>
  <c r="G258" i="1"/>
  <c r="F150" i="1"/>
  <c r="E210" i="1"/>
  <c r="E33" i="1"/>
  <c r="A334" i="1"/>
  <c r="L373" i="1"/>
  <c r="A343" i="1"/>
  <c r="E211" i="1"/>
  <c r="L112" i="1"/>
  <c r="O235" i="1"/>
  <c r="M61" i="1"/>
  <c r="N437" i="1"/>
  <c r="E692" i="1"/>
  <c r="M127" i="1"/>
  <c r="C503" i="1"/>
  <c r="I308" i="1"/>
  <c r="H8" i="1"/>
  <c r="F399" i="1"/>
  <c r="J79" i="1"/>
  <c r="F11" i="1"/>
  <c r="C520" i="1"/>
  <c r="L177" i="1"/>
  <c r="J337" i="1"/>
  <c r="I260" i="1"/>
  <c r="A80" i="1"/>
  <c r="P201" i="1"/>
  <c r="F280" i="1"/>
  <c r="E284" i="1"/>
  <c r="I239" i="1"/>
  <c r="P299" i="1"/>
  <c r="B12" i="1"/>
  <c r="D9" i="1"/>
  <c r="E7" i="1"/>
  <c r="B42" i="1"/>
  <c r="L130" i="1"/>
  <c r="N50" i="1"/>
  <c r="L192" i="1"/>
  <c r="D121" i="1"/>
  <c r="I185" i="1"/>
  <c r="N246" i="1"/>
  <c r="P328" i="1"/>
  <c r="P114" i="1"/>
  <c r="O145" i="1"/>
  <c r="M221" i="1"/>
  <c r="J2" i="1"/>
  <c r="F205" i="1"/>
  <c r="K79" i="1"/>
  <c r="G91" i="1"/>
  <c r="N321" i="1"/>
  <c r="B264" i="1"/>
  <c r="J467" i="1"/>
  <c r="P59" i="1"/>
  <c r="A487" i="1"/>
  <c r="D379" i="1"/>
  <c r="P313" i="1"/>
  <c r="H440" i="1"/>
  <c r="H444" i="1"/>
  <c r="M282" i="1"/>
  <c r="C262" i="1"/>
  <c r="N36" i="1"/>
  <c r="L70" i="1"/>
  <c r="D54" i="1"/>
  <c r="F346" i="1"/>
  <c r="O220" i="1"/>
  <c r="G126" i="1"/>
  <c r="N161" i="1"/>
  <c r="M245" i="1"/>
  <c r="O2" i="1"/>
  <c r="P269" i="1"/>
  <c r="P152" i="1"/>
  <c r="N162" i="1"/>
  <c r="M98" i="1"/>
  <c r="G197" i="1"/>
  <c r="I82" i="1"/>
  <c r="A128" i="1"/>
  <c r="H270" i="1"/>
  <c r="M431" i="1"/>
  <c r="A722" i="1"/>
  <c r="C269" i="1"/>
  <c r="B145" i="1"/>
  <c r="I68" i="1"/>
  <c r="H274" i="1"/>
  <c r="I23" i="1"/>
  <c r="C35" i="1"/>
  <c r="P71" i="1"/>
  <c r="O787" i="1"/>
  <c r="J361" i="1"/>
  <c r="B109" i="1"/>
  <c r="A118" i="1"/>
  <c r="O517" i="1"/>
  <c r="L173" i="1"/>
  <c r="J329" i="1"/>
  <c r="A255" i="1"/>
  <c r="A59" i="1"/>
  <c r="P169" i="1"/>
  <c r="L215" i="1"/>
  <c r="B27" i="1"/>
  <c r="H419" i="1"/>
  <c r="G269" i="1"/>
  <c r="M178" i="1"/>
  <c r="A313" i="1"/>
  <c r="G27" i="1"/>
  <c r="B399" i="1"/>
  <c r="I293" i="1"/>
  <c r="O382" i="1"/>
  <c r="H126" i="1"/>
  <c r="G161" i="1"/>
  <c r="B196" i="1"/>
  <c r="I170" i="1"/>
  <c r="D144" i="1"/>
  <c r="D50" i="1"/>
  <c r="P246" i="1"/>
  <c r="P413" i="1"/>
  <c r="G326" i="1"/>
  <c r="M412" i="1"/>
  <c r="O80" i="1"/>
  <c r="G208" i="1"/>
  <c r="O431" i="1"/>
  <c r="J167" i="1"/>
  <c r="H50" i="1"/>
  <c r="N373" i="1"/>
  <c r="A161" i="1"/>
  <c r="I317" i="1"/>
  <c r="A14" i="1"/>
  <c r="M182" i="1"/>
  <c r="L163" i="1"/>
  <c r="H130" i="1"/>
  <c r="P254" i="1"/>
  <c r="M97" i="1"/>
  <c r="G66" i="1"/>
  <c r="A76" i="1"/>
  <c r="E377" i="1"/>
  <c r="A376" i="1"/>
  <c r="L504" i="1"/>
  <c r="E114" i="1"/>
  <c r="O91" i="1"/>
  <c r="K24" i="1"/>
  <c r="C421" i="1"/>
  <c r="J159" i="1"/>
  <c r="A373" i="1"/>
  <c r="A372" i="1"/>
  <c r="I16" i="1"/>
  <c r="J429" i="1"/>
  <c r="D109" i="1"/>
  <c r="O49" i="1"/>
  <c r="M256" i="1"/>
  <c r="D41" i="1"/>
  <c r="K459" i="1"/>
  <c r="C45" i="1"/>
  <c r="F6" i="1"/>
  <c r="I55" i="1"/>
  <c r="B130" i="1"/>
  <c r="M153" i="1"/>
  <c r="M32" i="1"/>
  <c r="K3" i="1"/>
  <c r="O251" i="1"/>
  <c r="M42" i="1"/>
  <c r="D87" i="1"/>
  <c r="O17" i="1"/>
  <c r="C93" i="1"/>
  <c r="A82" i="1"/>
  <c r="I533" i="1"/>
  <c r="O169" i="1"/>
  <c r="P512" i="1"/>
  <c r="P158" i="1"/>
  <c r="L145" i="1"/>
  <c r="B127" i="1"/>
  <c r="I21" i="1"/>
  <c r="K210" i="1"/>
  <c r="K91" i="1"/>
  <c r="H1" i="1"/>
  <c r="G220" i="1"/>
  <c r="O301" i="1"/>
  <c r="F292" i="1"/>
  <c r="B121" i="1"/>
  <c r="A294" i="1"/>
  <c r="G178" i="1"/>
  <c r="I194" i="1"/>
  <c r="D113" i="1"/>
  <c r="M253" i="1"/>
  <c r="A49" i="1"/>
  <c r="C108" i="1"/>
  <c r="J45" i="1"/>
  <c r="O226" i="1"/>
  <c r="G117" i="1"/>
  <c r="D451" i="1"/>
  <c r="G94" i="1"/>
  <c r="B70" i="1"/>
  <c r="G226" i="1"/>
  <c r="G398" i="1"/>
  <c r="I524" i="1"/>
  <c r="B211" i="1"/>
  <c r="K108" i="1"/>
  <c r="I94" i="1"/>
  <c r="P181" i="1"/>
  <c r="A81" i="1"/>
  <c r="G251" i="1"/>
  <c r="A290" i="1"/>
  <c r="F168" i="1"/>
  <c r="H368" i="1"/>
  <c r="A53" i="1"/>
  <c r="G224" i="1"/>
  <c r="A322" i="1"/>
  <c r="J21" i="1"/>
  <c r="K420" i="1"/>
  <c r="I157" i="1"/>
  <c r="L132" i="1"/>
  <c r="C20" i="1"/>
  <c r="O85" i="1"/>
  <c r="L285" i="1"/>
  <c r="C49" i="1"/>
  <c r="F26" i="1"/>
  <c r="I131" i="1"/>
  <c r="B199" i="1"/>
  <c r="O272" i="1"/>
  <c r="I126" i="1"/>
  <c r="C80" i="1"/>
  <c r="A61" i="1"/>
  <c r="M177" i="1"/>
  <c r="I119" i="1"/>
  <c r="K44" i="1"/>
  <c r="D518" i="1"/>
  <c r="B14" i="1"/>
  <c r="F391" i="1"/>
  <c r="E107" i="1"/>
  <c r="P506" i="1"/>
  <c r="J137" i="1"/>
  <c r="A173" i="1"/>
  <c r="G382" i="1"/>
  <c r="H335" i="1"/>
  <c r="D72" i="1"/>
  <c r="C187" i="1"/>
  <c r="G47" i="1"/>
  <c r="G108" i="1"/>
  <c r="B494" i="1"/>
  <c r="H94" i="1"/>
  <c r="A233" i="1"/>
  <c r="N334" i="1"/>
  <c r="E412" i="1"/>
  <c r="G357" i="1"/>
  <c r="G411" i="1"/>
  <c r="K29" i="1"/>
  <c r="G122" i="1"/>
  <c r="A115" i="1"/>
  <c r="G165" i="1"/>
  <c r="G5" i="1"/>
  <c r="F93" i="1"/>
  <c r="E167" i="1"/>
  <c r="F427" i="1"/>
  <c r="G202" i="1"/>
  <c r="M63" i="1"/>
  <c r="I437" i="1"/>
  <c r="O50" i="1"/>
  <c r="C78" i="1"/>
  <c r="J34" i="1"/>
  <c r="G286" i="1"/>
  <c r="M248" i="1"/>
  <c r="O4" i="1"/>
  <c r="A105" i="1"/>
  <c r="J80" i="1"/>
  <c r="G169" i="1"/>
  <c r="B178" i="1"/>
  <c r="C146" i="1"/>
  <c r="O32" i="1"/>
  <c r="A400" i="1"/>
  <c r="A201" i="1"/>
  <c r="H334" i="1"/>
  <c r="O439" i="1"/>
  <c r="J401" i="1"/>
  <c r="L52" i="1"/>
  <c r="E663" i="1"/>
  <c r="A17" i="1"/>
  <c r="I229" i="1"/>
  <c r="B148" i="1"/>
  <c r="L436" i="1"/>
  <c r="B112" i="1"/>
  <c r="O57" i="1"/>
  <c r="G282" i="1"/>
  <c r="J306" i="1"/>
  <c r="N367" i="1"/>
  <c r="G179" i="1"/>
  <c r="G143" i="1"/>
  <c r="G107" i="1"/>
  <c r="G71" i="1"/>
  <c r="C853" i="1"/>
  <c r="M658" i="1"/>
  <c r="E362" i="1"/>
  <c r="E326" i="1"/>
  <c r="F107" i="1"/>
  <c r="F71" i="1"/>
  <c r="F35" i="1"/>
  <c r="B260" i="1"/>
  <c r="F543" i="1"/>
  <c r="A523" i="1"/>
  <c r="L271" i="1"/>
  <c r="L235" i="1"/>
  <c r="M59" i="1"/>
  <c r="P239" i="1"/>
  <c r="L193" i="1"/>
  <c r="E533" i="1"/>
  <c r="G927" i="1"/>
  <c r="L667" i="1"/>
  <c r="P639" i="1"/>
  <c r="F838" i="1"/>
  <c r="J390" i="1"/>
  <c r="L146" i="1"/>
  <c r="K152" i="1"/>
  <c r="D448" i="1"/>
  <c r="J334" i="1"/>
  <c r="L142" i="1"/>
  <c r="L106" i="1"/>
  <c r="G424" i="1"/>
  <c r="K387" i="1"/>
  <c r="J349" i="1"/>
  <c r="J277" i="1"/>
  <c r="N693" i="1"/>
  <c r="O355" i="1"/>
  <c r="J285" i="1"/>
  <c r="A418" i="1"/>
  <c r="P504" i="1"/>
  <c r="G252" i="1"/>
  <c r="M808" i="1"/>
  <c r="M491" i="1"/>
  <c r="I491" i="1"/>
  <c r="F445" i="1"/>
  <c r="G312" i="1"/>
  <c r="G215" i="1"/>
  <c r="L497" i="1"/>
  <c r="N55" i="1"/>
  <c r="M304" i="1"/>
  <c r="K25" i="1"/>
  <c r="G118" i="1"/>
  <c r="J241" i="1"/>
  <c r="G82" i="1"/>
  <c r="A417" i="1"/>
  <c r="I164" i="1"/>
  <c r="B355" i="1"/>
  <c r="K106" i="1"/>
  <c r="K195" i="1"/>
  <c r="J365" i="1"/>
  <c r="J427" i="1"/>
  <c r="C217" i="1"/>
  <c r="K233" i="1"/>
  <c r="D18" i="1"/>
  <c r="O30" i="1"/>
  <c r="A298" i="1"/>
  <c r="A185" i="1"/>
  <c r="O161" i="1"/>
  <c r="K95" i="1"/>
  <c r="O125" i="1"/>
  <c r="I96" i="1"/>
  <c r="H203" i="1"/>
  <c r="N145" i="1"/>
  <c r="A155" i="1"/>
  <c r="C679" i="1"/>
  <c r="C405" i="1"/>
  <c r="I71" i="1"/>
  <c r="O293" i="1"/>
  <c r="D470" i="1"/>
  <c r="A442" i="1"/>
  <c r="B129" i="1"/>
  <c r="G34" i="1"/>
  <c r="H220" i="1"/>
  <c r="O20" i="1"/>
  <c r="B319" i="1"/>
  <c r="H269" i="1"/>
  <c r="F154" i="1"/>
  <c r="E214" i="1"/>
  <c r="O539" i="1"/>
  <c r="F441" i="1"/>
  <c r="J849" i="1"/>
  <c r="L340" i="1"/>
  <c r="G120" i="1"/>
  <c r="F457" i="1"/>
  <c r="G84" i="1"/>
  <c r="L678" i="1"/>
  <c r="N346" i="1"/>
  <c r="H121" i="1"/>
  <c r="P292" i="1"/>
  <c r="B245" i="1"/>
  <c r="D335" i="1"/>
  <c r="A283" i="1"/>
  <c r="O374" i="1"/>
  <c r="H118" i="1"/>
  <c r="G97" i="1"/>
  <c r="B188" i="1"/>
  <c r="I106" i="1"/>
  <c r="K229" i="1"/>
  <c r="H119" i="1"/>
  <c r="G267" i="1"/>
  <c r="N61" i="1"/>
  <c r="J132" i="1"/>
  <c r="A45" i="1"/>
  <c r="F10" i="1"/>
  <c r="P233" i="1"/>
  <c r="N62" i="1"/>
  <c r="L204" i="1"/>
  <c r="D156" i="1"/>
  <c r="M8" i="1"/>
  <c r="M6" i="1"/>
  <c r="C92" i="1"/>
  <c r="H315" i="1"/>
  <c r="K193" i="1"/>
  <c r="N26" i="1"/>
  <c r="L168" i="1"/>
  <c r="D73" i="1"/>
  <c r="I291" i="1"/>
  <c r="I203" i="1"/>
  <c r="E196" i="1"/>
  <c r="E71" i="1"/>
  <c r="H539" i="1"/>
  <c r="K42" i="1"/>
  <c r="B163" i="1"/>
  <c r="F177" i="1"/>
  <c r="J114" i="1"/>
  <c r="I432" i="1"/>
  <c r="H199" i="1"/>
  <c r="G106" i="1"/>
  <c r="N141" i="1"/>
  <c r="J212" i="1"/>
  <c r="L646" i="1"/>
  <c r="K140" i="1"/>
  <c r="O399" i="1"/>
  <c r="N419" i="1"/>
  <c r="J54" i="1"/>
  <c r="F21" i="1"/>
  <c r="J143" i="1"/>
  <c r="O23" i="1"/>
  <c r="J217" i="1"/>
  <c r="N170" i="1"/>
  <c r="M106" i="1"/>
  <c r="P49" i="1"/>
  <c r="O834" i="1"/>
  <c r="O51" i="1"/>
  <c r="F259" i="1"/>
  <c r="O711" i="1"/>
  <c r="E356" i="1"/>
  <c r="D247" i="1"/>
  <c r="L265" i="1"/>
  <c r="G685" i="1"/>
  <c r="L246" i="1"/>
  <c r="N196" i="1"/>
  <c r="L166" i="1"/>
  <c r="D150" i="1"/>
  <c r="M670" i="1"/>
  <c r="E391" i="1"/>
  <c r="G225" i="1"/>
  <c r="O41" i="1"/>
  <c r="C74" i="1"/>
  <c r="E28" i="1"/>
  <c r="M242" i="1"/>
  <c r="P401" i="1"/>
  <c r="O42" i="1"/>
  <c r="M194" i="1"/>
  <c r="J311" i="1"/>
  <c r="J68" i="1"/>
  <c r="B179" i="1"/>
  <c r="L211" i="1"/>
  <c r="C209" i="1"/>
  <c r="G223" i="1"/>
  <c r="N317" i="1"/>
  <c r="E263" i="1"/>
  <c r="H10" i="1"/>
  <c r="O215" i="1"/>
  <c r="A113" i="1"/>
  <c r="K151" i="1"/>
  <c r="E405" i="1"/>
  <c r="D185" i="1"/>
  <c r="E276" i="1"/>
  <c r="B205" i="1"/>
  <c r="A160" i="1"/>
  <c r="D103" i="1"/>
  <c r="F111" i="1"/>
  <c r="L349" i="1"/>
  <c r="A383" i="1"/>
  <c r="E46" i="1"/>
  <c r="L520" i="1"/>
  <c r="C57" i="1"/>
  <c r="B24" i="1"/>
  <c r="E230" i="1"/>
  <c r="O122" i="1"/>
  <c r="F34" i="1"/>
  <c r="E94" i="1"/>
  <c r="A140" i="1"/>
  <c r="P479" i="1"/>
  <c r="K421" i="1"/>
  <c r="H312" i="1"/>
  <c r="H225" i="1"/>
  <c r="C437" i="1"/>
  <c r="K37" i="1"/>
  <c r="I155" i="1"/>
  <c r="G141" i="1"/>
  <c r="O155" i="1"/>
  <c r="E123" i="1"/>
  <c r="L24" i="1"/>
  <c r="K94" i="1"/>
  <c r="M660" i="1"/>
  <c r="K434" i="1"/>
  <c r="C233" i="1"/>
  <c r="P834" i="1"/>
  <c r="A353" i="1"/>
  <c r="O668" i="1"/>
  <c r="M217" i="1"/>
  <c r="I617" i="1"/>
  <c r="F414" i="1"/>
  <c r="H435" i="1"/>
  <c r="J368" i="1"/>
  <c r="J355" i="1"/>
  <c r="H350" i="1"/>
  <c r="N198" i="1"/>
  <c r="M134" i="1"/>
  <c r="O349" i="1"/>
  <c r="A127" i="1"/>
  <c r="I50" i="1"/>
  <c r="D52" i="1"/>
  <c r="A337" i="1"/>
  <c r="D161" i="1"/>
  <c r="L281" i="1"/>
  <c r="B181" i="1"/>
  <c r="B30" i="1"/>
  <c r="D55" i="1"/>
  <c r="F763" i="1"/>
  <c r="L289" i="1"/>
  <c r="O473" i="1"/>
  <c r="F442" i="1"/>
  <c r="J240" i="1"/>
  <c r="O233" i="1"/>
  <c r="E222" i="1"/>
  <c r="B16" i="1"/>
  <c r="L327" i="1"/>
  <c r="C273" i="1"/>
  <c r="D420" i="1"/>
  <c r="G406" i="1"/>
  <c r="O27" i="1"/>
  <c r="C168" i="1"/>
  <c r="M265" i="1"/>
  <c r="I304" i="1"/>
  <c r="O390" i="1"/>
  <c r="H134" i="1"/>
  <c r="G231" i="1"/>
  <c r="B204" i="1"/>
  <c r="J249" i="1"/>
  <c r="D176" i="1"/>
  <c r="D114" i="1"/>
  <c r="H263" i="1"/>
  <c r="L460" i="1"/>
  <c r="K6" i="1"/>
  <c r="A181" i="1"/>
  <c r="D342" i="1"/>
  <c r="H163" i="1"/>
  <c r="G70" i="1"/>
  <c r="N105" i="1"/>
  <c r="J176" i="1"/>
  <c r="I78" i="1"/>
  <c r="I140" i="1"/>
  <c r="H389" i="1"/>
  <c r="B466" i="1"/>
  <c r="I351" i="1"/>
  <c r="P383" i="1"/>
  <c r="K474" i="1"/>
  <c r="F484" i="1"/>
  <c r="F426" i="1"/>
  <c r="G409" i="1"/>
  <c r="E48" i="1"/>
  <c r="E373" i="1"/>
  <c r="N27" i="1"/>
  <c r="E408" i="1"/>
  <c r="P543" i="1"/>
  <c r="D163" i="1"/>
  <c r="O500" i="1"/>
  <c r="F590" i="1"/>
  <c r="H213" i="1"/>
  <c r="O174" i="1"/>
  <c r="F86" i="1"/>
  <c r="E146" i="1"/>
  <c r="B53" i="1"/>
  <c r="D196" i="1"/>
  <c r="I425" i="1"/>
  <c r="H136" i="1"/>
  <c r="E147" i="1"/>
  <c r="L48" i="1"/>
  <c r="C126" i="1"/>
  <c r="C128" i="1"/>
  <c r="I433" i="1"/>
  <c r="M459" i="1"/>
  <c r="L77" i="1"/>
  <c r="J281" i="1"/>
  <c r="A223" i="1"/>
  <c r="A11" i="1"/>
  <c r="G189" i="1"/>
  <c r="J191" i="1"/>
  <c r="I81" i="1"/>
  <c r="B519" i="1"/>
  <c r="K176" i="1"/>
  <c r="O415" i="1"/>
  <c r="N431" i="1"/>
  <c r="I135" i="1"/>
  <c r="F117" i="1"/>
  <c r="L243" i="1"/>
  <c r="C257" i="1"/>
  <c r="D416" i="1"/>
  <c r="G402" i="1"/>
  <c r="H21" i="1"/>
  <c r="K162" i="1"/>
  <c r="M18" i="1"/>
  <c r="J327" i="1"/>
  <c r="J356" i="1"/>
  <c r="B235" i="1"/>
  <c r="L128" i="1"/>
  <c r="B72" i="1"/>
  <c r="F173" i="1"/>
  <c r="C418" i="1"/>
  <c r="E431" i="1"/>
  <c r="P50" i="1"/>
  <c r="O81" i="1"/>
  <c r="K118" i="1"/>
  <c r="M15" i="1"/>
  <c r="K115" i="1"/>
  <c r="K15" i="1"/>
  <c r="F51" i="1"/>
  <c r="L253" i="1"/>
  <c r="A367" i="1"/>
  <c r="I200" i="1"/>
  <c r="D595" i="1"/>
  <c r="N187" i="1"/>
  <c r="D538" i="1"/>
  <c r="F118" i="1"/>
  <c r="A286" i="1"/>
  <c r="C176" i="1"/>
  <c r="L205" i="1"/>
  <c r="H248" i="1"/>
  <c r="L49" i="1"/>
  <c r="G157" i="1"/>
  <c r="G434" i="1"/>
  <c r="A138" i="1"/>
  <c r="D57" i="1"/>
  <c r="P82" i="1"/>
  <c r="D8" i="1"/>
  <c r="K409" i="1"/>
  <c r="L704" i="1"/>
  <c r="N76" i="1"/>
  <c r="D642" i="1"/>
  <c r="M379" i="1"/>
  <c r="F9" i="1"/>
  <c r="P380" i="1"/>
  <c r="A93" i="1"/>
  <c r="F110" i="1"/>
  <c r="H457" i="1"/>
  <c r="F74" i="1"/>
  <c r="J388" i="1"/>
  <c r="P267" i="1"/>
  <c r="G509" i="1"/>
  <c r="B136" i="1"/>
  <c r="B193" i="1"/>
  <c r="B273" i="1"/>
  <c r="I27" i="1"/>
  <c r="L47" i="1"/>
  <c r="B38" i="1"/>
  <c r="B92" i="1"/>
  <c r="F395" i="1"/>
  <c r="A171" i="1"/>
  <c r="P38" i="1"/>
  <c r="C51" i="1"/>
  <c r="O236" i="1"/>
  <c r="I10" i="1"/>
  <c r="K565" i="1"/>
  <c r="B167" i="1"/>
  <c r="J211" i="1"/>
  <c r="J161" i="1"/>
  <c r="B45" i="1"/>
  <c r="F279" i="1"/>
  <c r="B203" i="1"/>
  <c r="E143" i="1"/>
  <c r="D40" i="1"/>
  <c r="F162" i="1"/>
  <c r="O543" i="1"/>
  <c r="J95" i="1"/>
  <c r="A23" i="1"/>
  <c r="C167" i="1"/>
  <c r="E32" i="1"/>
  <c r="I162" i="1"/>
  <c r="I421" i="1"/>
  <c r="C326" i="1"/>
  <c r="J228" i="1"/>
  <c r="G383" i="1"/>
  <c r="N213" i="1"/>
  <c r="J452" i="1"/>
  <c r="I105" i="1"/>
  <c r="I17" i="1"/>
  <c r="P153" i="1"/>
  <c r="A7" i="1"/>
  <c r="M10" i="1"/>
  <c r="E5" i="1"/>
  <c r="G45" i="1"/>
  <c r="M756" i="1"/>
  <c r="N129" i="1"/>
  <c r="G155" i="1"/>
  <c r="E502" i="1"/>
  <c r="J226" i="1"/>
  <c r="C12" i="1"/>
  <c r="K33" i="1"/>
  <c r="I111" i="1"/>
  <c r="J23" i="1"/>
  <c r="O313" i="1"/>
  <c r="I101" i="1"/>
  <c r="M424" i="1"/>
  <c r="C185" i="1"/>
  <c r="J300" i="1"/>
  <c r="M102" i="1"/>
  <c r="O302" i="1"/>
  <c r="B149" i="1"/>
  <c r="C289" i="1"/>
  <c r="C175" i="1"/>
  <c r="J380" i="1"/>
  <c r="C118" i="1"/>
  <c r="H102" i="1"/>
  <c r="L91" i="1"/>
  <c r="M238" i="1"/>
  <c r="G38" i="1"/>
  <c r="B18" i="1"/>
  <c r="P351" i="1"/>
  <c r="O365" i="1"/>
  <c r="O305" i="1"/>
  <c r="C40" i="1"/>
  <c r="G201" i="1"/>
  <c r="A175" i="1"/>
  <c r="A123" i="1"/>
  <c r="J197" i="1"/>
  <c r="J93" i="1"/>
  <c r="J150" i="1"/>
  <c r="J115" i="1"/>
  <c r="A177" i="1"/>
  <c r="I383" i="1"/>
  <c r="O189" i="1"/>
  <c r="M174" i="1"/>
  <c r="K83" i="1"/>
  <c r="J97" i="1"/>
  <c r="D44" i="1"/>
  <c r="D159" i="1"/>
  <c r="K48" i="1"/>
  <c r="N9" i="1"/>
  <c r="B244" i="1"/>
  <c r="M66" i="1"/>
  <c r="N185" i="1"/>
  <c r="B502" i="1"/>
  <c r="C48" i="1"/>
  <c r="A495" i="1"/>
  <c r="P559" i="1"/>
  <c r="C413" i="1"/>
  <c r="N102" i="1"/>
  <c r="I102" i="1"/>
  <c r="J312" i="1"/>
  <c r="M614" i="1"/>
  <c r="B2" i="1"/>
  <c r="I511" i="1"/>
  <c r="K267" i="1"/>
  <c r="D220" i="1"/>
  <c r="A48" i="1"/>
  <c r="E393" i="1"/>
  <c r="H67" i="1"/>
  <c r="H13" i="1"/>
  <c r="I223" i="1"/>
  <c r="J70" i="1"/>
  <c r="A8" i="1"/>
  <c r="J56" i="1"/>
  <c r="B59" i="1"/>
  <c r="H38" i="1"/>
  <c r="C15" i="1"/>
  <c r="I39" i="1"/>
  <c r="C21" i="1"/>
  <c r="K135" i="1"/>
  <c r="F97" i="1"/>
  <c r="F193" i="1"/>
  <c r="M240" i="1"/>
  <c r="M43" i="1"/>
  <c r="D256" i="1"/>
  <c r="A566" i="1"/>
  <c r="E136" i="1"/>
  <c r="G248" i="1"/>
  <c r="G403" i="1"/>
  <c r="O26" i="1"/>
  <c r="E207" i="1"/>
  <c r="E421" i="1"/>
  <c r="E171" i="1"/>
  <c r="M498" i="1"/>
  <c r="B201" i="1"/>
  <c r="B337" i="1"/>
  <c r="J116" i="1"/>
  <c r="P323" i="1"/>
  <c r="L541" i="1"/>
  <c r="L614" i="1"/>
  <c r="E549" i="1"/>
  <c r="D636" i="1"/>
  <c r="A770" i="1"/>
  <c r="C553" i="1"/>
  <c r="F401" i="1"/>
  <c r="O667" i="1"/>
  <c r="B472" i="1"/>
  <c r="F357" i="1"/>
  <c r="M315" i="1"/>
  <c r="D225" i="1"/>
  <c r="F412" i="1"/>
  <c r="F795" i="1"/>
  <c r="B300" i="1"/>
  <c r="P580" i="1"/>
  <c r="N735" i="1"/>
  <c r="E335" i="1"/>
  <c r="P392" i="1"/>
  <c r="L244" i="1"/>
  <c r="C344" i="1"/>
  <c r="C403" i="1"/>
  <c r="A750" i="1"/>
  <c r="H660" i="1"/>
  <c r="K754" i="1"/>
  <c r="N607" i="1"/>
  <c r="K200" i="1"/>
  <c r="L125" i="1"/>
  <c r="M430" i="1"/>
  <c r="I496" i="1"/>
  <c r="I416" i="1"/>
  <c r="D126" i="1"/>
  <c r="D90" i="1"/>
  <c r="K630" i="1"/>
  <c r="B415" i="1"/>
  <c r="J316" i="1"/>
  <c r="D445" i="1"/>
  <c r="B602" i="1"/>
  <c r="D319" i="1"/>
  <c r="I458" i="1"/>
  <c r="M396" i="1"/>
  <c r="M648" i="1"/>
  <c r="M768" i="1"/>
  <c r="J318" i="1"/>
  <c r="H441" i="1"/>
  <c r="N60" i="1"/>
  <c r="K291" i="1"/>
  <c r="E453" i="1"/>
  <c r="H477" i="1"/>
  <c r="P164" i="1"/>
  <c r="D403" i="1"/>
  <c r="H183" i="1"/>
  <c r="J257" i="1"/>
  <c r="M62" i="1"/>
  <c r="C186" i="1"/>
  <c r="P245" i="1"/>
  <c r="O316" i="1"/>
  <c r="K84" i="1"/>
  <c r="G339" i="1"/>
  <c r="J659" i="1"/>
  <c r="E36" i="1"/>
  <c r="O509" i="1"/>
  <c r="O315" i="1"/>
  <c r="E440" i="1"/>
  <c r="D449" i="1"/>
  <c r="A412" i="1"/>
  <c r="L39" i="1"/>
  <c r="P102" i="1"/>
  <c r="M93" i="1"/>
  <c r="E106" i="1"/>
  <c r="E44" i="1"/>
  <c r="N85" i="1"/>
  <c r="B23" i="1"/>
  <c r="O158" i="1"/>
  <c r="E130" i="1"/>
  <c r="D85" i="1"/>
  <c r="N667" i="1"/>
  <c r="H348" i="1"/>
  <c r="D634" i="1"/>
  <c r="H245" i="1"/>
  <c r="E452" i="1"/>
  <c r="F458" i="1"/>
  <c r="J43" i="1"/>
  <c r="G61" i="1"/>
  <c r="J175" i="1"/>
  <c r="A178" i="1"/>
  <c r="H382" i="1"/>
  <c r="N202" i="1"/>
  <c r="M138" i="1"/>
  <c r="O381" i="1"/>
  <c r="P670" i="1"/>
  <c r="H64" i="1"/>
  <c r="B387" i="1"/>
  <c r="P491" i="1"/>
  <c r="N365" i="1"/>
  <c r="D279" i="1"/>
  <c r="E324" i="1"/>
  <c r="C292" i="1"/>
  <c r="L278" i="1"/>
  <c r="E238" i="1"/>
  <c r="L198" i="1"/>
  <c r="D182" i="1"/>
  <c r="C354" i="1"/>
  <c r="E423" i="1"/>
  <c r="P42" i="1"/>
  <c r="O73" i="1"/>
  <c r="C107" i="1"/>
  <c r="A200" i="1"/>
  <c r="K88" i="1"/>
  <c r="E81" i="1"/>
  <c r="O74" i="1"/>
  <c r="B234" i="1"/>
  <c r="M666" i="1"/>
  <c r="E19" i="1"/>
  <c r="K8" i="1"/>
  <c r="K218" i="1"/>
  <c r="D210" i="1"/>
  <c r="G327" i="1"/>
  <c r="D591" i="1"/>
  <c r="K18" i="1"/>
  <c r="B103" i="1"/>
  <c r="B232" i="1"/>
  <c r="B89" i="1"/>
  <c r="C203" i="1"/>
  <c r="C177" i="1"/>
  <c r="O217" i="1"/>
  <c r="N285" i="1"/>
  <c r="M254" i="1"/>
  <c r="E6" i="1"/>
  <c r="L199" i="1"/>
  <c r="E259" i="1"/>
  <c r="A408" i="1"/>
  <c r="K425" i="1"/>
  <c r="A34" i="1"/>
  <c r="I186" i="1"/>
  <c r="C89" i="1"/>
  <c r="I179" i="1"/>
  <c r="H53" i="1"/>
  <c r="O154" i="1"/>
  <c r="F66" i="1"/>
  <c r="E126" i="1"/>
  <c r="P13" i="1"/>
  <c r="I585" i="1"/>
  <c r="B283" i="1"/>
  <c r="H344" i="1"/>
  <c r="G330" i="1"/>
  <c r="J524" i="1"/>
  <c r="K69" i="1"/>
  <c r="A9" i="1"/>
  <c r="P185" i="1"/>
  <c r="H200" i="1"/>
  <c r="E155" i="1"/>
  <c r="L56" i="1"/>
  <c r="K138" i="1"/>
  <c r="M566" i="1"/>
  <c r="F818" i="1"/>
  <c r="C338" i="1"/>
  <c r="P546" i="1"/>
  <c r="O71" i="1"/>
  <c r="G475" i="1"/>
  <c r="O67" i="1"/>
  <c r="L259" i="1"/>
  <c r="I673" i="1"/>
  <c r="E85" i="1"/>
  <c r="K165" i="1"/>
  <c r="C149" i="1"/>
  <c r="D510" i="1"/>
  <c r="H59" i="1"/>
  <c r="F182" i="1"/>
  <c r="P266" i="1"/>
  <c r="J230" i="1"/>
  <c r="M2" i="1"/>
  <c r="I122" i="1"/>
  <c r="N269" i="1"/>
  <c r="P270" i="1"/>
  <c r="L144" i="1"/>
  <c r="D25" i="1"/>
  <c r="P97" i="1"/>
  <c r="N12" i="1"/>
  <c r="C32" i="1"/>
  <c r="F15" i="1"/>
  <c r="E397" i="1"/>
  <c r="A351" i="1"/>
  <c r="I104" i="1"/>
  <c r="J295" i="1"/>
  <c r="C33" i="1"/>
  <c r="G33" i="1"/>
  <c r="N901" i="1"/>
  <c r="M99" i="1"/>
  <c r="M444" i="1"/>
  <c r="A303" i="1"/>
  <c r="E35" i="1"/>
  <c r="H367" i="1"/>
  <c r="C280" i="1"/>
  <c r="N293" i="1"/>
  <c r="A282" i="1"/>
  <c r="P331" i="1"/>
  <c r="I118" i="1"/>
  <c r="L71" i="1"/>
  <c r="A89" i="1"/>
  <c r="J121" i="1"/>
  <c r="M180" i="1"/>
  <c r="N82" i="1"/>
  <c r="P229" i="1"/>
  <c r="P252" i="1"/>
  <c r="H40" i="1"/>
  <c r="J485" i="1"/>
  <c r="P360" i="1"/>
  <c r="P146" i="1"/>
  <c r="O177" i="1"/>
  <c r="L16" i="1"/>
  <c r="A26" i="1"/>
  <c r="A377" i="1"/>
  <c r="K114" i="1"/>
  <c r="M220" i="1"/>
  <c r="K601" i="1"/>
  <c r="J328" i="1"/>
  <c r="J91" i="1"/>
  <c r="M594" i="1"/>
  <c r="B477" i="1"/>
  <c r="H430" i="1"/>
  <c r="M316" i="1"/>
  <c r="F59" i="1"/>
  <c r="M280" i="1"/>
  <c r="B433" i="1"/>
  <c r="H454" i="1"/>
  <c r="D346" i="1"/>
  <c r="L455" i="1"/>
  <c r="J433" i="1"/>
  <c r="B429" i="1"/>
  <c r="P333" i="1"/>
  <c r="E183" i="1"/>
  <c r="L84" i="1"/>
  <c r="C183" i="1"/>
  <c r="D53" i="1"/>
  <c r="I339" i="1"/>
  <c r="B658" i="1"/>
  <c r="L209" i="1"/>
  <c r="J353" i="1"/>
  <c r="A271" i="1"/>
  <c r="A144" i="1"/>
  <c r="O341" i="1"/>
  <c r="M235" i="1"/>
  <c r="D271" i="1"/>
  <c r="I272" i="1"/>
  <c r="O366" i="1"/>
  <c r="H110" i="1"/>
  <c r="G296" i="1"/>
  <c r="B180" i="1"/>
  <c r="B56" i="1"/>
  <c r="L107" i="1"/>
  <c r="A496" i="1"/>
  <c r="I224" i="1"/>
  <c r="O330" i="1"/>
  <c r="H74" i="1"/>
  <c r="M201" i="1"/>
  <c r="B144" i="1"/>
  <c r="L242" i="1"/>
  <c r="F439" i="1"/>
  <c r="P58" i="1"/>
  <c r="O89" i="1"/>
  <c r="C131" i="1"/>
  <c r="O28" i="1"/>
  <c r="K147" i="1"/>
  <c r="K23" i="1"/>
  <c r="F83" i="1"/>
  <c r="L317" i="1"/>
  <c r="I377" i="1"/>
  <c r="P7" i="1"/>
  <c r="N281" i="1"/>
  <c r="N192" i="1"/>
  <c r="O118" i="1"/>
  <c r="F30" i="1"/>
  <c r="E90" i="1"/>
  <c r="A108" i="1"/>
  <c r="C142" i="1"/>
  <c r="G113" i="1"/>
  <c r="C605" i="1"/>
  <c r="M416" i="1"/>
  <c r="H308" i="1"/>
  <c r="J219" i="1"/>
  <c r="K641" i="1"/>
  <c r="F596" i="1"/>
  <c r="G369" i="1"/>
  <c r="F574" i="1"/>
  <c r="H309" i="1"/>
  <c r="K478" i="1"/>
  <c r="C121" i="1"/>
  <c r="I519" i="1"/>
  <c r="F254" i="1"/>
  <c r="B269" i="1"/>
  <c r="A434" i="1"/>
  <c r="O427" i="1"/>
  <c r="G140" i="1"/>
  <c r="N134" i="1"/>
  <c r="M70" i="1"/>
  <c r="F189" i="1"/>
  <c r="H11" i="1"/>
  <c r="J62" i="1"/>
  <c r="K198" i="1"/>
  <c r="P131" i="1"/>
  <c r="H555" i="1"/>
  <c r="N392" i="1"/>
  <c r="B117" i="1"/>
  <c r="P30" i="1"/>
  <c r="K199" i="1"/>
  <c r="E436" i="1"/>
  <c r="N396" i="1"/>
  <c r="D392" i="1"/>
  <c r="G378" i="1"/>
  <c r="I113" i="1"/>
  <c r="K123" i="1"/>
  <c r="J236" i="1"/>
  <c r="A238" i="1"/>
  <c r="D582" i="1"/>
  <c r="B307" i="1"/>
  <c r="H356" i="1"/>
  <c r="G342" i="1"/>
  <c r="I42" i="1"/>
  <c r="K81" i="1"/>
  <c r="B426" i="1"/>
  <c r="A219" i="1"/>
  <c r="G309" i="1"/>
  <c r="H70" i="1"/>
  <c r="M169" i="1"/>
  <c r="B140" i="1"/>
  <c r="G37" i="1"/>
  <c r="L27" i="1"/>
  <c r="J347" i="1"/>
  <c r="D177" i="1"/>
  <c r="N409" i="1"/>
  <c r="B197" i="1"/>
  <c r="P39" i="1"/>
  <c r="B305" i="1"/>
  <c r="H99" i="1"/>
  <c r="E225" i="1"/>
  <c r="N41" i="1"/>
  <c r="J112" i="1"/>
  <c r="A126" i="1"/>
  <c r="P31" i="1"/>
  <c r="E552" i="1"/>
  <c r="F444" i="1"/>
  <c r="A266" i="1"/>
  <c r="P319" i="1"/>
  <c r="J46" i="1"/>
  <c r="H313" i="1"/>
  <c r="K180" i="1"/>
  <c r="O191" i="1"/>
  <c r="C445" i="1"/>
  <c r="J265" i="1"/>
  <c r="P251" i="1"/>
  <c r="H51" i="1"/>
  <c r="I169" i="1"/>
  <c r="G234" i="1"/>
  <c r="I397" i="1"/>
  <c r="I355" i="1"/>
  <c r="B431" i="1"/>
  <c r="G193" i="1"/>
  <c r="K447" i="1"/>
  <c r="P262" i="1"/>
  <c r="N101" i="1"/>
  <c r="O527" i="1"/>
  <c r="P224" i="1"/>
  <c r="J490" i="1"/>
  <c r="O168" i="1"/>
  <c r="E10" i="1"/>
  <c r="E115" i="1"/>
  <c r="P101" i="1"/>
  <c r="N435" i="1"/>
  <c r="A60" i="1"/>
  <c r="N399" i="1"/>
  <c r="J364" i="1"/>
  <c r="C111" i="1"/>
  <c r="E195" i="1"/>
  <c r="L397" i="1"/>
  <c r="C82" i="1"/>
  <c r="M163" i="1"/>
  <c r="H339" i="1"/>
  <c r="M228" i="1"/>
  <c r="A151" i="1"/>
  <c r="M53" i="1"/>
  <c r="C88" i="1"/>
  <c r="P264" i="1"/>
  <c r="P121" i="1"/>
  <c r="J250" i="1"/>
  <c r="M232" i="1"/>
  <c r="A142" i="1"/>
  <c r="G266" i="1"/>
  <c r="J130" i="1"/>
  <c r="I658" i="1"/>
  <c r="B74" i="1"/>
  <c r="G68" i="1"/>
  <c r="M393" i="1"/>
  <c r="E13" i="1"/>
  <c r="P194" i="1"/>
  <c r="I49" i="1"/>
  <c r="I44" i="1"/>
  <c r="A634" i="1"/>
  <c r="G181" i="1"/>
  <c r="C11" i="1"/>
  <c r="G11" i="1"/>
  <c r="P16" i="1"/>
  <c r="P19" i="1"/>
  <c r="N788" i="1"/>
  <c r="N100" i="1"/>
  <c r="H318" i="1"/>
  <c r="G300" i="1"/>
  <c r="P18" i="1"/>
  <c r="A234" i="1"/>
  <c r="A183" i="1"/>
  <c r="B240" i="1"/>
  <c r="F4" i="1"/>
  <c r="J98" i="1"/>
  <c r="C23" i="1"/>
  <c r="H34" i="1"/>
  <c r="N370" i="1"/>
  <c r="C412" i="1"/>
  <c r="I171" i="1"/>
  <c r="J454" i="1"/>
  <c r="A75" i="1"/>
  <c r="K382" i="1"/>
  <c r="H386" i="1"/>
  <c r="D21" i="1"/>
  <c r="D19" i="1"/>
  <c r="K7" i="1"/>
  <c r="M181" i="1"/>
  <c r="B68" i="1"/>
  <c r="A532" i="1"/>
  <c r="P585" i="1"/>
  <c r="N151" i="1"/>
  <c r="G354" i="1"/>
  <c r="M526" i="1"/>
  <c r="C38" i="1"/>
  <c r="E226" i="1"/>
  <c r="J85" i="1"/>
  <c r="N186" i="1"/>
  <c r="I120" i="1"/>
  <c r="L4" i="1"/>
  <c r="G453" i="1"/>
  <c r="C124" i="1"/>
  <c r="I372" i="1"/>
  <c r="J11" i="1"/>
  <c r="P282" i="1"/>
  <c r="A38" i="1"/>
  <c r="D137" i="1"/>
  <c r="A30" i="1"/>
  <c r="K119" i="1"/>
  <c r="D160" i="1"/>
  <c r="H27" i="1"/>
  <c r="B206" i="1"/>
  <c r="M11" i="1"/>
  <c r="I209" i="1"/>
  <c r="P189" i="1"/>
  <c r="A184" i="1"/>
  <c r="E142" i="1"/>
  <c r="O296" i="1"/>
  <c r="I92" i="1"/>
  <c r="J162" i="1"/>
  <c r="I165" i="1"/>
  <c r="G214" i="1"/>
  <c r="E336" i="1"/>
  <c r="K65" i="1"/>
  <c r="I148" i="1"/>
  <c r="P278" i="1"/>
  <c r="F157" i="1"/>
  <c r="C2" i="1"/>
  <c r="A133" i="1"/>
  <c r="N10" i="1"/>
  <c r="L161" i="1"/>
  <c r="K428" i="1"/>
  <c r="F104" i="1"/>
  <c r="H304" i="1"/>
  <c r="I91" i="1"/>
  <c r="N157" i="1"/>
  <c r="P120" i="1"/>
  <c r="B60" i="1"/>
  <c r="G44" i="1"/>
  <c r="I117" i="1"/>
  <c r="L68" i="1"/>
  <c r="J210" i="1"/>
  <c r="E256" i="1"/>
  <c r="H395" i="1"/>
  <c r="M259" i="1"/>
  <c r="M202" i="1"/>
  <c r="I14" i="1"/>
  <c r="B119" i="1"/>
  <c r="D124" i="1"/>
  <c r="I13" i="1"/>
  <c r="M257" i="1"/>
  <c r="A156" i="1"/>
  <c r="L143" i="1"/>
  <c r="B64" i="1"/>
  <c r="I134" i="1"/>
  <c r="C114" i="1"/>
  <c r="H264" i="1"/>
  <c r="G12" i="1"/>
  <c r="L35" i="1"/>
  <c r="M284" i="1"/>
  <c r="F375" i="1"/>
  <c r="B397" i="1"/>
  <c r="K131" i="1"/>
  <c r="L81" i="1"/>
  <c r="K223" i="1"/>
  <c r="O531" i="1"/>
  <c r="I553" i="1"/>
  <c r="H501" i="1"/>
  <c r="N563" i="1"/>
  <c r="F473" i="1"/>
  <c r="B544" i="1"/>
  <c r="F232" i="1"/>
  <c r="P591" i="1"/>
  <c r="O521" i="1"/>
  <c r="G591" i="1"/>
  <c r="O519" i="1"/>
  <c r="O483" i="1"/>
  <c r="O611" i="1"/>
  <c r="I526" i="1"/>
  <c r="D292" i="1"/>
  <c r="H732" i="1"/>
  <c r="A664" i="1"/>
  <c r="D399" i="1"/>
  <c r="F363" i="1"/>
  <c r="F327" i="1"/>
  <c r="F291" i="1"/>
  <c r="E504" i="1"/>
  <c r="C602" i="1"/>
  <c r="C566" i="1"/>
  <c r="D299" i="1"/>
  <c r="D263" i="1"/>
  <c r="I289" i="1"/>
  <c r="I681" i="1"/>
  <c r="B439" i="1"/>
  <c r="I423" i="1"/>
  <c r="F180" i="1"/>
  <c r="L121" i="1"/>
  <c r="L85" i="1"/>
  <c r="K594" i="1"/>
  <c r="B518" i="1"/>
  <c r="J307" i="1"/>
  <c r="C433" i="1"/>
  <c r="B753" i="1"/>
  <c r="N433" i="1"/>
  <c r="I443" i="1"/>
  <c r="A390" i="1"/>
  <c r="P91" i="1"/>
  <c r="B411" i="1"/>
  <c r="B274" i="1"/>
  <c r="O435" i="1"/>
  <c r="H109" i="1"/>
  <c r="P770" i="1"/>
  <c r="I463" i="1"/>
  <c r="P519" i="1"/>
  <c r="M678" i="1"/>
  <c r="I368" i="1"/>
  <c r="H300" i="1"/>
  <c r="J64" i="1"/>
  <c r="N153" i="1"/>
  <c r="B126" i="1"/>
  <c r="N117" i="1"/>
  <c r="O190" i="1"/>
  <c r="E224" i="1"/>
  <c r="H380" i="1"/>
  <c r="J397" i="1"/>
  <c r="D93" i="1"/>
  <c r="E395" i="1"/>
  <c r="O568" i="1"/>
  <c r="D409" i="1"/>
  <c r="I480" i="1"/>
  <c r="P238" i="1"/>
  <c r="O288" i="1"/>
  <c r="P343" i="1"/>
  <c r="N374" i="1"/>
  <c r="H284" i="1"/>
  <c r="E333" i="1"/>
  <c r="E70" i="1"/>
  <c r="K68" i="1"/>
  <c r="N118" i="1"/>
  <c r="F61" i="1"/>
  <c r="J49" i="1"/>
  <c r="A455" i="1"/>
  <c r="P182" i="1"/>
  <c r="D88" i="1"/>
  <c r="H236" i="1"/>
  <c r="H376" i="1"/>
  <c r="G362" i="1"/>
  <c r="A212" i="1"/>
  <c r="C102" i="1"/>
  <c r="A100" i="1"/>
  <c r="H351" i="1"/>
  <c r="P365" i="1"/>
  <c r="E187" i="1"/>
  <c r="L88" i="1"/>
  <c r="C190" i="1"/>
  <c r="L454" i="1"/>
  <c r="N592" i="1"/>
  <c r="C434" i="1"/>
  <c r="G506" i="1"/>
  <c r="O103" i="1"/>
  <c r="G507" i="1"/>
  <c r="G236" i="1"/>
  <c r="L339" i="1"/>
  <c r="F608" i="1"/>
  <c r="E117" i="1"/>
  <c r="K197" i="1"/>
  <c r="C181" i="1"/>
  <c r="I438" i="1"/>
  <c r="H91" i="1"/>
  <c r="F214" i="1"/>
  <c r="N33" i="1"/>
  <c r="J104" i="1"/>
  <c r="A66" i="1"/>
  <c r="J248" i="1"/>
  <c r="L2" i="1"/>
  <c r="N34" i="1"/>
  <c r="L176" i="1"/>
  <c r="D89" i="1"/>
  <c r="B486" i="1"/>
  <c r="A37" i="1"/>
  <c r="C64" i="1"/>
  <c r="F143" i="1"/>
  <c r="N413" i="1"/>
  <c r="K393" i="1"/>
  <c r="H4" i="1"/>
  <c r="O600" i="1"/>
  <c r="C65" i="1"/>
  <c r="P36" i="1"/>
  <c r="B88" i="1"/>
  <c r="B236" i="1"/>
  <c r="C365" i="1"/>
  <c r="I345" i="1"/>
  <c r="I72" i="1"/>
  <c r="A430" i="1"/>
  <c r="L507" i="1"/>
  <c r="H538" i="1"/>
  <c r="A325" i="1"/>
  <c r="P363" i="1"/>
  <c r="A131" i="1"/>
  <c r="L139" i="1"/>
  <c r="B86" i="1"/>
  <c r="M231" i="1"/>
  <c r="F196" i="1"/>
  <c r="N114" i="1"/>
  <c r="M50" i="1"/>
  <c r="F29" i="1"/>
  <c r="J6" i="1"/>
  <c r="H519" i="1"/>
  <c r="L392" i="1"/>
  <c r="P178" i="1"/>
  <c r="O209" i="1"/>
  <c r="D80" i="1"/>
  <c r="A189" i="1"/>
  <c r="I93" i="1"/>
  <c r="C166" i="1"/>
  <c r="P195" i="1"/>
  <c r="N554" i="1"/>
  <c r="N424" i="1"/>
  <c r="B125" i="1"/>
  <c r="P669" i="1"/>
  <c r="F295" i="1"/>
  <c r="I422" i="1"/>
  <c r="C302" i="1"/>
  <c r="E320" i="1"/>
  <c r="C266" i="1"/>
  <c r="D122" i="1"/>
  <c r="O580" i="1"/>
  <c r="B461" i="1"/>
  <c r="C349" i="1"/>
  <c r="C261" i="1"/>
  <c r="K243" i="1"/>
  <c r="O407" i="1"/>
  <c r="E242" i="1"/>
  <c r="M166" i="1"/>
  <c r="G439" i="1"/>
  <c r="P8" i="1"/>
  <c r="B107" i="1"/>
  <c r="D116" i="1"/>
  <c r="N233" i="1"/>
  <c r="D193" i="1"/>
  <c r="E340" i="1"/>
  <c r="B213" i="1"/>
  <c r="A24" i="1"/>
  <c r="D119" i="1"/>
  <c r="F519" i="1"/>
  <c r="E348" i="1"/>
  <c r="A250" i="1"/>
  <c r="P307" i="1"/>
  <c r="M24" i="1"/>
  <c r="L23" i="1"/>
  <c r="O18" i="1"/>
  <c r="A137" i="1"/>
  <c r="H589" i="1"/>
  <c r="L257" i="1"/>
  <c r="D459" i="1"/>
  <c r="G438" i="1"/>
  <c r="A198" i="1"/>
  <c r="C221" i="1"/>
  <c r="F275" i="1"/>
  <c r="A347" i="1"/>
  <c r="O422" i="1"/>
  <c r="H166" i="1"/>
  <c r="O345" i="1"/>
  <c r="M252" i="1"/>
  <c r="P285" i="1"/>
  <c r="M149" i="1"/>
  <c r="E164" i="1"/>
  <c r="E67" i="1"/>
  <c r="B490" i="1"/>
  <c r="K38" i="1"/>
  <c r="B155" i="1"/>
  <c r="I400" i="1"/>
  <c r="H195" i="1"/>
  <c r="G102" i="1"/>
  <c r="N137" i="1"/>
  <c r="J208" i="1"/>
  <c r="A91" i="1"/>
  <c r="I89" i="1"/>
  <c r="E613" i="1"/>
  <c r="K112" i="1"/>
  <c r="A394" i="1"/>
  <c r="N415" i="1"/>
  <c r="M41" i="1"/>
  <c r="E652" i="1"/>
  <c r="N148" i="1"/>
  <c r="J413" i="1"/>
  <c r="B482" i="1"/>
  <c r="J613" i="1"/>
  <c r="P437" i="1"/>
  <c r="G287" i="1"/>
  <c r="B403" i="1"/>
  <c r="B309" i="1"/>
  <c r="O360" i="1"/>
  <c r="G344" i="1"/>
  <c r="O339" i="1"/>
  <c r="H329" i="1"/>
  <c r="O664" i="1"/>
  <c r="C301" i="1"/>
  <c r="B153" i="1"/>
  <c r="A211" i="1"/>
  <c r="D3" i="1"/>
  <c r="B386" i="1"/>
  <c r="C305" i="1"/>
  <c r="D428" i="1"/>
  <c r="G414" i="1"/>
  <c r="H41" i="1"/>
  <c r="C182" i="1"/>
  <c r="A39" i="1"/>
  <c r="C290" i="1"/>
  <c r="E415" i="1"/>
  <c r="H283" i="1"/>
  <c r="O65" i="1"/>
  <c r="C98" i="1"/>
  <c r="A136" i="1"/>
  <c r="K56" i="1"/>
  <c r="J71" i="1"/>
  <c r="B793" i="1"/>
  <c r="G379" i="1"/>
  <c r="G210" i="1"/>
  <c r="G281" i="1"/>
  <c r="C62" i="1"/>
  <c r="M9" i="1"/>
  <c r="B369" i="1"/>
  <c r="H107" i="1"/>
  <c r="E241" i="1"/>
  <c r="N49" i="1"/>
  <c r="J120" i="1"/>
  <c r="A190" i="1"/>
  <c r="H14" i="1"/>
  <c r="N387" i="1"/>
  <c r="N261" i="1"/>
  <c r="A277" i="1"/>
  <c r="P327" i="1"/>
  <c r="I86" i="1"/>
  <c r="L63" i="1"/>
  <c r="M148" i="1"/>
  <c r="N78" i="1"/>
  <c r="J222" i="1"/>
  <c r="O221" i="1"/>
  <c r="H33" i="1"/>
  <c r="A150" i="1"/>
  <c r="K109" i="1"/>
  <c r="J453" i="1"/>
  <c r="P356" i="1"/>
  <c r="P142" i="1"/>
  <c r="O173" i="1"/>
  <c r="P535" i="1"/>
  <c r="D298" i="1"/>
  <c r="C222" i="1"/>
  <c r="D258" i="1"/>
  <c r="G299" i="1"/>
  <c r="M510" i="1"/>
  <c r="M407" i="1"/>
  <c r="F311" i="1"/>
  <c r="M425" i="1"/>
  <c r="E386" i="1"/>
  <c r="P369" i="1"/>
  <c r="H365" i="1"/>
  <c r="O123" i="1"/>
  <c r="E119" i="1"/>
  <c r="L20" i="1"/>
  <c r="K90" i="1"/>
  <c r="K36" i="1"/>
  <c r="P133" i="1"/>
  <c r="O658" i="1"/>
  <c r="K208" i="1"/>
  <c r="A426" i="1"/>
  <c r="P439" i="1"/>
  <c r="I199" i="1"/>
  <c r="F181" i="1"/>
  <c r="J163" i="1"/>
  <c r="J858" i="1"/>
  <c r="P440" i="1"/>
  <c r="H234" i="1"/>
  <c r="H46" i="1"/>
  <c r="D221" i="1"/>
  <c r="B116" i="1"/>
  <c r="A90" i="1"/>
  <c r="H268" i="1"/>
  <c r="P448" i="1"/>
  <c r="L404" i="1"/>
  <c r="P190" i="1"/>
  <c r="H224" i="1"/>
  <c r="D104" i="1"/>
  <c r="J77" i="1"/>
  <c r="I641" i="1"/>
  <c r="G375" i="1"/>
  <c r="G206" i="1"/>
  <c r="G265" i="1"/>
  <c r="C58" i="1"/>
  <c r="G4" i="1"/>
  <c r="B147" i="1"/>
  <c r="P560" i="1"/>
  <c r="M67" i="1"/>
  <c r="H411" i="1"/>
  <c r="I292" i="1"/>
  <c r="M31" i="1"/>
  <c r="H303" i="1"/>
  <c r="D127" i="1"/>
  <c r="O54" i="1"/>
  <c r="M206" i="1"/>
  <c r="L277" i="1"/>
  <c r="I163" i="1"/>
  <c r="B207" i="1"/>
  <c r="M57" i="1"/>
  <c r="O425" i="1"/>
  <c r="A331" i="1"/>
  <c r="O410" i="1"/>
  <c r="H154" i="1"/>
  <c r="P173" i="1"/>
  <c r="J465" i="1"/>
  <c r="J302" i="1"/>
  <c r="L716" i="1"/>
  <c r="E178" i="1"/>
  <c r="P301" i="1"/>
  <c r="D29" i="1"/>
  <c r="J345" i="1"/>
  <c r="M227" i="1"/>
  <c r="J273" i="1"/>
  <c r="A602" i="1"/>
  <c r="A166" i="1"/>
  <c r="K129" i="1"/>
  <c r="H359" i="1"/>
  <c r="O113" i="1"/>
  <c r="K47" i="1"/>
  <c r="D204" i="1"/>
  <c r="N15" i="1"/>
  <c r="A440" i="1"/>
  <c r="I280" i="1"/>
  <c r="O567" i="1"/>
  <c r="D200" i="1"/>
  <c r="P166" i="1"/>
  <c r="N217" i="1"/>
  <c r="E170" i="1"/>
  <c r="H31" i="1"/>
  <c r="E134" i="1"/>
  <c r="N182" i="1"/>
  <c r="E47" i="1"/>
  <c r="O285" i="1"/>
  <c r="J283" i="1"/>
  <c r="E20" i="1"/>
  <c r="H95" i="1"/>
  <c r="C163" i="1"/>
  <c r="B33" i="1"/>
  <c r="O256" i="1"/>
  <c r="K43" i="1"/>
  <c r="F8" i="1"/>
  <c r="J209" i="1"/>
  <c r="B166" i="1"/>
  <c r="J88" i="1"/>
  <c r="I33" i="1"/>
  <c r="D35" i="1"/>
  <c r="J18" i="1"/>
  <c r="C63" i="1"/>
  <c r="K221" i="1"/>
  <c r="K39" i="1"/>
  <c r="K453" i="1"/>
  <c r="H354" i="1"/>
  <c r="G650" i="1"/>
  <c r="C119" i="1"/>
  <c r="O367" i="1"/>
  <c r="P137" i="1"/>
  <c r="O378" i="1"/>
  <c r="H331" i="1"/>
  <c r="B219" i="1"/>
  <c r="C152" i="1"/>
  <c r="K190" i="1"/>
  <c r="J246" i="1"/>
  <c r="K302" i="1"/>
  <c r="L102" i="1"/>
  <c r="N194" i="1"/>
  <c r="C66" i="1"/>
  <c r="C753" i="1"/>
  <c r="M210" i="1"/>
  <c r="M85" i="1"/>
  <c r="A157" i="1"/>
  <c r="P223" i="1"/>
  <c r="K71" i="1"/>
  <c r="H19" i="1"/>
  <c r="O19" i="1"/>
  <c r="G435" i="1"/>
  <c r="E454" i="1"/>
  <c r="F505" i="1"/>
  <c r="J296" i="1"/>
  <c r="G125" i="1"/>
  <c r="A251" i="1"/>
  <c r="D201" i="1"/>
  <c r="G121" i="1"/>
  <c r="P129" i="1"/>
  <c r="C99" i="1"/>
  <c r="M81" i="1"/>
  <c r="B8" i="1"/>
  <c r="B719" i="1"/>
  <c r="F513" i="1"/>
  <c r="J291" i="1"/>
  <c r="G239" i="1"/>
  <c r="H297" i="1"/>
  <c r="A147" i="1"/>
  <c r="D424" i="1"/>
  <c r="G32" i="1"/>
  <c r="C388" i="1"/>
  <c r="G447" i="1"/>
  <c r="F185" i="1"/>
  <c r="C113" i="1"/>
  <c r="I152" i="1"/>
  <c r="N73" i="1"/>
  <c r="N236" i="1"/>
  <c r="O260" i="1"/>
  <c r="I259" i="1"/>
  <c r="C13" i="1"/>
  <c r="A111" i="1"/>
  <c r="K35" i="1"/>
  <c r="J84" i="1"/>
  <c r="O241" i="1"/>
  <c r="A206" i="1"/>
  <c r="B162" i="1"/>
  <c r="C134" i="1"/>
  <c r="A83" i="1"/>
  <c r="K219" i="1"/>
  <c r="M165" i="1"/>
  <c r="A866" i="1"/>
  <c r="O311" i="1"/>
  <c r="M46" i="1"/>
  <c r="F129" i="1"/>
  <c r="H15" i="1"/>
  <c r="L98" i="1"/>
  <c r="P165" i="1"/>
  <c r="J149" i="1"/>
  <c r="P167" i="1"/>
  <c r="B6" i="1"/>
  <c r="I26" i="1"/>
  <c r="J53" i="1"/>
  <c r="F3" i="1"/>
  <c r="H197" i="1"/>
  <c r="E288" i="1"/>
  <c r="G391" i="1"/>
  <c r="O276" i="1"/>
  <c r="C147" i="1"/>
  <c r="J83" i="1"/>
  <c r="B315" i="1"/>
  <c r="K85" i="1"/>
  <c r="I442" i="1"/>
  <c r="K49" i="1"/>
  <c r="O300" i="1"/>
  <c r="O240" i="1"/>
  <c r="B165" i="1"/>
  <c r="F190" i="1"/>
  <c r="J57" i="1"/>
  <c r="K463" i="1"/>
  <c r="F13" i="1"/>
  <c r="L488" i="1"/>
  <c r="C8" i="1"/>
  <c r="F161" i="1"/>
  <c r="M20" i="1"/>
  <c r="D61" i="1"/>
  <c r="J125" i="1"/>
  <c r="E17" i="1"/>
  <c r="B85" i="1"/>
  <c r="I124" i="1"/>
  <c r="A77" i="1"/>
  <c r="M454" i="1"/>
  <c r="M473" i="1"/>
  <c r="F48" i="1"/>
  <c r="G401" i="1"/>
  <c r="N572" i="1"/>
  <c r="D129" i="1"/>
  <c r="G250" i="1"/>
  <c r="M466" i="1"/>
  <c r="C701" i="1"/>
  <c r="B542" i="1"/>
  <c r="K659" i="1"/>
  <c r="C318" i="1"/>
  <c r="H473" i="1"/>
  <c r="P696" i="1"/>
  <c r="J521" i="1"/>
  <c r="E135" i="1"/>
  <c r="G80" i="1"/>
  <c r="F516" i="1"/>
  <c r="P210" i="1"/>
  <c r="C329" i="1"/>
  <c r="D186" i="1"/>
  <c r="M198" i="1"/>
  <c r="G278" i="1"/>
  <c r="L87" i="1"/>
  <c r="D16" i="1"/>
  <c r="F165" i="1"/>
  <c r="G134" i="1"/>
  <c r="K450" i="1"/>
  <c r="A262" i="1"/>
  <c r="L116" i="1"/>
  <c r="M14" i="1"/>
  <c r="B212" i="1"/>
  <c r="B176" i="1"/>
  <c r="K55" i="1"/>
  <c r="F62" i="1"/>
  <c r="G305" i="1"/>
  <c r="K212" i="1"/>
  <c r="I233" i="1"/>
  <c r="F25" i="1"/>
  <c r="H39" i="1"/>
  <c r="I97" i="1"/>
  <c r="F243" i="1"/>
  <c r="I690" i="1"/>
  <c r="N133" i="1"/>
  <c r="D243" i="1"/>
  <c r="J87" i="1"/>
  <c r="K89" i="1"/>
  <c r="I61" i="1"/>
  <c r="L305" i="1"/>
  <c r="E433" i="1"/>
  <c r="D49" i="1"/>
  <c r="F345" i="1"/>
  <c r="A74" i="1"/>
  <c r="O14" i="1"/>
  <c r="I167" i="1"/>
  <c r="P41" i="1"/>
  <c r="I139" i="1"/>
  <c r="G23" i="1"/>
  <c r="H347" i="1"/>
  <c r="G124" i="1"/>
  <c r="G174" i="1"/>
  <c r="I88" i="1"/>
  <c r="F255" i="1"/>
  <c r="H75" i="1"/>
  <c r="B36" i="1"/>
  <c r="D577" i="1"/>
  <c r="J183" i="1"/>
  <c r="J179" i="1"/>
  <c r="A338" i="1"/>
  <c r="G355" i="1"/>
  <c r="M122" i="1"/>
  <c r="E8" i="1"/>
  <c r="H282" i="1"/>
  <c r="B66" i="1"/>
  <c r="I112" i="1"/>
  <c r="B137" i="1"/>
  <c r="M399" i="1"/>
  <c r="N289" i="1"/>
  <c r="J142" i="1"/>
  <c r="H214" i="1"/>
  <c r="A51" i="1"/>
  <c r="B887" i="1"/>
  <c r="E118" i="1"/>
  <c r="C83" i="1"/>
  <c r="A281" i="1"/>
  <c r="C79" i="1"/>
  <c r="H168" i="1"/>
  <c r="O334" i="1"/>
  <c r="H226" i="1"/>
  <c r="C90" i="1"/>
  <c r="N45" i="1"/>
  <c r="E58" i="1"/>
  <c r="M116" i="1"/>
  <c r="I7" i="1"/>
  <c r="C143" i="1"/>
  <c r="J25" i="1"/>
  <c r="A366" i="1"/>
  <c r="J187" i="1"/>
  <c r="H29" i="1"/>
  <c r="H3" i="1"/>
  <c r="C43" i="1"/>
  <c r="J117" i="1"/>
  <c r="A25" i="1"/>
  <c r="M117" i="1"/>
  <c r="G209" i="1"/>
  <c r="M25" i="1"/>
  <c r="J218" i="1"/>
  <c r="E87" i="1"/>
  <c r="D148" i="1"/>
  <c r="P372" i="1"/>
  <c r="I166" i="1"/>
  <c r="E258" i="1"/>
  <c r="K283" i="1"/>
  <c r="A69" i="1"/>
  <c r="O232" i="1"/>
  <c r="O9" i="1"/>
  <c r="M28" i="1"/>
  <c r="E31" i="1"/>
  <c r="D307" i="1"/>
  <c r="C10" i="1"/>
  <c r="M23" i="1"/>
  <c r="F527" i="1"/>
  <c r="B87" i="1"/>
  <c r="N46" i="1"/>
  <c r="A70" i="1"/>
  <c r="J166" i="1"/>
  <c r="A88" i="1"/>
  <c r="I110" i="1"/>
  <c r="I177" i="1"/>
  <c r="J287" i="1"/>
  <c r="P188" i="1"/>
  <c r="H332" i="1"/>
  <c r="A214" i="1"/>
  <c r="L45" i="1"/>
  <c r="M146" i="1"/>
  <c r="L75" i="1"/>
  <c r="J19" i="1"/>
  <c r="B106" i="1"/>
  <c r="J63" i="1"/>
  <c r="I202" i="1"/>
  <c r="L167" i="1"/>
  <c r="K122" i="1"/>
  <c r="F197" i="1"/>
  <c r="G24" i="1"/>
  <c r="J13" i="1"/>
  <c r="A114" i="1"/>
  <c r="A27" i="1"/>
  <c r="C24" i="1"/>
  <c r="J233" i="1"/>
  <c r="J109" i="1"/>
  <c r="K99" i="1"/>
  <c r="F419" i="1"/>
  <c r="I212" i="1"/>
  <c r="K75" i="1"/>
  <c r="H407" i="1"/>
  <c r="I211" i="1"/>
  <c r="O632" i="1"/>
  <c r="J110" i="1"/>
  <c r="B4" i="1"/>
  <c r="O604" i="1"/>
  <c r="L188" i="1"/>
  <c r="H17" i="1"/>
  <c r="O419" i="1"/>
  <c r="O267" i="1"/>
  <c r="L447" i="1"/>
  <c r="C29" i="1"/>
  <c r="G81" i="1"/>
  <c r="K51" i="1"/>
  <c r="B15" i="1"/>
  <c r="P12" i="1"/>
  <c r="L513" i="1"/>
  <c r="J449" i="1"/>
  <c r="G425" i="1"/>
  <c r="C282" i="1"/>
  <c r="J435" i="1"/>
  <c r="I682" i="1"/>
  <c r="P128" i="1"/>
  <c r="O337" i="1"/>
  <c r="A261" i="1"/>
  <c r="I367" i="1"/>
  <c r="H265" i="1"/>
  <c r="B157" i="1"/>
  <c r="D614" i="1"/>
  <c r="H391" i="1"/>
  <c r="A18" i="1"/>
  <c r="A153" i="1"/>
  <c r="H514" i="1"/>
  <c r="N179" i="1"/>
  <c r="N169" i="1"/>
  <c r="G13" i="1"/>
  <c r="H518" i="1"/>
  <c r="O249" i="1"/>
  <c r="F431" i="1"/>
  <c r="I45" i="1"/>
  <c r="E301" i="1"/>
  <c r="F211" i="1"/>
  <c r="E122" i="1"/>
  <c r="E569" i="1"/>
  <c r="B366" i="1"/>
  <c r="H23" i="1"/>
  <c r="B152" i="1"/>
  <c r="E22" i="1"/>
  <c r="D191" i="1"/>
  <c r="I341" i="1"/>
  <c r="K34" i="1"/>
  <c r="G495" i="1"/>
  <c r="I346" i="1"/>
  <c r="I32" i="1"/>
  <c r="P40" i="1"/>
  <c r="B190" i="1"/>
  <c r="H43" i="1"/>
  <c r="M445" i="1"/>
  <c r="I429" i="1"/>
  <c r="O116" i="1"/>
  <c r="F138" i="1"/>
  <c r="N343" i="1"/>
  <c r="L510" i="1"/>
  <c r="I161" i="1"/>
  <c r="A209" i="1"/>
  <c r="K146" i="1"/>
  <c r="C184" i="1"/>
  <c r="L202" i="1"/>
  <c r="A706" i="1"/>
  <c r="I75" i="1"/>
  <c r="I268" i="1"/>
  <c r="E26" i="1"/>
  <c r="I275" i="1"/>
  <c r="I376" i="1"/>
  <c r="D412" i="1"/>
  <c r="O353" i="1"/>
  <c r="F640" i="1"/>
  <c r="C285" i="1"/>
  <c r="J51" i="1"/>
  <c r="H131" i="1"/>
  <c r="A94" i="1"/>
  <c r="J242" i="1"/>
  <c r="N2" i="1"/>
  <c r="B225" i="1"/>
  <c r="F198" i="1"/>
  <c r="C106" i="1"/>
  <c r="O694" i="1"/>
  <c r="A162" i="1"/>
  <c r="I389" i="1"/>
  <c r="D145" i="1"/>
  <c r="F89" i="1"/>
  <c r="I158" i="1"/>
  <c r="D76" i="1"/>
  <c r="L108" i="1"/>
  <c r="L72" i="1"/>
  <c r="A67" i="1"/>
  <c r="A42" i="1"/>
  <c r="B62" i="1"/>
  <c r="I373" i="1"/>
  <c r="M73" i="1"/>
  <c r="B128" i="1"/>
  <c r="A186" i="1"/>
  <c r="D7" i="1"/>
  <c r="O357" i="1"/>
  <c r="H266" i="1"/>
  <c r="J75" i="1"/>
  <c r="M239" i="1"/>
  <c r="O403" i="1"/>
  <c r="H379" i="1"/>
  <c r="B110" i="1"/>
  <c r="O317" i="1"/>
  <c r="C115" i="1"/>
  <c r="M429" i="1"/>
  <c r="I393" i="1"/>
  <c r="O243" i="1"/>
  <c r="G426" i="1"/>
  <c r="I125" i="1"/>
  <c r="B19" i="1"/>
  <c r="N737" i="1"/>
  <c r="G288" i="1"/>
  <c r="J65" i="1"/>
  <c r="H172" i="1"/>
  <c r="I54" i="1"/>
  <c r="C139" i="1"/>
  <c r="A86" i="1"/>
  <c r="K67" i="1"/>
  <c r="H475" i="1"/>
  <c r="N430" i="1"/>
  <c r="G389" i="1"/>
  <c r="I487" i="1"/>
  <c r="I364" i="1"/>
  <c r="H480" i="1"/>
  <c r="O438" i="1"/>
  <c r="G170" i="1"/>
  <c r="J31" i="1"/>
  <c r="J9" i="1"/>
  <c r="L155" i="1"/>
  <c r="B741" i="1"/>
  <c r="B493" i="1"/>
  <c r="I99" i="1"/>
  <c r="P243" i="1"/>
  <c r="J141" i="1"/>
  <c r="K389" i="1"/>
  <c r="E99" i="1"/>
  <c r="O261" i="1"/>
  <c r="G795" i="1"/>
  <c r="D410" i="1"/>
  <c r="M157" i="1"/>
  <c r="C5" i="1"/>
  <c r="D208" i="1"/>
  <c r="P304" i="1"/>
  <c r="E376" i="1"/>
  <c r="N7" i="1"/>
  <c r="G72" i="1"/>
  <c r="N420" i="1"/>
  <c r="O328" i="1"/>
  <c r="N4" i="1"/>
  <c r="I208" i="1"/>
  <c r="O62" i="1"/>
  <c r="O418" i="1"/>
  <c r="B143" i="1"/>
  <c r="K263" i="1"/>
  <c r="P222" i="1"/>
  <c r="C155" i="1"/>
  <c r="K462" i="1"/>
  <c r="B489" i="1"/>
  <c r="F166" i="1"/>
  <c r="G430" i="1"/>
  <c r="A167" i="1"/>
  <c r="J269" i="1"/>
  <c r="C317" i="1"/>
  <c r="E341" i="1"/>
  <c r="G15" i="1"/>
  <c r="K271" i="1"/>
  <c r="J35" i="1"/>
  <c r="F145" i="1"/>
  <c r="C104" i="1"/>
  <c r="P337" i="1"/>
  <c r="E401" i="1"/>
  <c r="J16" i="1"/>
  <c r="D86" i="1"/>
  <c r="N6" i="1"/>
  <c r="C164" i="1"/>
  <c r="I314" i="1"/>
  <c r="B227" i="1"/>
  <c r="I207" i="1"/>
  <c r="K545" i="1"/>
  <c r="J227" i="1"/>
  <c r="C245" i="1"/>
  <c r="J245" i="1"/>
  <c r="I11" i="1"/>
  <c r="J60" i="1"/>
  <c r="H383" i="1"/>
  <c r="D140" i="1"/>
  <c r="H158" i="1"/>
  <c r="G31" i="1"/>
  <c r="N576" i="1"/>
  <c r="F314" i="1"/>
  <c r="N122" i="1"/>
  <c r="C54" i="1"/>
  <c r="O13" i="1"/>
  <c r="L19" i="1"/>
  <c r="J129" i="1"/>
  <c r="M680" i="1"/>
  <c r="K154" i="1"/>
  <c r="H78" i="1"/>
  <c r="H42" i="1"/>
  <c r="A72" i="1"/>
  <c r="A345" i="1"/>
  <c r="G10" i="1"/>
  <c r="N74" i="1"/>
  <c r="C46" i="1"/>
  <c r="I36" i="1"/>
  <c r="J94" i="1"/>
  <c r="B202" i="1"/>
  <c r="H240" i="1"/>
  <c r="G28" i="1"/>
  <c r="E29" i="1"/>
  <c r="C67" i="1"/>
  <c r="A120" i="1"/>
  <c r="C91" i="1"/>
  <c r="J225" i="1"/>
  <c r="M462" i="1"/>
  <c r="L341" i="1"/>
  <c r="O343" i="1"/>
  <c r="K58" i="1"/>
  <c r="L408" i="1"/>
  <c r="K78" i="1"/>
  <c r="B11" i="1"/>
  <c r="A102" i="1"/>
  <c r="O24" i="1"/>
  <c r="B79" i="1"/>
  <c r="G16" i="1"/>
  <c r="M89" i="1"/>
  <c r="D107" i="1"/>
  <c r="N20" i="1"/>
  <c r="G325" i="1"/>
  <c r="M39" i="1"/>
  <c r="D157" i="1"/>
  <c r="C253" i="1"/>
  <c r="P277" i="1"/>
  <c r="P205" i="1"/>
  <c r="O297" i="1"/>
  <c r="B138" i="1"/>
  <c r="I57" i="1"/>
  <c r="L115" i="1"/>
  <c r="A210" i="1"/>
  <c r="C27" i="1"/>
  <c r="M336" i="1"/>
  <c r="E304" i="1"/>
  <c r="B158" i="1"/>
  <c r="E194" i="1"/>
  <c r="K155" i="1"/>
  <c r="P46" i="1"/>
  <c r="I198" i="1"/>
  <c r="J165" i="1"/>
  <c r="A135" i="1"/>
  <c r="A84" i="1"/>
  <c r="I80" i="1"/>
  <c r="P10" i="1"/>
  <c r="K203" i="1"/>
  <c r="J113" i="1"/>
  <c r="B80" i="1"/>
  <c r="J254" i="1"/>
  <c r="K104" i="1"/>
  <c r="I62" i="1"/>
  <c r="M255" i="1"/>
  <c r="I64" i="1"/>
  <c r="F81" i="1"/>
  <c r="B75" i="1"/>
  <c r="G137" i="1"/>
  <c r="K27" i="1"/>
  <c r="B17" i="1"/>
  <c r="J200" i="1"/>
  <c r="I30" i="1"/>
  <c r="K52" i="1"/>
  <c r="B37" i="1"/>
  <c r="I35" i="1"/>
  <c r="F578" i="1"/>
  <c r="N394" i="1"/>
  <c r="E353" i="1"/>
  <c r="L254" i="1"/>
  <c r="O747" i="1"/>
  <c r="F558" i="1"/>
  <c r="G90" i="1"/>
  <c r="L141" i="1"/>
  <c r="O133" i="1"/>
  <c r="J119" i="1"/>
  <c r="B100" i="1"/>
  <c r="D423" i="1"/>
  <c r="L365" i="1"/>
  <c r="B191" i="1"/>
  <c r="L296" i="1"/>
  <c r="B408" i="1"/>
  <c r="I464" i="1"/>
  <c r="I669" i="1"/>
  <c r="A87" i="1"/>
  <c r="F750" i="1"/>
  <c r="A242" i="1"/>
  <c r="N249" i="1"/>
  <c r="M329" i="1"/>
  <c r="D239" i="1"/>
  <c r="P90" i="1"/>
  <c r="M420" i="1"/>
  <c r="D45" i="1"/>
  <c r="N432" i="1"/>
  <c r="G261" i="1"/>
  <c r="J199" i="1"/>
  <c r="I374" i="1"/>
  <c r="E364" i="1"/>
  <c r="M214" i="1"/>
  <c r="H162" i="1"/>
  <c r="F113" i="1"/>
  <c r="O203" i="1"/>
  <c r="H204" i="1"/>
  <c r="O846" i="1"/>
  <c r="G351" i="1"/>
  <c r="H259" i="1"/>
  <c r="B233" i="1"/>
  <c r="A134" i="1"/>
  <c r="C44" i="1"/>
  <c r="L860" i="1"/>
  <c r="M33" i="1"/>
  <c r="D131" i="1"/>
  <c r="G384" i="1"/>
  <c r="N37" i="1"/>
  <c r="C171" i="1"/>
  <c r="J153" i="1"/>
  <c r="C196" i="1"/>
  <c r="P138" i="1"/>
  <c r="P20" i="1"/>
  <c r="A121" i="1"/>
  <c r="N408" i="1"/>
  <c r="O414" i="1"/>
  <c r="J14" i="1"/>
  <c r="G87" i="1"/>
  <c r="F109" i="1"/>
  <c r="J29" i="1"/>
  <c r="J333" i="1"/>
  <c r="B464" i="1"/>
  <c r="O358" i="1"/>
  <c r="H5" i="1"/>
  <c r="H7" i="1"/>
  <c r="A107" i="1"/>
  <c r="C39" i="1"/>
  <c r="E2" i="1"/>
  <c r="O141" i="1"/>
  <c r="O271" i="1"/>
  <c r="P443" i="1"/>
  <c r="L496" i="1"/>
  <c r="H249" i="1"/>
  <c r="I246" i="1"/>
  <c r="B160" i="1"/>
  <c r="D67" i="1"/>
  <c r="K299" i="1"/>
  <c r="H459" i="1"/>
  <c r="A19" i="1"/>
  <c r="P236" i="1"/>
  <c r="O306" i="1"/>
  <c r="B7" i="1"/>
  <c r="O588" i="1"/>
  <c r="K40" i="1"/>
  <c r="P442" i="1"/>
  <c r="B40" i="1"/>
  <c r="J279" i="1"/>
  <c r="A432" i="1"/>
  <c r="H18" i="1"/>
  <c r="D37" i="1"/>
  <c r="P228" i="1"/>
  <c r="J256" i="1"/>
  <c r="J147" i="1"/>
  <c r="G314" i="1"/>
  <c r="C75" i="1"/>
  <c r="M49" i="1"/>
  <c r="B186" i="1"/>
  <c r="I417" i="1"/>
  <c r="E305" i="1"/>
  <c r="G89" i="1"/>
  <c r="L44" i="1"/>
  <c r="B76" i="1"/>
  <c r="C297" i="1"/>
  <c r="C200" i="1"/>
  <c r="K179" i="1"/>
  <c r="A146" i="1"/>
  <c r="C178" i="1"/>
  <c r="P4" i="1"/>
  <c r="J251" i="1"/>
  <c r="P317" i="1"/>
  <c r="H253" i="1"/>
  <c r="J290" i="1"/>
  <c r="L249" i="1"/>
  <c r="C30" i="1"/>
  <c r="M398" i="1"/>
  <c r="B57" i="1"/>
  <c r="A20" i="1"/>
  <c r="G25" i="1"/>
  <c r="A3" i="1"/>
  <c r="J185" i="1"/>
  <c r="D27" i="1"/>
  <c r="N740" i="1"/>
  <c r="H187" i="1"/>
  <c r="K57" i="1"/>
  <c r="F250" i="1"/>
  <c r="I8" i="1"/>
  <c r="J292" i="1"/>
  <c r="O77" i="1"/>
  <c r="J107" i="1"/>
  <c r="F33" i="1"/>
  <c r="J47" i="1"/>
  <c r="D117" i="1"/>
  <c r="C210" i="1"/>
  <c r="F105" i="1"/>
  <c r="C85" i="1"/>
  <c r="D12" i="1"/>
  <c r="F77" i="1"/>
  <c r="A35" i="1"/>
  <c r="F411" i="1"/>
  <c r="H6" i="1"/>
  <c r="A58" i="1"/>
  <c r="L99" i="1"/>
  <c r="J102" i="1"/>
  <c r="D99" i="1"/>
  <c r="B98" i="1"/>
  <c r="P289" i="1"/>
  <c r="B150" i="1"/>
  <c r="J557" i="1"/>
  <c r="A63" i="1"/>
  <c r="K230" i="1"/>
  <c r="I183" i="1"/>
  <c r="A508" i="1"/>
  <c r="E368" i="1"/>
  <c r="I328" i="1"/>
  <c r="G114" i="1"/>
  <c r="F121" i="1"/>
  <c r="P125" i="1"/>
  <c r="C4" i="1"/>
  <c r="F69" i="1"/>
  <c r="K183" i="1"/>
  <c r="M29" i="1"/>
  <c r="G515" i="1"/>
  <c r="N358" i="1"/>
  <c r="G873" i="1"/>
  <c r="E482" i="1"/>
  <c r="E772" i="1"/>
  <c r="K470" i="1"/>
  <c r="J24" i="1"/>
  <c r="P105" i="1"/>
  <c r="O104" i="1"/>
  <c r="G253" i="1"/>
  <c r="O31" i="1"/>
  <c r="B321" i="1"/>
  <c r="L233" i="1"/>
  <c r="P235" i="1"/>
  <c r="N357" i="1"/>
  <c r="E316" i="1"/>
  <c r="H198" i="1"/>
  <c r="K70" i="1"/>
  <c r="M37" i="1"/>
  <c r="L512" i="1"/>
  <c r="I220" i="1"/>
  <c r="G540" i="1"/>
  <c r="A315" i="1"/>
  <c r="A267" i="1"/>
  <c r="O121" i="1"/>
  <c r="J27" i="1"/>
  <c r="P157" i="1"/>
  <c r="B409" i="1"/>
  <c r="G228" i="1"/>
  <c r="K286" i="1"/>
  <c r="H83" i="1"/>
  <c r="H47" i="1"/>
  <c r="N345" i="1"/>
  <c r="H256" i="1"/>
  <c r="J106" i="1"/>
  <c r="G419" i="1"/>
  <c r="P199" i="1"/>
  <c r="B323" i="1"/>
  <c r="G182" i="1"/>
  <c r="G146" i="1"/>
  <c r="A97" i="1"/>
  <c r="C207" i="1"/>
  <c r="L402" i="1"/>
  <c r="J243" i="1"/>
  <c r="A299" i="1"/>
  <c r="O142" i="1"/>
  <c r="A164" i="1"/>
  <c r="J140" i="1"/>
  <c r="A132" i="1"/>
  <c r="I4" i="1"/>
  <c r="J39" i="1"/>
  <c r="O170" i="1"/>
  <c r="H122" i="1"/>
  <c r="J123" i="1"/>
  <c r="M130" i="1"/>
  <c r="E59" i="1"/>
  <c r="B154" i="1"/>
  <c r="N130" i="1"/>
  <c r="A404" i="1"/>
  <c r="J258" i="1"/>
  <c r="A244" i="1"/>
  <c r="M158" i="1"/>
  <c r="G53" i="1"/>
  <c r="N160" i="1"/>
  <c r="I76" i="1"/>
  <c r="J193" i="1"/>
  <c r="J58" i="1"/>
  <c r="P280" i="1"/>
  <c r="K487" i="1"/>
  <c r="N149" i="1"/>
  <c r="N691" i="1"/>
  <c r="M237" i="1"/>
  <c r="J40" i="1"/>
  <c r="A287" i="1"/>
  <c r="D71" i="1"/>
  <c r="M27" i="1"/>
  <c r="L147" i="1"/>
  <c r="F27" i="1"/>
  <c r="J289" i="1"/>
  <c r="I189" i="1"/>
  <c r="C226" i="1"/>
  <c r="M195" i="1"/>
  <c r="E177" i="1"/>
  <c r="I47" i="1"/>
  <c r="D217" i="1"/>
  <c r="A159" i="1"/>
  <c r="O11" i="1"/>
  <c r="D60" i="1"/>
  <c r="A174" i="1"/>
  <c r="J174" i="1"/>
  <c r="A73" i="1"/>
  <c r="D51" i="1"/>
  <c r="H355" i="1"/>
  <c r="M4" i="1"/>
  <c r="A158" i="1"/>
  <c r="J181" i="1"/>
  <c r="I79" i="1"/>
  <c r="B134" i="1"/>
  <c r="O140" i="1"/>
  <c r="H181" i="1"/>
  <c r="D112" i="1"/>
  <c r="J486" i="1"/>
  <c r="J321" i="1"/>
  <c r="L135" i="1"/>
  <c r="G279" i="1"/>
  <c r="B170" i="1"/>
  <c r="B142" i="1"/>
  <c r="M385" i="1"/>
  <c r="D92" i="1"/>
  <c r="I316" i="1"/>
  <c r="H244" i="1"/>
  <c r="N412" i="1"/>
  <c r="B177" i="1"/>
  <c r="I159" i="1"/>
  <c r="O58" i="1"/>
  <c r="C76" i="1"/>
  <c r="I151" i="1"/>
  <c r="D83" i="1"/>
  <c r="J169" i="1"/>
  <c r="I188" i="1"/>
  <c r="I6" i="1"/>
  <c r="G521" i="1"/>
  <c r="M470" i="1"/>
  <c r="K191" i="1"/>
  <c r="H207" i="1"/>
  <c r="H232" i="1"/>
  <c r="O350" i="1"/>
  <c r="J580" i="1"/>
  <c r="A249" i="1"/>
  <c r="A414" i="1"/>
  <c r="B47" i="1"/>
  <c r="C179" i="1"/>
  <c r="B139" i="1"/>
  <c r="D5" i="1"/>
  <c r="A196" i="1"/>
  <c r="B93" i="1"/>
  <c r="G218" i="1"/>
  <c r="J259" i="1"/>
  <c r="A92" i="1"/>
  <c r="B131" i="1"/>
  <c r="J253" i="1"/>
  <c r="J189" i="1"/>
  <c r="O225" i="1"/>
  <c r="L111" i="1"/>
  <c r="G26" i="1"/>
  <c r="I204" i="1"/>
  <c r="E206" i="1"/>
  <c r="M88" i="1"/>
  <c r="J50" i="1"/>
  <c r="I24" i="1"/>
  <c r="D396" i="1"/>
  <c r="P295" i="1"/>
  <c r="I95" i="1"/>
  <c r="K127" i="1"/>
  <c r="P99" i="1"/>
  <c r="J204" i="1"/>
  <c r="B263" i="1"/>
  <c r="P213" i="1"/>
  <c r="B210" i="1"/>
  <c r="D75" i="1"/>
  <c r="O218" i="1"/>
  <c r="G479" i="1"/>
  <c r="N322" i="1"/>
  <c r="G625" i="1"/>
  <c r="N389" i="1"/>
  <c r="E432" i="1"/>
  <c r="L877" i="1"/>
  <c r="F125" i="1"/>
  <c r="E250" i="1"/>
  <c r="J252" i="1"/>
  <c r="M82" i="1"/>
  <c r="H216" i="1"/>
  <c r="C334" i="1"/>
  <c r="E437" i="1"/>
  <c r="G263" i="1"/>
  <c r="A293" i="1"/>
  <c r="A245" i="1"/>
  <c r="F435" i="1"/>
  <c r="M250" i="1"/>
  <c r="M621" i="1"/>
  <c r="F294" i="1"/>
  <c r="A215" i="1"/>
  <c r="M131" i="1"/>
  <c r="O398" i="1"/>
  <c r="O362" i="1"/>
  <c r="K182" i="1"/>
  <c r="I25" i="1"/>
  <c r="N540" i="1"/>
  <c r="O148" i="1"/>
  <c r="M882" i="1"/>
  <c r="A235" i="1"/>
  <c r="F206" i="1"/>
  <c r="F170" i="1"/>
  <c r="J235" i="1"/>
  <c r="M244" i="1"/>
  <c r="M368" i="1"/>
  <c r="N523" i="1"/>
  <c r="H215" i="1"/>
  <c r="H364" i="1"/>
  <c r="L218" i="1"/>
  <c r="N181" i="1"/>
  <c r="E39" i="1"/>
  <c r="F827" i="1"/>
  <c r="E498" i="1"/>
  <c r="F446" i="1"/>
  <c r="B200" i="1"/>
  <c r="B94" i="1"/>
  <c r="L96" i="1"/>
  <c r="B46" i="1"/>
  <c r="F133" i="1"/>
  <c r="B26" i="1"/>
  <c r="J73" i="1"/>
  <c r="J131" i="1"/>
  <c r="I146" i="1"/>
  <c r="J105" i="1"/>
  <c r="P11" i="1"/>
  <c r="B189" i="1"/>
  <c r="J206" i="1"/>
  <c r="A188" i="1"/>
  <c r="A32" i="1"/>
  <c r="I205" i="1"/>
  <c r="N166" i="1"/>
  <c r="E34" i="1"/>
  <c r="B35" i="1"/>
  <c r="A309" i="1"/>
  <c r="J69" i="1"/>
  <c r="K174" i="1"/>
  <c r="D4" i="1"/>
  <c r="C16" i="1"/>
  <c r="K19" i="1"/>
  <c r="A15" i="1"/>
  <c r="F222" i="1"/>
  <c r="C148" i="1"/>
  <c r="L432" i="1"/>
  <c r="B78" i="1"/>
  <c r="P15" i="1"/>
  <c r="L123" i="1"/>
  <c r="O323" i="1"/>
  <c r="G306" i="1"/>
  <c r="K227" i="1"/>
  <c r="H103" i="1"/>
  <c r="O86" i="1"/>
  <c r="F73" i="1"/>
  <c r="H186" i="1"/>
  <c r="D69" i="1"/>
  <c r="A382" i="1"/>
  <c r="M241" i="1"/>
  <c r="M113" i="1"/>
  <c r="E30" i="1"/>
  <c r="A179" i="1"/>
  <c r="O34" i="1"/>
  <c r="M30" i="1"/>
  <c r="O5" i="1"/>
  <c r="I187" i="1"/>
  <c r="L207" i="1"/>
  <c r="P53" i="1"/>
  <c r="E465" i="1"/>
  <c r="I401" i="1"/>
  <c r="G343" i="1"/>
  <c r="I249" i="1"/>
  <c r="D367" i="1"/>
  <c r="G185" i="1"/>
  <c r="P163" i="1"/>
  <c r="M95" i="1"/>
  <c r="J139" i="1"/>
  <c r="L179" i="1"/>
  <c r="J271" i="1"/>
  <c r="A170" i="1"/>
  <c r="F775" i="1"/>
  <c r="A169" i="1"/>
  <c r="J194" i="1"/>
  <c r="H617" i="1"/>
  <c r="A586" i="1"/>
  <c r="M597" i="1"/>
  <c r="F159" i="1"/>
  <c r="I236" i="1"/>
  <c r="A479" i="1"/>
  <c r="N377" i="1"/>
  <c r="D166" i="1"/>
  <c r="N32" i="1"/>
  <c r="G30" i="1"/>
  <c r="H361" i="1"/>
  <c r="N329" i="1"/>
  <c r="P527" i="1"/>
  <c r="P230" i="1"/>
  <c r="P339" i="1"/>
  <c r="P303" i="1"/>
  <c r="K13" i="1"/>
  <c r="F410" i="1"/>
  <c r="P261" i="1"/>
  <c r="G67" i="1"/>
  <c r="O385" i="1"/>
  <c r="K239" i="1"/>
  <c r="H142" i="1"/>
  <c r="H106" i="1"/>
  <c r="B67" i="1"/>
  <c r="G246" i="1"/>
  <c r="B275" i="1"/>
  <c r="K368" i="1"/>
  <c r="L109" i="1"/>
  <c r="O338" i="1"/>
  <c r="N25" i="1"/>
  <c r="B241" i="1"/>
  <c r="M234" i="1"/>
  <c r="E132" i="1"/>
  <c r="H191" i="1"/>
  <c r="A371" i="1"/>
  <c r="H530" i="1"/>
  <c r="G350" i="1"/>
  <c r="C34" i="1"/>
  <c r="G322" i="1"/>
  <c r="H754" i="1"/>
  <c r="N14" i="1"/>
  <c r="P78" i="1"/>
  <c r="B120" i="1"/>
  <c r="K2" i="1"/>
  <c r="I726" i="1"/>
  <c r="E399" i="1"/>
  <c r="I201" i="1"/>
  <c r="G280" i="1"/>
  <c r="A152" i="1"/>
  <c r="M464" i="1"/>
  <c r="J82" i="1"/>
  <c r="H25" i="1"/>
  <c r="B25" i="1"/>
  <c r="D47" i="1"/>
  <c r="D212" i="1"/>
  <c r="M38" i="1"/>
  <c r="J72" i="1"/>
  <c r="I123" i="1"/>
  <c r="M350" i="1"/>
  <c r="A199" i="1"/>
  <c r="D100" i="1"/>
  <c r="E435" i="1"/>
  <c r="A208" i="1"/>
  <c r="O257" i="1"/>
  <c r="C95" i="1"/>
  <c r="H104" i="1"/>
  <c r="J190" i="1"/>
  <c r="E231" i="1"/>
  <c r="K110" i="1"/>
  <c r="N87" i="1"/>
  <c r="N158" i="1"/>
  <c r="C158" i="1"/>
  <c r="I130" i="1"/>
  <c r="M19" i="1"/>
  <c r="B118" i="1"/>
  <c r="I73" i="1"/>
  <c r="D250" i="1"/>
  <c r="J195" i="1"/>
  <c r="L43" i="1"/>
  <c r="E407" i="1"/>
  <c r="K303" i="1"/>
  <c r="I271" i="1"/>
  <c r="J101" i="1"/>
  <c r="E86" i="1"/>
  <c r="E15" i="1"/>
  <c r="L8" i="1"/>
  <c r="A46" i="1"/>
  <c r="C47" i="1"/>
  <c r="K171" i="1"/>
  <c r="A2" i="1"/>
  <c r="O22" i="1"/>
  <c r="P89" i="1"/>
  <c r="I154" i="1"/>
  <c r="K166" i="1"/>
  <c r="L191" i="1"/>
  <c r="C31" i="1"/>
  <c r="C343" i="1"/>
  <c r="E72" i="1"/>
  <c r="F82" i="1"/>
  <c r="J186" i="1"/>
  <c r="C237" i="1"/>
  <c r="I67" i="1"/>
  <c r="I288" i="1"/>
  <c r="I3" i="1"/>
  <c r="L159" i="1"/>
  <c r="I176" i="1"/>
  <c r="B198" i="1"/>
  <c r="E37" i="1"/>
  <c r="A428" i="1"/>
  <c r="G158" i="1"/>
  <c r="O265" i="1"/>
  <c r="B187" i="1"/>
  <c r="H427" i="1"/>
  <c r="I195" i="1"/>
  <c r="P324" i="1"/>
  <c r="M3" i="1"/>
  <c r="C53" i="1"/>
  <c r="I22" i="1"/>
  <c r="G255" i="1"/>
  <c r="B102" i="1"/>
  <c r="K549" i="1"/>
  <c r="A62" i="1"/>
  <c r="J376" i="1"/>
  <c r="G222" i="1"/>
  <c r="I448" i="1"/>
  <c r="B164" i="1"/>
  <c r="A194" i="1"/>
  <c r="J134" i="1"/>
  <c r="J67" i="1"/>
  <c r="D43" i="1"/>
  <c r="B114" i="1"/>
  <c r="A109" i="1"/>
  <c r="I149" i="1"/>
  <c r="A145" i="1"/>
  <c r="D28" i="1"/>
  <c r="J182" i="1"/>
  <c r="L59" i="1"/>
  <c r="C55" i="1"/>
  <c r="J155" i="1"/>
  <c r="A56" i="1"/>
  <c r="D132" i="1"/>
  <c r="A6" i="1"/>
  <c r="A205" i="1"/>
  <c r="C198" i="1"/>
  <c r="I63" i="1"/>
  <c r="L83" i="1"/>
  <c r="A33" i="1"/>
  <c r="H290" i="1"/>
  <c r="B182" i="1"/>
  <c r="B174" i="1"/>
  <c r="C19" i="1"/>
  <c r="M676" i="1"/>
  <c r="O715" i="1"/>
  <c r="M561" i="1"/>
  <c r="D622" i="1"/>
  <c r="H528" i="1"/>
  <c r="K593" i="1"/>
  <c r="M77" i="1"/>
  <c r="P242" i="1"/>
  <c r="H30" i="1"/>
  <c r="B347" i="1"/>
  <c r="B713" i="1"/>
  <c r="C298" i="1"/>
  <c r="O46" i="1"/>
  <c r="N349" i="1"/>
  <c r="I182" i="1"/>
  <c r="G18" i="1"/>
  <c r="B32" i="1"/>
  <c r="H235" i="1"/>
  <c r="H439" i="1"/>
  <c r="F258" i="1"/>
  <c r="F215" i="1"/>
  <c r="I313" i="1"/>
  <c r="P77" i="1"/>
  <c r="B218" i="1"/>
  <c r="D77" i="1"/>
  <c r="O150" i="1"/>
  <c r="H340" i="1"/>
  <c r="O112" i="1"/>
  <c r="J297" i="1"/>
  <c r="H82" i="1"/>
  <c r="J96" i="1"/>
  <c r="A129" i="1"/>
  <c r="M121" i="1"/>
  <c r="E63" i="1"/>
  <c r="G98" i="1"/>
  <c r="F23" i="1"/>
  <c r="J320" i="1"/>
  <c r="I90" i="1"/>
  <c r="I191" i="1"/>
  <c r="B20" i="1"/>
  <c r="E520" i="1"/>
  <c r="L156" i="1"/>
  <c r="O109" i="1"/>
  <c r="F174" i="1"/>
  <c r="D310" i="1"/>
  <c r="E455" i="1"/>
  <c r="L377" i="1"/>
  <c r="M65" i="1"/>
  <c r="I12" i="1"/>
  <c r="I213" i="1"/>
  <c r="G145" i="1"/>
  <c r="G273" i="1"/>
  <c r="H319" i="1"/>
  <c r="M247" i="1"/>
  <c r="G347" i="1"/>
  <c r="C204" i="1"/>
  <c r="J157" i="1"/>
  <c r="A275" i="1"/>
  <c r="J33" i="1"/>
  <c r="K338" i="1"/>
  <c r="A192" i="1"/>
  <c r="E404" i="1"/>
  <c r="N221" i="1"/>
  <c r="J108" i="1"/>
  <c r="B215" i="1"/>
  <c r="M129" i="1"/>
  <c r="C191" i="1"/>
  <c r="K206" i="1"/>
  <c r="A318" i="1"/>
  <c r="A22" i="1"/>
  <c r="F100" i="1"/>
  <c r="G346" i="1"/>
  <c r="B108" i="1"/>
  <c r="J385" i="1"/>
  <c r="L67" i="1"/>
  <c r="K126" i="1"/>
  <c r="P275" i="1"/>
  <c r="M152" i="1"/>
  <c r="I300" i="1"/>
  <c r="C404" i="1"/>
  <c r="L441" i="1"/>
  <c r="A335" i="1"/>
  <c r="B258" i="1"/>
  <c r="D435" i="1"/>
  <c r="K30" i="1"/>
  <c r="P73" i="1"/>
  <c r="J203" i="1"/>
  <c r="N8" i="1"/>
  <c r="H288" i="1"/>
  <c r="M261" i="1"/>
  <c r="M233" i="1"/>
  <c r="I444" i="1"/>
  <c r="I144" i="1"/>
  <c r="G302" i="1"/>
  <c r="M17" i="1"/>
  <c r="B90" i="1"/>
  <c r="P5" i="1"/>
  <c r="P257" i="1"/>
  <c r="N438" i="1"/>
  <c r="B28" i="1"/>
  <c r="G467" i="1"/>
  <c r="C26" i="1"/>
  <c r="J325" i="1"/>
  <c r="L152" i="1"/>
  <c r="C212" i="1"/>
  <c r="A64" i="1"/>
  <c r="O250" i="1"/>
  <c r="E27" i="1"/>
  <c r="D91" i="1"/>
  <c r="F183" i="1"/>
  <c r="N193" i="1"/>
  <c r="A95" i="1"/>
  <c r="M224" i="1"/>
  <c r="N17" i="1"/>
  <c r="K479" i="1"/>
  <c r="P110" i="1"/>
  <c r="F12" i="1"/>
  <c r="M44" i="1"/>
  <c r="M145" i="1"/>
  <c r="J5" i="1"/>
  <c r="P227" i="1"/>
  <c r="C230" i="1"/>
  <c r="A492" i="1"/>
  <c r="B113" i="1"/>
  <c r="B534" i="1"/>
  <c r="N210" i="1"/>
  <c r="G22" i="1"/>
  <c r="J216" i="1"/>
  <c r="G109" i="1"/>
  <c r="C59" i="1"/>
  <c r="H423" i="1"/>
  <c r="B52" i="1"/>
  <c r="F491" i="1"/>
  <c r="J42" i="1"/>
  <c r="P293" i="1"/>
  <c r="I323" i="1"/>
  <c r="D115" i="1"/>
  <c r="D23" i="1"/>
  <c r="M225" i="1"/>
  <c r="I153" i="1"/>
  <c r="C77" i="1"/>
  <c r="B58" i="1"/>
  <c r="I83" i="1"/>
  <c r="P161" i="1"/>
  <c r="J229" i="1"/>
  <c r="P281" i="1"/>
  <c r="P202" i="1"/>
  <c r="D526" i="1"/>
  <c r="H2" i="1"/>
  <c r="I410" i="1"/>
  <c r="G498" i="1"/>
  <c r="B69" i="1"/>
  <c r="C219" i="1"/>
  <c r="J126" i="1"/>
  <c r="B265" i="1"/>
  <c r="E427" i="1"/>
  <c r="J319" i="1"/>
  <c r="I77" i="1"/>
  <c r="K158" i="1"/>
  <c r="C123" i="1"/>
  <c r="B135" i="1"/>
  <c r="I38" i="1"/>
</calcChain>
</file>

<file path=xl/sharedStrings.xml><?xml version="1.0" encoding="utf-8"?>
<sst xmlns="http://schemas.openxmlformats.org/spreadsheetml/2006/main" count="74" uniqueCount="59">
  <si>
    <t>country</t>
  </si>
  <si>
    <t>gender</t>
  </si>
  <si>
    <t>pin code</t>
  </si>
  <si>
    <t>how get inspiration</t>
  </si>
  <si>
    <t>working in same company more than 3 years</t>
  </si>
  <si>
    <t>UAE</t>
  </si>
  <si>
    <t>USA</t>
  </si>
  <si>
    <t xml:space="preserve">you work in company even company nnot bringing social inpact </t>
  </si>
  <si>
    <t xml:space="preserve"> preferred working environment for you</t>
  </si>
  <si>
    <t>prefered employer for working</t>
  </si>
  <si>
    <t>learning environment you like</t>
  </si>
  <si>
    <t xml:space="preserve">your aspirational job </t>
  </si>
  <si>
    <t>working setup you like</t>
  </si>
  <si>
    <t>Canada</t>
  </si>
  <si>
    <t>Germany</t>
  </si>
  <si>
    <t>India</t>
  </si>
  <si>
    <t>Others</t>
  </si>
  <si>
    <t>Grand Total</t>
  </si>
  <si>
    <t>Count of gender</t>
  </si>
  <si>
    <t>Influencers who had successful careers</t>
  </si>
  <si>
    <t>My Parents</t>
  </si>
  <si>
    <t>People from my circle, but not family members</t>
  </si>
  <si>
    <t>People who have changed the world for better</t>
  </si>
  <si>
    <t>Social Media like LinkedIn</t>
  </si>
  <si>
    <t>No I would not be pursuing Higher Education outside of India</t>
  </si>
  <si>
    <t>No, But if someone could bare the cost I will</t>
  </si>
  <si>
    <t>Yes, I will earn and do that</t>
  </si>
  <si>
    <t xml:space="preserve">going out of country for higher education </t>
  </si>
  <si>
    <t>Every Day Office Environment</t>
  </si>
  <si>
    <t>Fully Remote with No option to visit offices</t>
  </si>
  <si>
    <t>Fully Remote with Options to travel as and when needed</t>
  </si>
  <si>
    <t>Hybrid Working Environment with less than 10 days a month at office</t>
  </si>
  <si>
    <t>Hybrid Working Environment with less than 15 days a month at office</t>
  </si>
  <si>
    <t>Hybrid Working Environment with less than 3 days a month at office</t>
  </si>
  <si>
    <t>Hybrid Working Environment with more than 15 days a month at office</t>
  </si>
  <si>
    <t>Employer who appreciates learning and enables that environment</t>
  </si>
  <si>
    <t>Employer who pushes your limits and doesn't enables learning environment and never rewards you</t>
  </si>
  <si>
    <t>Employer who pushes your limits by enabling an learning environment, and rewards you at the end</t>
  </si>
  <si>
    <t>Employer who rewards learning and enables that environment</t>
  </si>
  <si>
    <t>Employers who appreciates learning but doesn't enables an learning environment</t>
  </si>
  <si>
    <t>how get inspired</t>
  </si>
  <si>
    <t xml:space="preserve">country </t>
  </si>
  <si>
    <t>No way</t>
  </si>
  <si>
    <t>No way, 3 years with one employer is crazy</t>
  </si>
  <si>
    <t>This will be hard to do, but if it is the right company I would try</t>
  </si>
  <si>
    <t>Will work for 3 years or more</t>
  </si>
  <si>
    <t>will work for 3 years or more</t>
  </si>
  <si>
    <t>going for higher education out side the country</t>
  </si>
  <si>
    <t>Will NOT work for them</t>
  </si>
  <si>
    <t>Will work for them</t>
  </si>
  <si>
    <t xml:space="preserve">company having misaligned with client </t>
  </si>
  <si>
    <t>prefered working environment</t>
  </si>
  <si>
    <t>Manager who clearly describes what she/he needs</t>
  </si>
  <si>
    <t>Manager who explains what is expected, sets a goal and helps achieve it</t>
  </si>
  <si>
    <t>Manager who sets goal and helps me achieve it</t>
  </si>
  <si>
    <t>Manager who sets targets and expects me to achieve it</t>
  </si>
  <si>
    <t>Manager who sets unrealistic targets</t>
  </si>
  <si>
    <t xml:space="preserve">what type of manager you prefer </t>
  </si>
  <si>
    <t>prefered employer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</si>
</sst>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3" x14ac:knownFonts="1">
    <font>
      <sz val="10"/>
      <color rgb="FF000000"/>
      <name val="Arial"/>
      <scheme val="minor"/>
    </font>
    <font>
      <sz val="10"/>
      <color theme="1"/>
      <name val="Arial"/>
      <scheme val="minor"/>
    </font>
    <font>
      <sz val="10"/>
      <color theme="1"/>
      <name val="Arial"/>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164" fontId="1" fillId="0" borderId="0" xfId="0" applyNumberFormat="1" applyFont="1"/>
    <xf numFmtId="0" fontId="1" fillId="0" borderId="0" xfId="0" applyFont="1" applyAlignment="1"/>
    <xf numFmtId="0" fontId="2"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xf numFmtId="0" fontId="0" fillId="2" borderId="0" xfId="0" applyFont="1" applyFill="1" applyAlignment="1">
      <alignment horizontal="left"/>
    </xf>
    <xf numFmtId="0" fontId="0" fillId="2" borderId="0" xfId="0" applyNumberFormat="1" applyFont="1" applyFill="1" applyAlignment="1"/>
    <xf numFmtId="0" fontId="0" fillId="2" borderId="0" xfId="0" applyFont="1" applyFill="1" applyAlignment="1"/>
  </cellXfs>
  <cellStyles count="1">
    <cellStyle name="Normal" xfId="0" builtinId="0"/>
  </cellStyles>
  <dxfs count="0"/>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dashboard final.xlsx]Sheet2!PivotTable1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Country</a:t>
            </a:r>
            <a:r>
              <a:rPr lang="en-IN" b="1" baseline="0"/>
              <a:t> wise </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803233551030001E-2"/>
          <c:y val="9.3207602339181309E-2"/>
          <c:w val="0.88697847222222226"/>
          <c:h val="0.81031695906432744"/>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Canada</c:v>
                </c:pt>
                <c:pt idx="1">
                  <c:v>Germany</c:v>
                </c:pt>
                <c:pt idx="2">
                  <c:v>India</c:v>
                </c:pt>
                <c:pt idx="3">
                  <c:v>Others</c:v>
                </c:pt>
                <c:pt idx="4">
                  <c:v>UAE</c:v>
                </c:pt>
              </c:strCache>
            </c:strRef>
          </c:cat>
          <c:val>
            <c:numRef>
              <c:f>Sheet2!$B$4:$B$9</c:f>
              <c:numCache>
                <c:formatCode>General</c:formatCode>
                <c:ptCount val="5"/>
                <c:pt idx="0">
                  <c:v>7</c:v>
                </c:pt>
                <c:pt idx="1">
                  <c:v>2</c:v>
                </c:pt>
                <c:pt idx="2">
                  <c:v>728</c:v>
                </c:pt>
                <c:pt idx="3">
                  <c:v>10</c:v>
                </c:pt>
                <c:pt idx="4">
                  <c:v>5</c:v>
                </c:pt>
              </c:numCache>
            </c:numRef>
          </c:val>
          <c:extLst>
            <c:ext xmlns:c16="http://schemas.microsoft.com/office/drawing/2014/chart" uri="{C3380CC4-5D6E-409C-BE32-E72D297353CC}">
              <c16:uniqueId val="{00000000-F547-44CB-873E-077D578A986B}"/>
            </c:ext>
          </c:extLst>
        </c:ser>
        <c:dLbls>
          <c:showLegendKey val="0"/>
          <c:showVal val="0"/>
          <c:showCatName val="0"/>
          <c:showSerName val="0"/>
          <c:showPercent val="0"/>
          <c:showBubbleSize val="0"/>
        </c:dLbls>
        <c:gapWidth val="219"/>
        <c:overlap val="-27"/>
        <c:axId val="1911174128"/>
        <c:axId val="1911170384"/>
      </c:barChart>
      <c:catAx>
        <c:axId val="191117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11170384"/>
        <c:crosses val="autoZero"/>
        <c:auto val="1"/>
        <c:lblAlgn val="ctr"/>
        <c:lblOffset val="100"/>
        <c:noMultiLvlLbl val="0"/>
      </c:catAx>
      <c:valAx>
        <c:axId val="1911170384"/>
        <c:scaling>
          <c:orientation val="minMax"/>
        </c:scaling>
        <c:delete val="1"/>
        <c:axPos val="l"/>
        <c:numFmt formatCode="General" sourceLinked="1"/>
        <c:majorTickMark val="out"/>
        <c:minorTickMark val="none"/>
        <c:tickLblPos val="nextTo"/>
        <c:crossAx val="1911174128"/>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dashboard final.xlsx]Sheet2!PivotTable8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Going for higher education out of the country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Sheet2!$B$15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01-48AB-BB4C-464C1FB66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01-48AB-BB4C-464C1FB66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01-48AB-BB4C-464C1FB66B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Sheet2!$A$16:$A$19</c:f>
              <c:strCache>
                <c:ptCount val="3"/>
                <c:pt idx="0">
                  <c:v>No I would not be pursuing Higher Education outside of India</c:v>
                </c:pt>
                <c:pt idx="1">
                  <c:v>No, But if someone could bare the cost I will</c:v>
                </c:pt>
                <c:pt idx="2">
                  <c:v>Yes, I will earn and do that</c:v>
                </c:pt>
              </c:strCache>
            </c:strRef>
          </c:cat>
          <c:val>
            <c:numRef>
              <c:f>Sheet2!$B$16:$B$19</c:f>
              <c:numCache>
                <c:formatCode>General</c:formatCode>
                <c:ptCount val="3"/>
                <c:pt idx="0">
                  <c:v>244</c:v>
                </c:pt>
                <c:pt idx="1">
                  <c:v>168</c:v>
                </c:pt>
                <c:pt idx="2">
                  <c:v>340</c:v>
                </c:pt>
              </c:numCache>
            </c:numRef>
          </c:val>
          <c:extLst>
            <c:ext xmlns:c16="http://schemas.microsoft.com/office/drawing/2014/chart" uri="{C3380CC4-5D6E-409C-BE32-E72D297353CC}">
              <c16:uniqueId val="{00000006-B301-48AB-BB4C-464C1FB66B0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dashboard final.xlsx]Sheet2!PivotTable9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Will work for 3 years or more in same company </a:t>
            </a:r>
            <a:r>
              <a:rPr lang="en-IN"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7454566782504143"/>
          <c:y val="0.13609271523178809"/>
          <c:w val="0.51533967469394792"/>
          <c:h val="0.80768211920529798"/>
        </c:manualLayout>
      </c:layout>
      <c:barChart>
        <c:barDir val="bar"/>
        <c:grouping val="clustered"/>
        <c:varyColors val="0"/>
        <c:ser>
          <c:idx val="0"/>
          <c:order val="0"/>
          <c:tx>
            <c:strRef>
              <c:f>Sheet2!$B$22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Sheet2!$A$23:$A$27</c:f>
              <c:strCache>
                <c:ptCount val="4"/>
                <c:pt idx="0">
                  <c:v>No way</c:v>
                </c:pt>
                <c:pt idx="1">
                  <c:v>No way, 3 years with one employer is crazy</c:v>
                </c:pt>
                <c:pt idx="2">
                  <c:v>This will be hard to do, but if it is the right company I would try</c:v>
                </c:pt>
                <c:pt idx="3">
                  <c:v>Will work for 3 years or more</c:v>
                </c:pt>
              </c:strCache>
            </c:strRef>
          </c:cat>
          <c:val>
            <c:numRef>
              <c:f>Sheet2!$B$23:$B$27</c:f>
              <c:numCache>
                <c:formatCode>General</c:formatCode>
                <c:ptCount val="4"/>
                <c:pt idx="0">
                  <c:v>24</c:v>
                </c:pt>
                <c:pt idx="1">
                  <c:v>10</c:v>
                </c:pt>
                <c:pt idx="2">
                  <c:v>461</c:v>
                </c:pt>
                <c:pt idx="3">
                  <c:v>257</c:v>
                </c:pt>
              </c:numCache>
            </c:numRef>
          </c:val>
          <c:extLst>
            <c:ext xmlns:c16="http://schemas.microsoft.com/office/drawing/2014/chart" uri="{C3380CC4-5D6E-409C-BE32-E72D297353CC}">
              <c16:uniqueId val="{00000000-2315-496F-B06A-1CC4F14D3B7D}"/>
            </c:ext>
          </c:extLst>
        </c:ser>
        <c:dLbls>
          <c:showLegendKey val="0"/>
          <c:showVal val="0"/>
          <c:showCatName val="0"/>
          <c:showSerName val="0"/>
          <c:showPercent val="0"/>
          <c:showBubbleSize val="0"/>
        </c:dLbls>
        <c:gapWidth val="182"/>
        <c:axId val="2039322544"/>
        <c:axId val="2039320464"/>
      </c:barChart>
      <c:catAx>
        <c:axId val="203932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39320464"/>
        <c:crosses val="autoZero"/>
        <c:auto val="1"/>
        <c:lblAlgn val="ctr"/>
        <c:lblOffset val="100"/>
        <c:noMultiLvlLbl val="0"/>
      </c:catAx>
      <c:valAx>
        <c:axId val="2039320464"/>
        <c:scaling>
          <c:orientation val="minMax"/>
        </c:scaling>
        <c:delete val="1"/>
        <c:axPos val="b"/>
        <c:numFmt formatCode="General" sourceLinked="1"/>
        <c:majorTickMark val="none"/>
        <c:minorTickMark val="none"/>
        <c:tickLblPos val="nextTo"/>
        <c:crossAx val="203932254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dashboard final.xlsx]Sheet2!PivotTable10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How you  get inspired</a:t>
            </a:r>
            <a:r>
              <a:rPr lang="en-IN" sz="1400" b="0" i="0" u="none" strike="noStrike" baseline="0"/>
              <a:t> </a:t>
            </a:r>
            <a:endParaRPr lang="en-US"/>
          </a:p>
        </c:rich>
      </c:tx>
      <c:layout>
        <c:manualLayout>
          <c:xMode val="edge"/>
          <c:yMode val="edge"/>
          <c:x val="0.35469691546821119"/>
          <c:y val="9.4859589229667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4495622487748472E-2"/>
          <c:w val="0.86461612109807029"/>
          <c:h val="0.75380135067386245"/>
        </c:manualLayout>
      </c:layout>
      <c:bar3DChart>
        <c:barDir val="col"/>
        <c:grouping val="standard"/>
        <c:varyColors val="0"/>
        <c:ser>
          <c:idx val="0"/>
          <c:order val="0"/>
          <c:tx>
            <c:strRef>
              <c:f>Sheet2!$B$33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Sheet2!$A$34:$A$39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Sheet2!$B$34:$B$39</c:f>
              <c:numCache>
                <c:formatCode>General</c:formatCode>
                <c:ptCount val="5"/>
                <c:pt idx="0">
                  <c:v>141</c:v>
                </c:pt>
                <c:pt idx="1">
                  <c:v>272</c:v>
                </c:pt>
                <c:pt idx="2">
                  <c:v>102</c:v>
                </c:pt>
                <c:pt idx="3">
                  <c:v>178</c:v>
                </c:pt>
                <c:pt idx="4">
                  <c:v>59</c:v>
                </c:pt>
              </c:numCache>
            </c:numRef>
          </c:val>
          <c:extLst>
            <c:ext xmlns:c16="http://schemas.microsoft.com/office/drawing/2014/chart" uri="{C3380CC4-5D6E-409C-BE32-E72D297353CC}">
              <c16:uniqueId val="{00000000-527D-41C5-8A08-94E4CB4EF23F}"/>
            </c:ext>
          </c:extLst>
        </c:ser>
        <c:dLbls>
          <c:showLegendKey val="0"/>
          <c:showVal val="0"/>
          <c:showCatName val="0"/>
          <c:showSerName val="0"/>
          <c:showPercent val="0"/>
          <c:showBubbleSize val="0"/>
        </c:dLbls>
        <c:gapWidth val="150"/>
        <c:shape val="box"/>
        <c:axId val="2039520528"/>
        <c:axId val="1911187856"/>
        <c:axId val="173017264"/>
      </c:bar3DChart>
      <c:catAx>
        <c:axId val="203952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11187856"/>
        <c:crosses val="autoZero"/>
        <c:auto val="1"/>
        <c:lblAlgn val="ctr"/>
        <c:lblOffset val="100"/>
        <c:noMultiLvlLbl val="0"/>
      </c:catAx>
      <c:valAx>
        <c:axId val="1911187856"/>
        <c:scaling>
          <c:orientation val="minMax"/>
        </c:scaling>
        <c:delete val="1"/>
        <c:axPos val="l"/>
        <c:numFmt formatCode="General" sourceLinked="1"/>
        <c:majorTickMark val="none"/>
        <c:minorTickMark val="none"/>
        <c:tickLblPos val="nextTo"/>
        <c:crossAx val="2039520528"/>
        <c:crosses val="autoZero"/>
        <c:crossBetween val="between"/>
      </c:valAx>
      <c:serAx>
        <c:axId val="173017264"/>
        <c:scaling>
          <c:orientation val="minMax"/>
        </c:scaling>
        <c:delete val="1"/>
        <c:axPos val="b"/>
        <c:majorTickMark val="none"/>
        <c:minorTickMark val="none"/>
        <c:tickLblPos val="nextTo"/>
        <c:crossAx val="1911187856"/>
        <c:crosses val="autoZero"/>
      </c:ser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dashboard final.xlsx]Sheet2!PivotTable11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Prefered</a:t>
            </a:r>
            <a:r>
              <a:rPr lang="en-IN" b="1" baseline="0"/>
              <a:t> working environment </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9.7023050191351774E-3"/>
              <c:y val="-0.15107913669064749"/>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a:noFill/>
          </a:ln>
          <a:effectLst/>
        </c:spPr>
        <c:dLbl>
          <c:idx val="0"/>
          <c:layout>
            <c:manualLayout>
              <c:x val="-9.8370210706904431E-4"/>
              <c:y val="-1.798561151079136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a:noFill/>
          </a:ln>
          <a:effectLst/>
        </c:spPr>
        <c:dLbl>
          <c:idx val="0"/>
          <c:layout>
            <c:manualLayout>
              <c:x val="2.3255813953488372E-2"/>
              <c:y val="-0.2338129496402877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a:noFill/>
          </a:ln>
          <a:effectLst/>
        </c:spPr>
        <c:dLbl>
          <c:idx val="0"/>
          <c:layout>
            <c:manualLayout>
              <c:x val="-0.14119601328903655"/>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a:noFill/>
          </a:ln>
          <a:effectLst/>
        </c:spPr>
        <c:dLbl>
          <c:idx val="0"/>
          <c:layout>
            <c:manualLayout>
              <c:x val="-2.9093168521533599E-3"/>
              <c:y val="-3.5971223021584054E-3"/>
            </c:manualLayout>
          </c:layout>
          <c:spPr>
            <a:solidFill>
              <a:srgbClr val="FFFFFF"/>
            </a:solidFill>
            <a:ln w="9525" cap="flat" cmpd="sng" algn="ctr">
              <a:solidFill>
                <a:srgbClr val="000000">
                  <a:lumMod val="25000"/>
                  <a:lumOff val="75000"/>
                </a:srgb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a:noFill/>
          </a:ln>
          <a:effectLst/>
        </c:spPr>
        <c:dLbl>
          <c:idx val="0"/>
          <c:layout>
            <c:manualLayout>
              <c:x val="-0.10893854748603363"/>
              <c:y val="-0.1690647482014388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a:noFill/>
          </a:ln>
          <a:effectLst/>
        </c:spPr>
        <c:dLbl>
          <c:idx val="0"/>
          <c:layout>
            <c:manualLayout>
              <c:x val="-6.1452513966480445E-2"/>
              <c:y val="-8.27338129496402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2.4275471548424205E-2"/>
          <c:y val="0.12056430446194227"/>
          <c:w val="0.96379234572422623"/>
          <c:h val="0.85887384580524562"/>
        </c:manualLayout>
      </c:layout>
      <c:barChart>
        <c:barDir val="col"/>
        <c:grouping val="clustered"/>
        <c:varyColors val="0"/>
        <c:ser>
          <c:idx val="0"/>
          <c:order val="0"/>
          <c:tx>
            <c:strRef>
              <c:f>Sheet2!$B$48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FCF-4C25-9510-1D95CE62DBB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8FCF-4C25-9510-1D95CE62DBB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8FCF-4C25-9510-1D95CE62DBB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8FCF-4C25-9510-1D95CE62DBB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8FCF-4C25-9510-1D95CE62DBB7}"/>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6-8FCF-4C25-9510-1D95CE62DBB7}"/>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7-8FCF-4C25-9510-1D95CE62DBB7}"/>
              </c:ext>
            </c:extLst>
          </c:dPt>
          <c:dLbls>
            <c:dLbl>
              <c:idx val="0"/>
              <c:layout>
                <c:manualLayout>
                  <c:x val="-9.7023050191351774E-3"/>
                  <c:y val="-0.15107913669064749"/>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FCF-4C25-9510-1D95CE62DBB7}"/>
                </c:ext>
              </c:extLst>
            </c:dLbl>
            <c:dLbl>
              <c:idx val="1"/>
              <c:layout>
                <c:manualLayout>
                  <c:x val="-9.8370210706904431E-4"/>
                  <c:y val="-1.7985611510791366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FCF-4C25-9510-1D95CE62DBB7}"/>
                </c:ext>
              </c:extLst>
            </c:dLbl>
            <c:dLbl>
              <c:idx val="2"/>
              <c:layout>
                <c:manualLayout>
                  <c:x val="-0.14119601328903655"/>
                  <c:y val="0"/>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FCF-4C25-9510-1D95CE62DBB7}"/>
                </c:ext>
              </c:extLst>
            </c:dLbl>
            <c:dLbl>
              <c:idx val="3"/>
              <c:layout>
                <c:manualLayout>
                  <c:x val="2.3255813953488372E-2"/>
                  <c:y val="-0.23381294964028776"/>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FCF-4C25-9510-1D95CE62DBB7}"/>
                </c:ext>
              </c:extLst>
            </c:dLbl>
            <c:dLbl>
              <c:idx val="4"/>
              <c:layout>
                <c:manualLayout>
                  <c:x val="-2.9093168521533599E-3"/>
                  <c:y val="-3.5971223021584054E-3"/>
                </c:manualLayout>
              </c:layout>
              <c:spPr>
                <a:solidFill>
                  <a:srgbClr val="FFFFFF"/>
                </a:solidFill>
                <a:ln w="9525" cap="flat" cmpd="sng" algn="ctr">
                  <a:solidFill>
                    <a:srgbClr val="000000">
                      <a:lumMod val="25000"/>
                      <a:lumOff val="75000"/>
                    </a:srgb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5-8FCF-4C25-9510-1D95CE62DBB7}"/>
                </c:ext>
              </c:extLst>
            </c:dLbl>
            <c:dLbl>
              <c:idx val="5"/>
              <c:layout>
                <c:manualLayout>
                  <c:x val="-0.10893854748603363"/>
                  <c:y val="-0.16906474820143885"/>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FCF-4C25-9510-1D95CE62DBB7}"/>
                </c:ext>
              </c:extLst>
            </c:dLbl>
            <c:dLbl>
              <c:idx val="6"/>
              <c:layout>
                <c:manualLayout>
                  <c:x val="-6.1452513966480445E-2"/>
                  <c:y val="-8.273381294964028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FCF-4C25-9510-1D95CE62DBB7}"/>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noFill/>
                      <a:round/>
                    </a:ln>
                    <a:effectLst/>
                  </c:spPr>
                </c15:leaderLines>
              </c:ext>
            </c:extLst>
          </c:dLbls>
          <c:cat>
            <c:strRef>
              <c:f>Sheet2!$A$49:$A$56</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Sheet2!$B$49:$B$56</c:f>
              <c:numCache>
                <c:formatCode>General</c:formatCode>
                <c:ptCount val="7"/>
                <c:pt idx="0">
                  <c:v>145</c:v>
                </c:pt>
                <c:pt idx="1">
                  <c:v>56</c:v>
                </c:pt>
                <c:pt idx="2">
                  <c:v>224</c:v>
                </c:pt>
                <c:pt idx="3">
                  <c:v>23</c:v>
                </c:pt>
                <c:pt idx="4">
                  <c:v>29</c:v>
                </c:pt>
                <c:pt idx="5">
                  <c:v>109</c:v>
                </c:pt>
                <c:pt idx="6">
                  <c:v>166</c:v>
                </c:pt>
              </c:numCache>
            </c:numRef>
          </c:val>
          <c:extLst>
            <c:ext xmlns:c16="http://schemas.microsoft.com/office/drawing/2014/chart" uri="{C3380CC4-5D6E-409C-BE32-E72D297353CC}">
              <c16:uniqueId val="{00000000-8FCF-4C25-9510-1D95CE62DBB7}"/>
            </c:ext>
          </c:extLst>
        </c:ser>
        <c:dLbls>
          <c:showLegendKey val="0"/>
          <c:showVal val="0"/>
          <c:showCatName val="0"/>
          <c:showSerName val="0"/>
          <c:showPercent val="0"/>
          <c:showBubbleSize val="0"/>
        </c:dLbls>
        <c:gapWidth val="219"/>
        <c:overlap val="-27"/>
        <c:axId val="256027408"/>
        <c:axId val="256023664"/>
      </c:barChart>
      <c:catAx>
        <c:axId val="256027408"/>
        <c:scaling>
          <c:orientation val="minMax"/>
        </c:scaling>
        <c:delete val="1"/>
        <c:axPos val="b"/>
        <c:numFmt formatCode="General" sourceLinked="1"/>
        <c:majorTickMark val="none"/>
        <c:minorTickMark val="none"/>
        <c:tickLblPos val="nextTo"/>
        <c:crossAx val="256023664"/>
        <c:crosses val="autoZero"/>
        <c:auto val="1"/>
        <c:lblAlgn val="ctr"/>
        <c:lblOffset val="100"/>
        <c:noMultiLvlLbl val="0"/>
      </c:catAx>
      <c:valAx>
        <c:axId val="256023664"/>
        <c:scaling>
          <c:orientation val="minMax"/>
        </c:scaling>
        <c:delete val="1"/>
        <c:axPos val="l"/>
        <c:numFmt formatCode="General" sourceLinked="1"/>
        <c:majorTickMark val="none"/>
        <c:minorTickMark val="none"/>
        <c:tickLblPos val="nextTo"/>
        <c:crossAx val="256027408"/>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dashboard final.xlsx]Sheet2!PivotTable12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What type of manager you prefer </a:t>
            </a:r>
            <a:r>
              <a:rPr lang="en-IN" sz="1400" b="0" i="0" u="none" strike="noStrike" baseline="0"/>
              <a:t> </a:t>
            </a:r>
            <a:endParaRPr lang="en-IN"/>
          </a:p>
        </c:rich>
      </c:tx>
      <c:layout>
        <c:manualLayout>
          <c:xMode val="edge"/>
          <c:yMode val="edge"/>
          <c:x val="0.24483111179729986"/>
          <c:y val="0.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8.9938398357289534E-2"/>
          <c:y val="0.17236494828390353"/>
          <c:w val="0.42538505068796584"/>
          <c:h val="0.72182062608027653"/>
        </c:manualLayout>
      </c:layout>
      <c:pieChart>
        <c:varyColors val="1"/>
        <c:ser>
          <c:idx val="0"/>
          <c:order val="0"/>
          <c:tx>
            <c:strRef>
              <c:f>Sheet2!$B$59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25-4572-90D8-503475B13D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25-4572-90D8-503475B13D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25-4572-90D8-503475B13D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25-4572-90D8-503475B13D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25-4572-90D8-503475B13D9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Sheet2!$A$60:$A$65</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Sheet2!$B$60:$B$65</c:f>
              <c:numCache>
                <c:formatCode>General</c:formatCode>
                <c:ptCount val="5"/>
                <c:pt idx="0">
                  <c:v>125</c:v>
                </c:pt>
                <c:pt idx="1">
                  <c:v>457</c:v>
                </c:pt>
                <c:pt idx="2">
                  <c:v>117</c:v>
                </c:pt>
                <c:pt idx="3">
                  <c:v>45</c:v>
                </c:pt>
                <c:pt idx="4">
                  <c:v>8</c:v>
                </c:pt>
              </c:numCache>
            </c:numRef>
          </c:val>
          <c:extLst>
            <c:ext xmlns:c16="http://schemas.microsoft.com/office/drawing/2014/chart" uri="{C3380CC4-5D6E-409C-BE32-E72D297353CC}">
              <c16:uniqueId val="{0000000A-4A25-4572-90D8-503475B13D9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dashboard final.xlsx]Sheet2!PivotTable13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Prefered employer</a:t>
            </a:r>
            <a:r>
              <a:rPr lang="en-IN" sz="1400" b="0" i="0" u="none" strike="noStrike" baseline="0"/>
              <a:t> </a:t>
            </a:r>
            <a:endParaRPr lang="en-US"/>
          </a:p>
        </c:rich>
      </c:tx>
      <c:layout>
        <c:manualLayout>
          <c:xMode val="edge"/>
          <c:yMode val="edge"/>
          <c:x val="0.3409757523832837"/>
          <c:y val="2.6262626262626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7271157167530225E-2"/>
              <c:y val="-4.040404040404042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dLbl>
          <c:idx val="0"/>
          <c:layout>
            <c:manualLayout>
              <c:x val="6.9084628670120895E-3"/>
              <c:y val="-2.222222222222225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dLbl>
          <c:idx val="0"/>
          <c:layout>
            <c:manualLayout>
              <c:x val="1.5544041450777139E-2"/>
              <c:y val="-2.020202020202020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p3d/>
        </c:spPr>
        <c:dLbl>
          <c:idx val="0"/>
          <c:layout>
            <c:manualLayout>
              <c:x val="0"/>
              <c:y val="-3.838383838383838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dLbl>
          <c:idx val="0"/>
          <c:layout>
            <c:manualLayout>
              <c:x val="3.281519861830743E-2"/>
              <c:y val="-3.636363636363636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64849321845242"/>
          <c:y val="7.5097019122609673E-2"/>
          <c:w val="0.8603601104266112"/>
          <c:h val="0.43079790026246717"/>
        </c:manualLayout>
      </c:layout>
      <c:bar3DChart>
        <c:barDir val="col"/>
        <c:grouping val="standard"/>
        <c:varyColors val="0"/>
        <c:ser>
          <c:idx val="0"/>
          <c:order val="0"/>
          <c:tx>
            <c:strRef>
              <c:f>Sheet2!$B$67</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49BA-4E38-A951-E47086450090}"/>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49BA-4E38-A951-E47086450090}"/>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3-49BA-4E38-A951-E47086450090}"/>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4-49BA-4E38-A951-E47086450090}"/>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5-49BA-4E38-A951-E47086450090}"/>
              </c:ext>
            </c:extLst>
          </c:dPt>
          <c:dLbls>
            <c:dLbl>
              <c:idx val="0"/>
              <c:layout>
                <c:manualLayout>
                  <c:x val="1.7271157167530225E-2"/>
                  <c:y val="-4.040404040404042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9BA-4E38-A951-E47086450090}"/>
                </c:ext>
              </c:extLst>
            </c:dLbl>
            <c:dLbl>
              <c:idx val="1"/>
              <c:layout>
                <c:manualLayout>
                  <c:x val="6.9084628670120895E-3"/>
                  <c:y val="-2.222222222222225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9BA-4E38-A951-E47086450090}"/>
                </c:ext>
              </c:extLst>
            </c:dLbl>
            <c:dLbl>
              <c:idx val="2"/>
              <c:layout>
                <c:manualLayout>
                  <c:x val="1.5544041450777139E-2"/>
                  <c:y val="-2.020202020202020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9BA-4E38-A951-E47086450090}"/>
                </c:ext>
              </c:extLst>
            </c:dLbl>
            <c:dLbl>
              <c:idx val="3"/>
              <c:layout>
                <c:manualLayout>
                  <c:x val="0"/>
                  <c:y val="-3.838383838383838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9BA-4E38-A951-E47086450090}"/>
                </c:ext>
              </c:extLst>
            </c:dLbl>
            <c:dLbl>
              <c:idx val="4"/>
              <c:layout>
                <c:manualLayout>
                  <c:x val="3.281519861830743E-2"/>
                  <c:y val="-3.636363636363636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9BA-4E38-A951-E4708645009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Sheet2!$A$68:$A$73</c:f>
              <c:strCache>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Cache>
            </c:strRef>
          </c:cat>
          <c:val>
            <c:numRef>
              <c:f>Sheet2!$B$68:$B$73</c:f>
              <c:numCache>
                <c:formatCode>General</c:formatCode>
                <c:ptCount val="5"/>
                <c:pt idx="0">
                  <c:v>252</c:v>
                </c:pt>
                <c:pt idx="1">
                  <c:v>10</c:v>
                </c:pt>
                <c:pt idx="2">
                  <c:v>358</c:v>
                </c:pt>
                <c:pt idx="3">
                  <c:v>121</c:v>
                </c:pt>
                <c:pt idx="4">
                  <c:v>11</c:v>
                </c:pt>
              </c:numCache>
            </c:numRef>
          </c:val>
          <c:extLst>
            <c:ext xmlns:c16="http://schemas.microsoft.com/office/drawing/2014/chart" uri="{C3380CC4-5D6E-409C-BE32-E72D297353CC}">
              <c16:uniqueId val="{00000000-49BA-4E38-A951-E47086450090}"/>
            </c:ext>
          </c:extLst>
        </c:ser>
        <c:dLbls>
          <c:showLegendKey val="0"/>
          <c:showVal val="0"/>
          <c:showCatName val="0"/>
          <c:showSerName val="0"/>
          <c:showPercent val="0"/>
          <c:showBubbleSize val="0"/>
        </c:dLbls>
        <c:gapWidth val="150"/>
        <c:shape val="box"/>
        <c:axId val="256022000"/>
        <c:axId val="256012432"/>
        <c:axId val="178690016"/>
      </c:bar3DChart>
      <c:catAx>
        <c:axId val="2560220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6012432"/>
        <c:crosses val="autoZero"/>
        <c:auto val="1"/>
        <c:lblAlgn val="ctr"/>
        <c:lblOffset val="100"/>
        <c:noMultiLvlLbl val="0"/>
      </c:catAx>
      <c:valAx>
        <c:axId val="256012432"/>
        <c:scaling>
          <c:orientation val="minMax"/>
        </c:scaling>
        <c:delete val="1"/>
        <c:axPos val="l"/>
        <c:numFmt formatCode="General" sourceLinked="1"/>
        <c:majorTickMark val="out"/>
        <c:minorTickMark val="none"/>
        <c:tickLblPos val="nextTo"/>
        <c:crossAx val="256022000"/>
        <c:crosses val="autoZero"/>
        <c:crossBetween val="between"/>
      </c:valAx>
      <c:serAx>
        <c:axId val="178690016"/>
        <c:scaling>
          <c:orientation val="minMax"/>
        </c:scaling>
        <c:delete val="1"/>
        <c:axPos val="b"/>
        <c:majorTickMark val="out"/>
        <c:minorTickMark val="none"/>
        <c:tickLblPos val="nextTo"/>
        <c:crossAx val="256012432"/>
        <c:crosses val="autoZero"/>
      </c:ser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101600</xdr:rowOff>
    </xdr:from>
    <xdr:to>
      <xdr:col>3</xdr:col>
      <xdr:colOff>203200</xdr:colOff>
      <xdr:row>21</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0</xdr:row>
      <xdr:rowOff>101600</xdr:rowOff>
    </xdr:from>
    <xdr:to>
      <xdr:col>4</xdr:col>
      <xdr:colOff>3073400</xdr:colOff>
      <xdr:row>21</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3302000</xdr:colOff>
      <xdr:row>0</xdr:row>
      <xdr:rowOff>114300</xdr:rowOff>
    </xdr:from>
    <xdr:to>
      <xdr:col>6</xdr:col>
      <xdr:colOff>2527300</xdr:colOff>
      <xdr:row>21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22</xdr:row>
      <xdr:rowOff>114300</xdr:rowOff>
    </xdr:from>
    <xdr:to>
      <xdr:col>3</xdr:col>
      <xdr:colOff>1130300</xdr:colOff>
      <xdr:row>44</xdr:row>
      <xdr:rowOff>88900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1206500</xdr:colOff>
      <xdr:row>22</xdr:row>
      <xdr:rowOff>139700</xdr:rowOff>
    </xdr:from>
    <xdr:to>
      <xdr:col>5</xdr:col>
      <xdr:colOff>4013200</xdr:colOff>
      <xdr:row>45</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45</xdr:row>
      <xdr:rowOff>63500</xdr:rowOff>
    </xdr:from>
    <xdr:to>
      <xdr:col>3</xdr:col>
      <xdr:colOff>1117600</xdr:colOff>
      <xdr:row>70</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1206500</xdr:colOff>
      <xdr:row>45</xdr:row>
      <xdr:rowOff>88900</xdr:rowOff>
    </xdr:from>
    <xdr:to>
      <xdr:col>5</xdr:col>
      <xdr:colOff>4000500</xdr:colOff>
      <xdr:row>84</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139700</xdr:colOff>
      <xdr:row>24</xdr:row>
      <xdr:rowOff>152400</xdr:rowOff>
    </xdr:from>
    <xdr:to>
      <xdr:col>7</xdr:col>
      <xdr:colOff>1003300</xdr:colOff>
      <xdr:row>63</xdr:row>
      <xdr:rowOff>63500</xdr:rowOff>
    </xdr:to>
    <xdr:sp macro="" textlink="">
      <xdr:nvSpPr>
        <xdr:cNvPr id="12" name="Rectangle 11"/>
        <xdr:cNvSpPr/>
      </xdr:nvSpPr>
      <xdr:spPr>
        <a:xfrm>
          <a:off x="18580100" y="4114800"/>
          <a:ext cx="5105400" cy="63500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C00000"/>
              </a:solidFill>
            </a:rPr>
            <a:t>1] </a:t>
          </a:r>
          <a:r>
            <a:rPr lang="en-IN" sz="1200">
              <a:solidFill>
                <a:srgbClr val="C00000"/>
              </a:solidFill>
            </a:rPr>
            <a:t>According</a:t>
          </a:r>
          <a:r>
            <a:rPr lang="en-IN" sz="1200" baseline="0">
              <a:solidFill>
                <a:srgbClr val="C00000"/>
              </a:solidFill>
            </a:rPr>
            <a:t> the data of GENZ collected by </a:t>
          </a:r>
          <a:r>
            <a:rPr lang="en-IN" sz="1100" baseline="0">
              <a:solidFill>
                <a:srgbClr val="C00000"/>
              </a:solidFill>
            </a:rPr>
            <a:t>us . </a:t>
          </a:r>
          <a:r>
            <a:rPr lang="en-IN" sz="1200" baseline="0">
              <a:solidFill>
                <a:srgbClr val="C00000"/>
              </a:solidFill>
            </a:rPr>
            <a:t>this data gives us the following imformation .  from the country wise bar graph we have count of females 728 from India ,7 from canada,2 from Germany,5 females fron UAE. Also we have males data 12 from Canada, 5 from Germany,1047 from India,9 from UAE,2 from USA . and omly one transgender responded to our survey . </a:t>
          </a:r>
        </a:p>
        <a:p>
          <a:pPr algn="l"/>
          <a:r>
            <a:rPr lang="en-IN" sz="1200" baseline="0">
              <a:solidFill>
                <a:srgbClr val="C00000"/>
              </a:solidFill>
            </a:rPr>
            <a:t>2]. we ask a question to GenZ .can you wish to go out of country for the higher education most of females says we will earn and then do it happen .most of males give responce after earn i will .32%percent says i would not persuing higher education .</a:t>
          </a:r>
        </a:p>
        <a:p>
          <a:pPr algn="l"/>
          <a:r>
            <a:rPr lang="en-IN" sz="1200" baseline="0">
              <a:solidFill>
                <a:srgbClr val="C00000"/>
              </a:solidFill>
            </a:rPr>
            <a:t>3]. For next question the most of the Females thought practically we will work for 3 or more years in a same company if company is right for us .and  some responded  yes we will work .</a:t>
          </a:r>
          <a:r>
            <a:rPr lang="en-IN" sz="1100" baseline="0">
              <a:solidFill>
                <a:srgbClr val="C00000"/>
              </a:solidFill>
              <a:effectLst/>
              <a:latin typeface="+mn-lt"/>
              <a:ea typeface="+mn-ea"/>
              <a:cs typeface="+mn-cs"/>
            </a:rPr>
            <a:t> most of mens thought practically we will work for 3 or more years in a same company if company is right for us .and  most of  responded  yes we will work after the 3 year in same company .</a:t>
          </a:r>
        </a:p>
        <a:p>
          <a:pPr algn="l"/>
          <a:r>
            <a:rPr lang="en-IN" sz="1100" baseline="0">
              <a:solidFill>
                <a:srgbClr val="C00000"/>
              </a:solidFill>
              <a:effectLst/>
              <a:latin typeface="+mn-lt"/>
              <a:ea typeface="+mn-ea"/>
              <a:cs typeface="+mn-cs"/>
            </a:rPr>
            <a:t>4]. As per our analysis most of females get inspired by their parents.and soe by seeing the others work and very least inspired by the social media.most of males also inspired by their parents and more males inspired by their peoples they see in their environment. </a:t>
          </a:r>
        </a:p>
        <a:p>
          <a:pPr algn="l"/>
          <a:r>
            <a:rPr lang="en-IN" sz="1100" baseline="0">
              <a:solidFill>
                <a:srgbClr val="C00000"/>
              </a:solidFill>
              <a:effectLst/>
              <a:latin typeface="+mn-lt"/>
              <a:ea typeface="+mn-ea"/>
              <a:cs typeface="+mn-cs"/>
            </a:rPr>
            <a:t>5]. most of females like to work in a full hybrid envirionment to travel when we need .some  also like the office environment . most of like that hybrid work with few days office work.most of males like the the hybrid environment with some office days.  some of males like the fully office environment . transgender like the fully office environment . </a:t>
          </a:r>
        </a:p>
        <a:p>
          <a:pPr algn="l"/>
          <a:r>
            <a:rPr lang="en-IN" sz="1100" baseline="0">
              <a:solidFill>
                <a:srgbClr val="C00000"/>
              </a:solidFill>
              <a:effectLst/>
              <a:latin typeface="+mn-lt"/>
              <a:ea typeface="+mn-ea"/>
              <a:cs typeface="+mn-cs"/>
            </a:rPr>
            <a:t>6].both males and female prefer manager who </a:t>
          </a:r>
          <a:r>
            <a:rPr lang="en-IN" sz="1100" b="0" i="0" u="none" strike="noStrike">
              <a:solidFill>
                <a:srgbClr val="C00000"/>
              </a:solidFill>
              <a:effectLst/>
              <a:latin typeface="+mn-lt"/>
              <a:ea typeface="+mn-ea"/>
              <a:cs typeface="+mn-cs"/>
            </a:rPr>
            <a:t>Manager who explains what is expected, sets a goal and helps achieve it</a:t>
          </a:r>
          <a:r>
            <a:rPr lang="en-IN">
              <a:solidFill>
                <a:srgbClr val="C00000"/>
              </a:solidFill>
            </a:rPr>
            <a:t> .and very few prefer very realiastic target giving manager . and prefer</a:t>
          </a:r>
          <a:r>
            <a:rPr lang="en-IN" baseline="0">
              <a:solidFill>
                <a:srgbClr val="C00000"/>
              </a:solidFill>
            </a:rPr>
            <a:t> the the manager who helps to achieve the target.</a:t>
          </a:r>
        </a:p>
        <a:p>
          <a:pPr algn="l"/>
          <a:r>
            <a:rPr lang="en-IN" sz="1100" baseline="0">
              <a:solidFill>
                <a:srgbClr val="C00000"/>
              </a:solidFill>
              <a:effectLst/>
              <a:latin typeface="+mn-lt"/>
              <a:ea typeface="+mn-ea"/>
              <a:cs typeface="+mn-cs"/>
            </a:rPr>
            <a:t>7]. most of the the responder of the survey prefer the employe who </a:t>
          </a:r>
          <a:r>
            <a:rPr lang="en-IN" sz="1100" b="0" i="0" u="none" strike="noStrike">
              <a:solidFill>
                <a:srgbClr val="C00000"/>
              </a:solidFill>
              <a:effectLst/>
              <a:latin typeface="+mn-lt"/>
              <a:ea typeface="+mn-ea"/>
              <a:cs typeface="+mn-cs"/>
            </a:rPr>
            <a:t>pushes your limits by enabling an learning environment, and rewards you at the end</a:t>
          </a:r>
          <a:r>
            <a:rPr lang="en-IN">
              <a:solidFill>
                <a:srgbClr val="C00000"/>
              </a:solidFill>
            </a:rPr>
            <a:t> .second most people responds that they prefer the </a:t>
          </a:r>
          <a:r>
            <a:rPr lang="en-IN" sz="1100" b="0" i="0" u="none" strike="noStrike">
              <a:solidFill>
                <a:srgbClr val="C00000"/>
              </a:solidFill>
              <a:effectLst/>
              <a:latin typeface="+mn-lt"/>
              <a:ea typeface="+mn-ea"/>
              <a:cs typeface="+mn-cs"/>
            </a:rPr>
            <a:t>Employer who appreciates learning and enables that environment</a:t>
          </a:r>
          <a:r>
            <a:rPr lang="en-IN">
              <a:solidFill>
                <a:srgbClr val="C00000"/>
              </a:solidFill>
            </a:rPr>
            <a:t> . </a:t>
          </a:r>
          <a:endParaRPr lang="en-IN" sz="1100" baseline="0">
            <a:solidFill>
              <a:srgbClr val="C00000"/>
            </a:solidFill>
            <a:effectLst/>
            <a:latin typeface="+mn-lt"/>
            <a:ea typeface="+mn-ea"/>
            <a:cs typeface="+mn-cs"/>
          </a:endParaRPr>
        </a:p>
      </xdr:txBody>
    </xdr:sp>
    <xdr:clientData/>
  </xdr:twoCellAnchor>
  <xdr:twoCellAnchor editAs="oneCell">
    <xdr:from>
      <xdr:col>6</xdr:col>
      <xdr:colOff>2692400</xdr:colOff>
      <xdr:row>0</xdr:row>
      <xdr:rowOff>152400</xdr:rowOff>
    </xdr:from>
    <xdr:to>
      <xdr:col>7</xdr:col>
      <xdr:colOff>1231900</xdr:colOff>
      <xdr:row>21</xdr:row>
      <xdr:rowOff>114300</xdr:rowOff>
    </xdr:to>
    <mc:AlternateContent xmlns:mc="http://schemas.openxmlformats.org/markup-compatibility/2006" xmlns:a14="http://schemas.microsoft.com/office/drawing/2010/main">
      <mc:Choice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132800" y="152400"/>
              <a:ext cx="2781300"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45</xdr:row>
      <xdr:rowOff>0</xdr:rowOff>
    </xdr:from>
    <xdr:to>
      <xdr:col>5</xdr:col>
      <xdr:colOff>3670300</xdr:colOff>
      <xdr:row>45</xdr:row>
      <xdr:rowOff>25400</xdr:rowOff>
    </xdr:to>
    <xdr:cxnSp macro="">
      <xdr:nvCxnSpPr>
        <xdr:cNvPr id="15" name="Straight Connector 14"/>
        <xdr:cNvCxnSpPr/>
      </xdr:nvCxnSpPr>
      <xdr:spPr>
        <a:xfrm>
          <a:off x="38100" y="7429500"/>
          <a:ext cx="17754600" cy="25400"/>
        </a:xfrm>
        <a:prstGeom prst="line">
          <a:avLst/>
        </a:prstGeom>
        <a:ln>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25400</xdr:colOff>
      <xdr:row>22</xdr:row>
      <xdr:rowOff>0</xdr:rowOff>
    </xdr:from>
    <xdr:to>
      <xdr:col>7</xdr:col>
      <xdr:colOff>3098800</xdr:colOff>
      <xdr:row>22</xdr:row>
      <xdr:rowOff>50800</xdr:rowOff>
    </xdr:to>
    <xdr:cxnSp macro="">
      <xdr:nvCxnSpPr>
        <xdr:cNvPr id="18" name="Straight Connector 17"/>
        <xdr:cNvCxnSpPr/>
      </xdr:nvCxnSpPr>
      <xdr:spPr>
        <a:xfrm>
          <a:off x="25400" y="3632200"/>
          <a:ext cx="25755600" cy="50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NNY" refreshedDate="45056.411253240738" createdVersion="6" refreshedVersion="6" minRefreshableVersion="3" recordCount="1842">
  <cacheSource type="worksheet">
    <worksheetSource ref="A1:P1843" sheet="Sheet1"/>
  </cacheSource>
  <cacheFields count="16">
    <cacheField name="Timestamp" numFmtId="164">
      <sharedItems containsSemiMixedTypes="0" containsNonDate="0" containsDate="1" containsString="0" minDate="2022-12-16T11:46:06" maxDate="2023-05-09T07:27:39"/>
    </cacheField>
    <cacheField name="country" numFmtId="0">
      <sharedItems count="7">
        <s v="India"/>
        <s v="UAE"/>
        <s v="Germany"/>
        <s v="Canada"/>
        <s v="Nigeria"/>
        <s v="Others"/>
        <s v="Usa"/>
      </sharedItems>
    </cacheField>
    <cacheField name="pin code" numFmtId="0">
      <sharedItems containsMixedTypes="1" containsNumber="1" containsInteger="1" minValue="7" maxValue="855107" count="1121">
        <n v="273005"/>
        <n v="851129"/>
        <n v="123106"/>
        <n v="834003"/>
        <n v="301019"/>
        <n v="768028"/>
        <n v="722207"/>
        <n v="400022"/>
        <n v="201310"/>
        <n v="679121"/>
        <n v="639111"/>
        <n v="136119"/>
        <n v="678104"/>
        <n v="560024"/>
        <n v="560064"/>
        <n v="561203"/>
        <n v="515201"/>
        <n v="211002"/>
        <n v="577002"/>
        <n v="673020"/>
        <n v="680613"/>
        <n v="852201"/>
        <n v="731021"/>
        <n v="303007"/>
        <n v="27287"/>
        <n v="700063"/>
        <n v="577528"/>
        <n v="122003"/>
        <n v="440002"/>
        <n v="465674"/>
        <n v="577004"/>
        <n v="826004"/>
        <n v="515003"/>
        <n v="496001"/>
        <n v="713104"/>
        <n v="416001"/>
        <n v="110088"/>
        <n v="110016"/>
        <n v="131001"/>
        <n v="505001"/>
        <n v="600064"/>
        <n v="600129"/>
        <n v="263126"/>
        <n v="781008"/>
        <n v="785001"/>
        <n v="629004"/>
        <n v="600089"/>
        <n v="500005"/>
        <n v="452007"/>
        <n v="782001"/>
        <n v="248001"/>
        <n v="852218"/>
        <n v="411038"/>
        <n v="282007"/>
        <n v="207001"/>
        <n v="425301"/>
        <n v="828122"/>
        <n v="244901"/>
        <n v="641021"/>
        <n v="560060"/>
        <n v="560098"/>
        <n v="457001"/>
        <n v="524412"/>
        <n v="110059"/>
        <n v="425001"/>
        <n v="851101"/>
        <n v="431009"/>
        <n v="828109"/>
        <n v="224001"/>
        <n v="110092"/>
        <n v="500018"/>
        <n v="533342"/>
        <n v="600053"/>
        <n v="370110"/>
        <n v="110017"/>
        <n v="574111"/>
        <n v="576104"/>
        <n v="246701"/>
        <n v="520007"/>
        <n v="641663"/>
        <n v="84321"/>
        <n v="607104"/>
        <n v="609305"/>
        <n v="560029"/>
        <n v="400013"/>
        <n v="431109"/>
        <n v="133001"/>
        <n v="852131"/>
        <n v="560072"/>
        <n v="410206"/>
        <n v="83024"/>
        <n v="474009"/>
        <n v="400101"/>
        <n v="560090"/>
        <n v="380015"/>
        <n v="700111"/>
        <n v="281001"/>
        <n v="517112"/>
        <n v="711315"/>
        <n v="400012"/>
        <n v="500072"/>
        <n v="751010"/>
        <n v="425401"/>
        <n v="425002"/>
        <n v="760001"/>
        <n v="226023"/>
        <n v="560077"/>
        <n v="302039"/>
        <n v="81827"/>
        <n v="121003"/>
        <n v="101201"/>
        <n v="605401"/>
        <n v="753003"/>
        <n v="416509"/>
        <n v="400099"/>
        <n v="301001"/>
        <n v="302017"/>
        <n v="560096"/>
        <n v="431005"/>
        <n v="620005"/>
        <n v="786001"/>
        <n v="422010"/>
        <n v="110044"/>
        <n v="700156"/>
        <n v="824003"/>
        <n v="410505"/>
        <n v="151110"/>
        <n v="721445"/>
        <n v="251309"/>
        <n v="713216"/>
        <n v="670102"/>
        <n v="721302"/>
        <n v="382421"/>
        <n v="600016"/>
        <n v="560037"/>
        <n v="122011"/>
        <n v="121001"/>
        <n v="363310"/>
        <n v="382010"/>
        <n v="394210"/>
        <n v="382024"/>
        <n v="721101"/>
        <n v="503175"/>
        <n v="533103"/>
        <n v="382042"/>
        <n v="600036"/>
        <n v="605110"/>
        <n v="800009"/>
        <n v="248002"/>
        <n v="845438"/>
        <n v="800006"/>
        <n v="800024"/>
        <n v="502285"/>
        <n v="365541"/>
        <n v="424206"/>
        <n v="122004"/>
        <n v="412308"/>
        <n v="500001"/>
        <n v="670504"/>
        <n v="301018"/>
        <n v="680307"/>
        <n v="607102"/>
        <n v="680586"/>
        <n v="431001"/>
        <n v="411046"/>
        <n v="431105"/>
        <n v="110024"/>
        <n v="500028"/>
        <n v="413525"/>
        <n v="691505"/>
        <n v="673507"/>
        <n v="796701"/>
        <n v="1234"/>
        <n v="605501"/>
        <n v="604102"/>
        <n v="605102"/>
        <n v="607402"/>
        <n v="605003"/>
        <n v="607003"/>
        <n v="605008"/>
        <n v="2004"/>
        <n v="605005"/>
        <n v="605007"/>
        <n v="605009"/>
        <n v="605014"/>
        <n v="605107"/>
        <n v="605001"/>
        <n v="442406"/>
        <n v="605101"/>
        <n v="122002"/>
        <n v="607001"/>
        <n v="500026"/>
        <n v="500030"/>
        <n v="462043"/>
        <n v="605004"/>
        <n v="700041"/>
        <n v="828114"/>
        <n v="85368"/>
        <n v="81369"/>
        <n v="81241"/>
        <n v="176022"/>
        <s v="N2H6M6"/>
        <n v="500078"/>
        <n v="305901"/>
        <n v="385001"/>
        <n v="380052"/>
        <n v="576213"/>
        <n v="385210"/>
        <n v="575007"/>
        <n v="574141"/>
        <n v="576221"/>
        <n v="574227"/>
        <n v="576106"/>
        <n v="420"/>
        <n v="576210"/>
        <n v="574102"/>
        <n v="385120"/>
        <n v="605601"/>
        <n v="607301"/>
        <n v="576229"/>
        <n v="574611"/>
        <n v="574103"/>
        <n v="385520"/>
        <n v="442401"/>
        <n v="576215"/>
        <n v="401107"/>
        <n v="400028"/>
        <n v="574214"/>
        <n v="576101"/>
        <n v="210424"/>
        <n v="600100"/>
        <n v="210427"/>
        <n v="828120"/>
        <n v="743127"/>
        <s v="N9B2K9"/>
        <n v="814112"/>
        <n v="147001"/>
        <s v="S4s6a6"/>
        <n v="431601"/>
        <n v="627004"/>
        <n v="400016"/>
        <n v="600069"/>
        <n v="342005"/>
        <n v="636701"/>
        <n v="600007"/>
        <n v="400070"/>
        <n v="521001"/>
        <n v="411033"/>
        <n v="263153"/>
        <n v="110027"/>
        <n v="145001"/>
        <n v="520013"/>
        <s v="UTC+01"/>
        <n v="201304"/>
        <n v="383007"/>
        <n v="638012"/>
        <n v="560010"/>
        <n v="411048"/>
        <n v="283203"/>
        <n v="206001"/>
        <n v="560067"/>
        <n v="641602"/>
        <n v="465614"/>
        <n v="560015"/>
        <n v="401105"/>
        <n v="500010"/>
        <n v="534003"/>
        <n v="534001"/>
        <n v="534462"/>
        <n v="503003"/>
        <n v="516401"/>
        <n v="473551"/>
        <n v="522647"/>
        <n v="500083"/>
        <n v="305001"/>
        <n v="110034"/>
        <n v="760009"/>
        <n v="500062"/>
        <n v="560100"/>
        <n v="490006"/>
        <n v="834001"/>
        <n v="441111"/>
        <n v="631052"/>
        <n v="416520"/>
        <n v="632301"/>
        <n v="641046"/>
        <n v="394230"/>
        <n v="44023"/>
        <n v="620017"/>
        <n v="500032"/>
        <n v="600083"/>
        <n v="560016"/>
        <n v="560083"/>
        <n v="250001"/>
        <n v="560034"/>
        <n v="641004"/>
        <n v="452003"/>
        <n v="560049"/>
        <n v="335526"/>
        <n v="58000"/>
        <n v="400078"/>
        <n v="411028"/>
        <n v="132001"/>
        <n v="624005"/>
        <n v="382424"/>
        <n v="226016"/>
        <n v="110077"/>
        <n v="442902"/>
        <n v="530032"/>
        <n v="412207"/>
        <n v="627002"/>
        <n v="721506"/>
        <n v="600091"/>
        <n v="641028"/>
        <s v="+91"/>
        <n v="600014"/>
        <n v="671315"/>
        <n v="500079"/>
        <n v="2151"/>
        <n v="670014"/>
        <n v="390009"/>
        <n v="560066"/>
        <n v="421301"/>
        <s v="02-414"/>
        <n v="500008"/>
        <n v="400083"/>
        <n v="627357"/>
        <n v="500036"/>
        <n v="440036"/>
        <n v="500060"/>
        <n v="560076"/>
        <n v="560003"/>
        <n v="400042"/>
        <n v="641005"/>
        <n v="201305"/>
        <n v="509209"/>
        <n v="501505"/>
        <n v="442906"/>
        <n v="508213"/>
        <n v="500070"/>
        <n v="600056"/>
        <n v="312"/>
        <n v="500068"/>
        <n v="500097"/>
        <n v="400043"/>
        <n v="500048"/>
        <n v="600125"/>
        <n v="131028"/>
        <n v="560092"/>
        <n v="603210"/>
        <n v="501510"/>
        <n v="641017"/>
        <n v="71"/>
        <n v="602105"/>
        <n v="682027"/>
        <n v="500035"/>
        <n v="624601"/>
        <n v="516003"/>
        <n v="500080"/>
        <n v="500037"/>
        <n v="400067"/>
        <n v="50090"/>
        <n v="500045"/>
        <n v="400037"/>
        <n v="500052"/>
        <n v="500090"/>
        <n v="400077"/>
        <n v="600123"/>
        <n v="580031"/>
        <n v="560018"/>
        <n v="641011"/>
        <n v="500085"/>
        <n v="121012"/>
        <n v="400097"/>
        <n v="201306"/>
        <n v="501023"/>
        <n v="209305"/>
        <n v="249407"/>
        <n v="500019"/>
        <n v="509375"/>
        <n v="641659"/>
        <n v="50006"/>
        <n v="201009"/>
        <n v="517101"/>
        <n v="679101"/>
        <n v="517501"/>
        <s v="Bts "/>
        <n v="518563"/>
        <n v="600092"/>
        <n v="453331"/>
        <n v="600127"/>
        <n v="470002"/>
        <n v="560078"/>
        <n v="122001"/>
        <n v="400053"/>
        <n v="517502"/>
        <n v="452013"/>
        <n v="364001"/>
        <n v="382340"/>
        <n v="831015"/>
        <n v="422003"/>
        <n v="831006"/>
        <n v="832110"/>
        <n v="831016"/>
        <n v="831001"/>
        <n v="414"/>
        <n v="452001"/>
        <n v="452012"/>
        <n v="621216"/>
        <n v="620003"/>
        <n v="625009"/>
        <n v="670561"/>
        <n v="600044"/>
        <n v="485001"/>
        <n v="635109"/>
        <n v="360001"/>
        <n v="620008"/>
        <n v="626108"/>
        <n v="380007"/>
        <n v="631101"/>
        <n v="626136"/>
        <n v="530024"/>
        <n v="606601"/>
        <n v="522006"/>
        <n v="523301"/>
        <n v="500089"/>
        <n v="517583"/>
        <n v="641015"/>
        <n v="603203"/>
        <n v="630562"/>
        <n v="577204"/>
        <n v="641062"/>
        <n v="621218"/>
        <n v="442501"/>
        <n v="670301"/>
        <n v="400607"/>
        <n v="632515"/>
        <n v="516329"/>
        <n v="620001"/>
        <n v="600116"/>
        <n v="793002"/>
        <n v="122022"/>
        <n v="620002"/>
        <n v="574106"/>
        <n v="752050"/>
        <n v="781015"/>
        <n v="380008"/>
        <n v="600073"/>
        <n v="401202"/>
        <n v="620102"/>
        <n v="711102"/>
        <n v="520015"/>
        <n v="842002"/>
        <n v="208027"/>
        <n v="522503"/>
        <n v="535125"/>
        <n v="91"/>
        <n v="678732"/>
        <n v="400064"/>
        <s v="SY23"/>
        <n v="440014"/>
        <n v="400059"/>
        <n v="600088"/>
        <n v="641402"/>
        <n v="400075"/>
        <n v="58200"/>
        <n v="452002"/>
        <n v="522101"/>
        <n v="560023"/>
        <n v="560004"/>
        <n v="603103"/>
        <n v="144003"/>
        <n v="800003"/>
        <n v="380058"/>
        <n v="411040"/>
        <n v="631209"/>
        <n v="364002"/>
        <n v="500088"/>
        <n v="524002"/>
        <n v="20201"/>
        <n v="800001"/>
        <n v="515571"/>
        <n v="517503"/>
        <n v="602024"/>
        <n v="422101"/>
        <n v="517592"/>
        <n v="600099"/>
        <n v="517123"/>
        <n v="560065"/>
        <n v="518501"/>
        <n v="632007"/>
        <n v="515721"/>
        <n v="577201"/>
        <n v="510101"/>
        <n v="400072"/>
        <n v="620011"/>
        <n v="673005"/>
        <n v="507002"/>
        <n v="314025"/>
        <n v="382418"/>
        <s v="01-923"/>
        <n v="670562"/>
        <n v="560094"/>
        <n v="560050"/>
        <n v="577127"/>
        <n v="151001"/>
        <s v="N5v3c4"/>
        <n v="441009"/>
        <n v="445402"/>
        <n v="395009"/>
        <n v="462041"/>
        <n v="680508"/>
        <n v="670011"/>
        <n v="721422"/>
        <n v="400610"/>
        <n v="201301"/>
        <n v="110008"/>
        <n v="110067"/>
        <n v="110078"/>
        <n v="122102"/>
        <n v="110022"/>
        <n v="110030"/>
        <n v="201014"/>
        <n v="110040"/>
        <n v="110066"/>
        <n v="342001"/>
        <n v="110045"/>
        <n v="855107"/>
        <n v="521002"/>
        <n v="442001"/>
        <n v="521165"/>
        <n v="560028"/>
        <n v="641045"/>
        <n v="521163"/>
        <n v="431810"/>
        <n v="110057"/>
        <n v="110085"/>
        <n v="110018"/>
        <n v="515775"/>
        <n v="122010"/>
        <n v="535218"/>
        <n v="400086"/>
        <n v="61455"/>
        <n v="507115"/>
        <n v="380054"/>
        <n v="507001"/>
        <n v="380006"/>
        <n v="380026"/>
        <n v="2911"/>
        <n v="173212"/>
        <n v="110001"/>
        <n v="110063"/>
        <n v="641035"/>
        <n v="382330"/>
        <n v="621214"/>
        <n v="500086"/>
        <n v="623525"/>
        <n v="522236"/>
        <n v="411060"/>
        <n v="500049"/>
        <n v="523001"/>
        <n v="380001"/>
        <n v="57001"/>
        <n v="421306"/>
        <n v="440024"/>
        <n v="522001"/>
        <n v="400709"/>
        <s v="000000"/>
        <n v="400068"/>
        <n v="44114"/>
        <n v="522212"/>
        <s v="02-781"/>
        <n v="641105"/>
        <n v="400603"/>
        <n v="670002"/>
        <n v="751012"/>
        <n v="688529"/>
        <n v="190020"/>
        <n v="500074"/>
        <n v="247667"/>
        <n v="625010"/>
        <n v="560043"/>
        <n v="533001"/>
        <n v="612001"/>
        <n v="441002"/>
        <n v="221103"/>
        <n v="221010"/>
        <n v="251001"/>
        <n v="203001"/>
        <n v="522508"/>
        <n v="243006"/>
        <n v="110076"/>
        <n v="227405"/>
        <n v="110084"/>
        <s v="0129"/>
        <n v="560087"/>
        <n v="517510"/>
        <n v="99010"/>
        <n v="110053"/>
        <n v="283204"/>
        <n v="560093"/>
        <n v="245304"/>
        <n v="226010"/>
        <n v="600130"/>
        <n v="560055"/>
        <n v="400084"/>
        <n v="452016"/>
        <n v="211001"/>
        <n v="500041"/>
        <n v="600031"/>
        <n v="440009"/>
        <n v="60020"/>
        <n v="400701"/>
        <n v="400024"/>
        <n v="201002"/>
        <n v="201309"/>
        <n v="482020"/>
        <n v="500056"/>
        <s v="00000"/>
        <n v="400601"/>
        <n v="781013"/>
        <n v="400029"/>
        <n v="500073"/>
        <n v="441601"/>
        <n v="400066"/>
        <n v="700102"/>
        <n v="313001"/>
        <n v="500039"/>
        <n v="580023"/>
        <n v="515211"/>
        <n v="75400"/>
        <n v="134109"/>
        <n v="751007"/>
        <n v="700091"/>
        <n v="600015"/>
        <n v="530051"/>
        <n v="600095"/>
        <n v="522202"/>
        <n v="110058"/>
        <n v="110089"/>
        <n v="600117"/>
        <n v="600042"/>
        <n v="753010"/>
        <n v="410203"/>
        <n v="152025"/>
        <n v="400018"/>
        <n v="583104"/>
        <n v="92"/>
        <n v="571201"/>
        <n v="641007"/>
        <n v="121002"/>
        <n v="231001"/>
        <n v="628901"/>
        <n v="382002"/>
        <s v="K0AK4P"/>
        <s v="-"/>
        <n v="505327"/>
        <n v="575013"/>
        <n v="411902"/>
        <n v="110096"/>
        <n v="250002"/>
        <n v="462021"/>
        <n v="40095"/>
        <n v="110043"/>
        <n v="560061"/>
        <n v="10317"/>
        <n v="603209"/>
        <n v="110026"/>
        <n v="6054"/>
        <n v="440008"/>
        <n v="441207"/>
        <n v="431203"/>
        <n v="411047"/>
        <n v="431133"/>
        <n v="560075"/>
        <n v="226201"/>
        <n v="570003"/>
        <n v="411041"/>
        <n v="201204"/>
        <n v="503001"/>
        <n v="453441"/>
        <n v="761001"/>
        <n v="440030"/>
        <n v="509216"/>
        <n v="781012"/>
        <n v="560036"/>
        <n v="500077"/>
        <n v="364710"/>
        <n v="492001"/>
        <n v="382028"/>
        <n v="534134"/>
        <n v="247776"/>
        <n v="508223"/>
        <n v="484551"/>
        <n v="560038"/>
        <n v="508284"/>
        <n v="805125"/>
        <n v="247554"/>
        <n v="80078"/>
        <n v="500092"/>
        <n v="500016"/>
        <n v="509385"/>
        <n v="501504"/>
        <n v="506002"/>
        <n v="564114"/>
        <n v="741121"/>
        <n v="755051"/>
        <n v="506315"/>
        <n v="500053"/>
        <n v="402030"/>
        <n v="503201"/>
        <n v="759107"/>
        <n v="560091"/>
        <n v="425310"/>
        <n v="251201"/>
        <n v="600025"/>
        <n v="500076"/>
        <n v="263139"/>
        <n v="600107"/>
        <n v="831013"/>
        <n v="462030"/>
        <n v="492008"/>
        <n v="411027"/>
        <n v="191103"/>
        <n v="530028"/>
        <n v="533201"/>
        <n v="500081"/>
        <n v="500034"/>
        <n v="440026"/>
        <n v="466001"/>
        <n v="533210"/>
        <n v="496661"/>
        <n v="493221"/>
        <n v="520003"/>
        <n v="560103"/>
        <n v="176215"/>
        <n v="611001"/>
        <n v="535145"/>
        <n v="535003"/>
        <n v="502279"/>
        <n v="500075"/>
        <n v="679102"/>
        <n v="533222"/>
        <n v="768017"/>
        <n v="500006"/>
        <n v="440035"/>
        <n v="390023"/>
        <n v="509110"/>
        <n v="679103"/>
        <n v="500007"/>
        <n v="803110"/>
        <n v="401303"/>
        <n v="90001"/>
        <n v="440018"/>
        <n v="760004"/>
        <n v="121009"/>
        <n v="490023"/>
        <n v="524001"/>
        <n v="600122"/>
        <n v="600049"/>
        <n v="500047"/>
        <s v="GL50"/>
        <n v="501218"/>
        <n v="530046"/>
        <n v="530029"/>
        <n v="530007"/>
        <s v="Lahari"/>
        <n v="221304"/>
        <n v="110025"/>
        <n v="243001"/>
        <n v="500098"/>
        <n v="534197"/>
        <n v="500082"/>
        <n v="395006"/>
        <n v="500054"/>
        <n v="4701"/>
        <n v="531031"/>
        <n v="533435"/>
        <n v="403801"/>
        <n v="424307"/>
        <n v="201303"/>
        <n v="515122"/>
        <n v="530026"/>
        <n v="143602"/>
        <n v="562106"/>
        <n v="581336"/>
        <n v="423203"/>
        <n v="534002"/>
        <n v="560068"/>
        <n v="530002"/>
        <n v="560079"/>
        <n v="110091"/>
        <n v="533005"/>
        <n v="501301"/>
        <n v="562112"/>
        <n v="462001"/>
        <n v="799006"/>
        <n v="111111"/>
        <n v="700157"/>
        <n v="700056"/>
        <n v="700036"/>
        <n v="560047"/>
        <n v="400049"/>
        <n v="741101"/>
        <n v="700028"/>
        <n v="700060"/>
        <n v="530040"/>
        <n v="563132"/>
        <n v="757001"/>
        <n v="700040"/>
        <n v="700039"/>
        <n v="563106"/>
        <n v="247001"/>
        <n v="208001"/>
        <n v="530001"/>
        <n v="826001"/>
        <n v="533211"/>
        <n v="421302"/>
        <n v="793006"/>
        <n v="700086"/>
        <n v="414003"/>
        <n v="500084"/>
        <n v="560062"/>
        <n v="700053"/>
        <n v="570031"/>
        <n v="825301"/>
        <n v="682316"/>
        <n v="440034"/>
        <n v="390022"/>
        <n v="560020"/>
        <n v="124001"/>
        <n v="390019"/>
        <n v="110093"/>
        <n v="828105"/>
        <n v="244412"/>
        <n v="700032"/>
        <n v="508210"/>
        <n v="700006"/>
        <n v="637404"/>
        <n v="854305"/>
        <n v="221011"/>
        <n v="396436"/>
        <n v="506167"/>
        <n v="324005"/>
        <n v="411057"/>
        <n v="534245"/>
        <n v="533448"/>
        <n v="413001"/>
        <n v="518512"/>
        <n v="506314"/>
        <n v="421503"/>
        <n v="700029"/>
        <n v="400009"/>
        <n v="411044"/>
        <n v="440013"/>
        <n v="221405"/>
        <n v="411058"/>
        <n v="520012"/>
        <n v="535002"/>
        <n v="638401"/>
        <n v="500040"/>
        <n v="641006"/>
        <n v="600097"/>
        <n v="642114"/>
        <n v="122016"/>
        <n v="631151"/>
        <n v="110006"/>
        <n v="410210"/>
        <n v="603102"/>
        <n v="828307"/>
        <n v="600032"/>
        <n v="89"/>
        <n v="201003"/>
        <n v="122101"/>
        <n v="21228"/>
        <n v="522007"/>
        <n v="636302"/>
        <n v="482003"/>
        <n v="760002"/>
        <n v="600033"/>
        <n v="505208"/>
        <n v="637107"/>
        <n v="678706"/>
        <n v="506366"/>
        <n v="627117"/>
        <n v="226017"/>
        <n v="201013"/>
        <n v="505209"/>
        <n v="508111"/>
        <n v="635801"/>
        <n v="508234"/>
        <n v="560073"/>
        <n v="759001"/>
        <n v="600005"/>
        <n v="500013"/>
        <n v="765002"/>
        <n v="560107"/>
        <n v="505122"/>
        <n v="763002"/>
        <n v="600054"/>
        <n v="600119"/>
        <n v="700082"/>
        <n v="530004"/>
        <n v="190015"/>
        <n v="110062"/>
        <n v="804453"/>
        <n v="560022"/>
        <n v="500020"/>
        <n v="192202"/>
        <n v="847211"/>
        <n v="144021"/>
        <n v="690514"/>
        <n v="110009"/>
        <n v="603001"/>
        <n v="530016"/>
        <n v="753001"/>
        <n v="530072"/>
        <n v="502032"/>
        <n v="607803"/>
        <n v="509334"/>
        <n v="531034"/>
        <n v="503110"/>
        <n v="192301"/>
        <n v="424001"/>
        <n v="600041"/>
        <n v="191101"/>
        <n v="563125"/>
        <n v="505211"/>
        <n v="713103"/>
        <n v="411014"/>
        <n v="68"/>
        <n v="411032"/>
        <n v="841221"/>
        <n v="803302"/>
        <n v="201308"/>
        <n v="803303"/>
        <n v="246174"/>
        <n v="452010"/>
        <n v="411007"/>
        <n v="606603"/>
        <n v="765022"/>
        <n v="562107"/>
        <n v="638004"/>
        <n v="400074"/>
        <n v="695033"/>
        <n v="500043"/>
        <n v="505460"/>
        <n v="224135"/>
        <n v="628552"/>
        <n v="201010"/>
        <n v="587102"/>
        <n v="147003"/>
        <n v="600087"/>
        <n v="560039"/>
        <n v="571401"/>
        <n v="571128"/>
        <n v="208017"/>
        <n v="146109"/>
        <n v="731204"/>
        <n v="454775"/>
        <n v="40089"/>
        <n v="122052"/>
        <n v="560048"/>
        <n v="440023"/>
        <n v="431122"/>
        <n v="530068"/>
        <n v="313002"/>
        <n v="400102"/>
        <s v="PR17QS"/>
        <n v="400008"/>
        <n v="242401"/>
        <n v="370465"/>
        <n v="421103"/>
        <n v="590005"/>
        <n v="400103"/>
        <n v="456010"/>
        <n v="142026"/>
        <n v="456006"/>
        <n v="731130"/>
        <n v="781014"/>
        <n v="144602"/>
        <n v="452009"/>
        <n v="713212"/>
        <n v="641183"/>
        <n v="560001"/>
        <n v="122008"/>
        <n v="160062"/>
        <n v="400703"/>
        <n v="110019"/>
        <n v="533262"/>
        <n v="400050"/>
        <n v="700118"/>
        <n v="605010"/>
        <n v="2145"/>
        <n v="600004"/>
        <s v="V5Z3G7"/>
        <n v="500003"/>
        <n v="110060"/>
        <n v="500009"/>
        <n v="500057"/>
        <n v="500029"/>
        <n v="500094"/>
        <n v="522501"/>
        <n v="125111"/>
        <n v="505524"/>
        <n v="508101"/>
        <n v="828116"/>
        <n v="500011"/>
        <s v="Xxxxx"/>
        <s v="H3X2V2"/>
        <n v="421201"/>
        <s v="Xxxx"/>
        <n v="462042"/>
        <s v="H3N1W9"/>
        <n v="78363"/>
        <s v="H3S"/>
        <n v="509301"/>
        <n v="581301"/>
        <n v="43002"/>
        <n v="110003"/>
        <n v="495001"/>
        <n v="473001"/>
        <n v="27606"/>
        <n v="828302"/>
        <n v="515002"/>
        <n v="518003"/>
        <n v="524004"/>
        <n v="516434"/>
        <s v="0000"/>
        <n v="751002"/>
        <n v="470001"/>
        <n v="18"/>
        <n v="500091"/>
        <s v="V4C4G1"/>
        <n v="110007"/>
        <n v="160002"/>
        <n v="571301"/>
        <s v="M3J0E5"/>
        <n v="605013"/>
        <n v="518395"/>
        <n v="395004"/>
        <n v="394327"/>
        <n v="231304"/>
        <n v="600504"/>
        <n v="94587"/>
        <n v="686503"/>
        <n v="841230"/>
        <n v="302020"/>
        <s v="N9b2l3"/>
        <n v="110072"/>
        <n v="482001"/>
        <s v="06511"/>
        <n v="454001"/>
        <n v="621211"/>
        <n v="560045"/>
        <n v="388001"/>
        <n v="678008"/>
        <n v="572120"/>
        <n v="827012"/>
        <n v="827004"/>
        <n v="827013"/>
        <n v="160030"/>
        <n v="678001"/>
        <n v="700023"/>
        <n v="7"/>
        <n v="700000"/>
        <n v="474006"/>
        <n v="829111"/>
        <n v="382470"/>
        <n v="380005"/>
        <n v="380019"/>
        <n v="144411"/>
        <n v="515870"/>
        <n v="793007"/>
        <n v="793009"/>
        <n v="793021"/>
        <n v="411004"/>
        <n v="793001"/>
        <n v="737136"/>
        <n v="111018"/>
        <n v="794001"/>
        <n v="110070"/>
        <n v="787001"/>
        <n v="793102"/>
        <n v="307501"/>
        <n v="793005"/>
        <n v="793014"/>
        <n v="781011"/>
        <n v="560011"/>
        <n v="793017"/>
        <n v="560027"/>
        <n v="795142"/>
        <n v="571434"/>
        <n v="560008"/>
        <n v="574327"/>
        <n v="560070"/>
        <n v="560056"/>
        <n v="793012"/>
        <n v="570017"/>
        <n v="424201"/>
        <n v="641604"/>
        <n v="412201"/>
        <n v="244236"/>
        <n v="500050"/>
        <n v="202001"/>
        <n v="689595"/>
        <n v="321001"/>
        <n v="500027"/>
        <n v="421202"/>
        <n v="462002"/>
        <n v="76009"/>
        <n v="530047"/>
        <n v="766001"/>
        <n v="781024"/>
        <n v="110049"/>
        <n v="462039"/>
        <n v="587103"/>
        <s v="M1R1K4"/>
        <n v="444606"/>
        <n v="732139"/>
        <n v="637001"/>
      </sharedItems>
    </cacheField>
    <cacheField name="gender" numFmtId="0">
      <sharedItems count="3">
        <s v="Male"/>
        <s v="Female"/>
        <s v="Transgender"/>
      </sharedItems>
    </cacheField>
    <cacheField name="factors affecting" numFmtId="0">
      <sharedItems count="5">
        <s v="People who have changed the world for better"/>
        <s v="Social Media like LinkedIn"/>
        <s v="People from my circle, but not family members"/>
        <s v="Influencers who had successful careers"/>
        <s v="My Parents"/>
      </sharedItems>
    </cacheField>
    <cacheField name="how get inspiration" numFmtId="0">
      <sharedItems count="3">
        <s v="Yes, I will earn and do that"/>
        <s v="No, But if someone could bare the cost I will"/>
        <s v="No I would not be pursuing Higher Education outside of India"/>
      </sharedItems>
    </cacheField>
    <cacheField name="working in same company more than 3 years" numFmtId="0">
      <sharedItems count="4">
        <s v="This will be hard to do, but if it is the right company I would try"/>
        <s v="Will work for 3 years or more"/>
        <s v="No way, 3 years with one employer is crazy"/>
        <s v="No way"/>
      </sharedItems>
    </cacheField>
    <cacheField name="Would you work for a company whose mission is not clearly defined and publicly posted." numFmtId="0">
      <sharedItems count="2">
        <s v="No"/>
        <s v="Yes"/>
      </sharedItems>
    </cacheField>
    <cacheField name="How likely would you work for a company whose mission is misaligned with their public actions or even their product ?" numFmtId="0">
      <sharedItems count="2">
        <s v="Will NOT work for them"/>
        <s v="Will work for them"/>
      </sharedItems>
    </cacheField>
    <cacheField name="you work in company even company nnot bringing social inpact " numFmtId="0">
      <sharedItems containsSemiMixedTypes="0" containsString="0" containsNumber="1" containsInteger="1" minValue="1" maxValue="10"/>
    </cacheField>
    <cacheField name=" preferred working environment for you" numFmtId="0">
      <sharedItems count="7">
        <s v="Fully Remote with No option to visit offices"/>
        <s v="Fully Remote with Options to travel as and when needed"/>
        <s v="Hybrid Working Environment with less than 15 days a month at office"/>
        <s v="Every Day Office Environment"/>
        <s v="Hybrid Working Environment with less than 10 days a month at office"/>
        <s v="Hybrid Working Environment with less than 3 days a month at office"/>
        <s v="Hybrid Working Environment with more than 15 days a month at office"/>
      </sharedItems>
    </cacheField>
    <cacheField name="prefered employer for working" numFmtId="0">
      <sharedItems count="5">
        <s v="Employer who rewards learning and enables that environment"/>
        <s v="Employer who pushes your limits by enabling an learning environment, and rewards you at the end"/>
        <s v="Employer who appreciates learning and enables that environment"/>
        <s v="Employer who pushes your limits and doesn't enables learning environment and never rewards you"/>
        <s v="Employers who appreciates learning but doesn't enables an learning environment"/>
      </sharedItems>
    </cacheField>
    <cacheField name="learning environment you like" numFmtId="0">
      <sharedItems count="26">
        <s v="Instructor or Expert Learning Programs, Trial and error by doing side projects within the company"/>
        <s v="Self Paced Learning Portals, Instructor or Expert Learning Programs"/>
        <s v="Self Paced Learning Portals, Trial and error by doing side projects within the company"/>
        <s v="Self Paced Learning Portals, Learning by observing others"/>
        <s v="Instructor or Expert Learning Programs, Learning by observing others"/>
        <s v="Learning by observing others, Trial and error by doing side projects within the company"/>
        <s v="Instructor or Expert Learning Programs, Learning by observing others, Trial and error by doing side projects within the company"/>
        <s v="Self Paced Learning Portals of the Company, Instructor or Expert Learning Programs, Manager Teaching you"/>
        <s v="Instructor or Expert Learning Programs, Trial and error by doing side projects within the company, Manager Teaching you"/>
        <s v="Self Paced Learning Portals of the Company, Instructor or Expert Learning Programs, Learning by observing others"/>
        <s v="Self Paced Learning Portals of the Company, Learning by observing others, Manager Teaching you"/>
        <s v="Self Paced Learning Portals of the Company, Instructor or Expert Learning Programs, Trial and error by doing side projects within the company"/>
        <s v="Instructor or Expert Learning Programs, Self Purchased Course from External Platforms, Manager Teaching you"/>
        <s v="Self Paced Learning Portals of the Company, Trial and error by doing side projects within the company, Manager Teaching you"/>
        <s v="Self Paced Learning Portals of the Company, Learning by observing others, Self Purchased Course from External Platforms"/>
        <s v="Learning by observing others, Trial and error by doing side projects within the company, Manager Teaching you"/>
        <s v="Instructor or Expert Learning Programs, Learning by observing others, Self Purchased Course from External Platforms"/>
        <s v="Self Paced Learning Portals of the Company, Learning by observing others, Trial and error by doing side projects within the company"/>
        <s v="Self Paced Learning Portals of the Company, Instructor or Expert Learning Programs, Self Purchased Course from External Platforms"/>
        <s v="Instructor or Expert Learning Programs, Learning by observing others, Manager Teaching you"/>
        <s v="Self Paced Learning Portals of the Company, Self Purchased Course from External Platforms, Manager Teaching you"/>
        <s v="Self Paced Learning Portals of the Company, Trial and error by doing side projects within the company, Self Purchased Course from External Platforms"/>
        <s v="Learning by observing others, Trial and error by doing side projects within the company, Self Purchased Course from External Platforms"/>
        <s v="Trial and error by doing side projects within the company, Self Purchased Course from External Platforms, Manager Teaching you"/>
        <s v="Instructor or Expert Learning Programs, Trial and error by doing side projects within the company, Self Purchased Course from External Platforms"/>
        <s v="Learning by observing others, Self Purchased Course from External Platforms, Manager Teaching you"/>
      </sharedItems>
    </cacheField>
    <cacheField name="your aspirational job " numFmtId="0">
      <sharedItems count="583">
        <s v="Business Operations in any organization, Build and develop a Team, Work as a freelancer and do my thing my way"/>
        <s v="Business Operations in any organization, Build and develop a Team, Look deeply into Data and generate insights"/>
        <s v="Manage and drive End-to-End Projects or Products, Design and Develop amazing software, Become a content Creator in some platform"/>
        <s v="Business Operations in any organization, Manage and drive End-to-End Projects or Products, Look deeply into Data and generate insights"/>
        <s v="Teaching in any of the institutes/online or Offline, Business Operations in any organization, Manage and drive End-to-End Projects or Products"/>
        <s v="Design and Creative strategy in any company, Business Operations in any organization, Look deeply into Data and generate insights"/>
        <s v="Teaching in any of the institutes/online or Offline, Look deeply into Data and generate insights, Become a content Creator in some platform"/>
        <s v="Manage and drive End-to-End Projects or Products, Look deeply into Data and generate insights, Work as a freelancer and do my thing my way"/>
        <s v="Design and Develop amazing software, Look deeply into Data and generate insights, Work as a freelancer and do my thing my way"/>
        <s v="Design and Creative strategy in any company, Teaching in any of the institutes/online or Offline, Manage and drive End-to-End Projects or Products"/>
        <s v="Design and Creative strategy in any company, Manage and drive End-to-End Projects or Products, Build and develop a Team"/>
        <s v="Teaching in any of the institutes/online or Offline, Build and develop a Team, Look deeply into Data and generate insights"/>
        <s v="Design and Creative strategy in any company, Teaching in any of the institutes/online or Offline, Design and Develop amazing software"/>
        <s v="Design and Creative strategy in any company, Business Operations in any organization, Become a content Creator in some platform"/>
        <s v="Business Operations in any organization, Manage and drive End-to-End Projects or Products, Work in a BPO setup for some well known client"/>
        <s v="Business Operations in any organization, Manage and drive End-to-End Projects or Products, Build and develop a Team"/>
        <s v="Design and Creative strategy in any company, Teaching in any of the institutes/online or Offline, Build and develop a Team"/>
        <s v="Design and Creative strategy in any company, Build and develop a Team, Design and Develop amazing software"/>
        <s v="Design and Creative strategy in any company, Work as a freelancer and do my thing my way, Become a content Creator in some platform"/>
        <s v="Design and Creative strategy in any company, Manage and drive End-to-End Projects or Products, Design and Develop amazing software"/>
        <s v="Design and Creative strategy in any company, Business Operations in any organization, Work as a freelancer and do my thing my way"/>
        <s v="Design and Creative strategy in any company, Business Operations in any organization, Design and Develop amazing software"/>
        <s v="Teaching in any of the institutes/online or Offline, Look deeply into Data and generate insights, Work as a freelancer and do my thing my way"/>
        <s v="Design and Creative strategy in any company, Build and develop a Team, Look deeply into Data and generate insights"/>
        <s v="Design and Creative strategy in any company, Manage and drive End-to-End Projects or Products, Look deeply into Data and generate insights"/>
        <s v="Teaching in any of the institutes/online or Offline, Work as a freelancer and do my thing my way, Become a content Creator in some platform"/>
        <s v="Teaching in any of the institutes/online or Offline, Design and Develop amazing software, Work as a freelancer and do my thing my way"/>
        <s v="Design and Creative strategy in any company, Teaching in any of the institutes/online or Offline, Business Operations in any organization"/>
        <s v="Business Operations in any organization, Work as a freelancer and do my thing my way, Become a content Creator in some platform"/>
        <s v="Design and Creative strategy in any company, Teaching in any of the institutes/online or Offline, Look deeply into Data and generate insights"/>
        <s v="Business Operations in any organization, Look deeply into Data and generate insights, Work as a freelancer and do my thing my way"/>
        <s v="Teaching in any of the institutes/online or Offline, Manage and drive End-to-End Projects or Products, Look deeply into Data and generate insights"/>
        <s v="Build and develop a Team, Work as a freelancer and do my thing my way, Become a content Creator in some platform"/>
        <s v="Manage and drive End-to-End Projects or Products, Build and develop a Team, Look deeply into Data and generate insights"/>
        <s v="Build and develop a Team, Look deeply into Data and generate insights, Become a content Creator in some platform"/>
        <s v="Design and Creative strategy in any company, Design and Develop amazing software, Become a content Creator in some platform"/>
        <s v="Business Operations in any organization, Build and develop a Team, Become a content Creator in some platform"/>
        <s v="Build and develop a Team, Design and Develop amazing software, Look deeply into Data and generate insights"/>
        <s v="Business Operations in any organization, Design and Develop amazing software, Look deeply into Data and generate insights"/>
        <s v="Design and Creative strategy in any company, Teaching in any of the institutes/online or Offline, Become a content Creator in some platform"/>
        <s v="Teaching in any of the institutes/online or Offline, Build and develop a Team, Work as a freelancer and do my thing my way"/>
        <s v="Design and Creative strategy in any company, Design and Develop amazing software, Look deeply into Data and generate insights"/>
        <s v="Look deeply into Data and generate insights, Work as a freelancer and do my thing my way, Become a content Creator in some platform"/>
        <s v="Design and Creative strategy in any company, Look deeply into Data and generate insights, Become a content Creator in some platform"/>
        <s v="Design and Creative strategy in any company, Manage and drive End-to-End Projects or Products, Become a content Creator in some platform"/>
        <s v="Design and Develop amazing software, Work as a freelancer and do my thing my way, Become a content Creator in some platform"/>
        <s v="Design and Creative strategy in any company, Design and Develop amazing software, Work in a BPO setup for some well known client"/>
        <s v="Look deeply into Data and generate insights, Work in a BPO setup for some well known client, Work as a freelancer and do my thing my way"/>
        <s v="Manage and drive End-to-End Projects or Products, Work as a freelancer and do my thing my way, Become a content Creator in some platform"/>
        <s v="Business Operations in any organization, Manage and drive End-to-End Projects or Products, Design and Develop amazing software"/>
        <s v="Design and Creative strategy in any company, Build and develop a Team, Work as a freelancer and do my thing my way"/>
        <s v="Teaching in any of the institutes/online or Offline, Business Operations in any organization, Look deeply into Data and generate insights"/>
        <s v="Look deeply into Data and generate insights, Work in a BPO setup for some well known client, Become a content Creator in some platform"/>
        <s v="Business Operations in any organization, Manage and drive End-to-End Projects or Products, Become a content Creator in some platform"/>
        <s v="Business Operations in any organization, Manage and drive End-to-End Projects or Products, Work as a freelancer and do my thing my way"/>
        <s v="Manage and drive End-to-End Projects or Products, Build and develop a Team, Design and Develop amazing software"/>
        <s v="Manage and drive End-to-End Projects or Products, Design and Develop amazing software, Look deeply into Data and generate insights"/>
        <s v="Teaching in any of the institutes/online or Offline, Manage and drive End-to-End Projects or Products, Build and develop a Team"/>
        <s v="Design and Creative strategy in any company, Look deeply into Data and generate insights, Work as a freelancer and do my thing my way"/>
        <s v="Design and Creative strategy in any company, Business Operations in any organization, Work in a BPO setup for some well known client"/>
        <s v="Manage and drive End-to-End Projects or Products, Look deeply into Data and generate insights, Become a content Creator in some platform"/>
        <s v="Teaching in any of the institutes/online or Offline, Design and Develop amazing software, Look deeply into Data and generate insights"/>
        <s v="Manage and drive End-to-End Projects or Products, Build and develop a Team, Work in a BPO setup for some well known client"/>
        <s v="Design and Creative strategy in any company, Business Operations in any organization, Manage and drive End-to-End Projects or Products"/>
        <s v="Design and Creative strategy in any company, Teaching in any of the institutes/online or Offline, Work as a freelancer and do my thing my way"/>
        <s v="Teaching in any of the institutes/online or Offline, Build and develop a Team, Become a content Creator in some platform"/>
        <s v="Business Operations in any organization, Look deeply into Data and generate insights, Work in a BPO setup for some well known client"/>
        <s v="Design and Creative strategy in any company, Manage and drive End-to-End Projects or Products, Work as a freelancer and do my thing my way"/>
        <s v="Teaching in any of the institutes/online or Offline, Build and develop a Team, Design and Develop amazing software"/>
        <s v="Design and Develop amazing software, Look deeply into Data and generate insights, Become a content Creator in some platform"/>
        <s v="Design and Creative strategy in any company, Build and develop a Team, Become a content Creator in some platform"/>
        <s v="Teaching in any of the institutes/online or Offline, Business Operations in any organization, Build and develop a Team"/>
        <s v="Design and Creative strategy in any company, Business Operations in any organization, Build and develop a Team"/>
        <s v="Teaching in any of the institutes/online or Offline, Manage and drive End-to-End Projects or Products, Become a content Creator in some platform"/>
        <s v="Teaching in any of the institutes/online or Offline, Design and Develop amazing software, Work in a BPO setup for some well known client"/>
        <s v="Manage and drive End-to-End Projects or Products, Look deeply into Data and generate insights, Work in a BPO setup for some well known client"/>
        <s v="Teaching in any of the institutes/online or Offline, Work in a BPO setup for some well known client, Work as a freelancer and do my thing my way"/>
        <s v="Teaching in any of the institutes/online or Offline, Business Operations in any organization, Work in a BPO setup for some well known client"/>
        <s v="Design and Creative strategy in any company, Manage and drive End-to-End Projects or Products, Work in a BPO setup for some well known client"/>
        <s v="Teaching in any of the institutes/online or Offline, Business Operations in any organization, Work as a freelancer and do my thing my way"/>
        <s v="Build and develop a Team, Design and Develop amazing software, Become a content Creator in some platform"/>
        <s v="Design and Creative strategy in any company, Design and Develop amazing software, Work as a freelancer and do my thing my way"/>
        <s v="Teaching in any of the institutes/online or Offline, Manage and drive End-to-End Projects or Products, Design and Develop amazing software"/>
        <s v="Business Operations in any organization, Design and Develop amazing software, Become a content Creator in some platform"/>
        <s v="Design and Creative strategy in any company, Work in a BPO setup for some well known client, Become a content Creator in some platform"/>
        <s v="Manage and drive End-to-End Projects or Products, Design and Develop amazing software, Work as a freelancer and do my thing my way"/>
        <s v="Design and Creative strategy in any company, Build and develop a Team, Work in a BPO setup for some well known client"/>
        <s v="Business Operations in any organization, Work in a BPO setup for some well known client, Work as a freelancer and do my thing my way"/>
        <s v="Work in a BPO setup for some well known client, Work as a freelancer and do my thing my way, Become a content Creator in some platform"/>
        <s v="Business Operations in any organization, Work in a BPO setup for some well known client, Become a content Creator in some platform"/>
        <s v="Business Operations in any organization, Look deeply into Data and generate insights, Become a content Creator in some platform"/>
        <s v="Build and develop a Team, Look deeply into Data and generate insights, Work as a freelancer and do my thing my way"/>
        <s v="Business Operations in any organization, Build and develop a Team, Work in a BPO setup for some well known client"/>
        <s v="Teaching in any of the institutes/online or Offline, Manage and drive End-to-End Projects or Products, Work as a freelancer and do my thing my way"/>
        <s v="Business Operations in any organization, Design and Develop amazing software, Look deeply into Data and generate insights, Work as a freelancer and do my thing my way"/>
        <s v="Teaching in any of the institutes/colleges/online or offline, Business Operations in any organization, Manage and drive End-to-End Projects or Products, Look deeply into Data and generate insights"/>
        <s v="Design and Creative strategy in any company, Business Operations in any organization, Work as a freelancer and do my thing my way, Entrepreneur or Start Up"/>
        <s v="Build and develop a Team, Look deeply into Data and generate insights, Entrepreneur or Start Up, An Artificial Intelligence Specialist / Talking to Robots"/>
        <s v="Manage and drive End-to-End Projects or Products, Design and Develop amazing software, Look deeply into Data and generate insights, Entrepreneur or Start Up"/>
        <s v="Design and Creative strategy in any company, Teaching in any of the institutes/colleges/online or offline, Business Operations in any organization, Become a content Creator in some platform"/>
        <s v="Design and Creative strategy in any company, Business Operations in any organization, Entrepreneur or Start Up, Manufacturing / Oil and Gas/ Construction / Hard Physical Work related"/>
        <s v="Design and Creative strategy in any company, Teaching in any of the institutes/colleges/online or offline, Business Operations in any organization, Look deeply into Data and generate insights"/>
        <s v="Build and develop a Team, Work in a BPO setup for some well known client, Work as a freelancer and do my thing my way, Manufacturing / Oil and Gas/ Construction / Hard Physical Work related"/>
        <s v="Build and develop a Team, Look deeply into Data and generate insights, Entrepreneur or Start Up, I Want to sell things/Sales"/>
        <s v="Look deeply into Data and generate insights, Become a content Creator in some platform, Entrepreneur or Start Up, An Artificial Intelligence Specialist / Talking to Robots"/>
        <s v="Manage and drive End-to-End Projects or Products, Look deeply into Data and generate insights, Work as a freelancer and do my thing my way, Entrepreneur or Start Up"/>
        <s v="Design and Develop amazing software, Work as a freelancer and do my thing my way, Entrepreneur or Start Up, An Artificial Intelligence Specialist / Talking to Robots"/>
        <s v="Design and Creative strategy in any company, Business Operations in any organization, Manage and drive End-to-End Projects or Products, Work in a BPO setup for some well known client"/>
        <s v="Business Operations in any organization, Manage and drive End-to-End Projects or Products, Look deeply into Data and generate insights, An Artificial Intelligence Specialist / Talking to Robots"/>
        <s v="Business Operations in any organization, Manage and drive End-to-End Projects or Products, Build and develop a Team, Look deeply into Data and generate insights"/>
        <s v="Design and Creative strategy in any company, Manage and drive End-to-End Projects or Products, Look deeply into Data and generate insights, Entrepreneur or Start Up"/>
        <s v="Design and Creative strategy in any company, Business Operations in any organization, Manage and drive End-to-End Projects or Products, Look deeply into Data and generate insights"/>
        <s v="Design and Creative strategy in any company, Build and develop a Team, An Artificial Intelligence Specialist / Talking to Robots, Manufacturing / Oil and Gas/ Construction / Hard Physical Work related"/>
        <s v="Design and Creative strategy in any company, Business Operations in any organization, Look deeply into Data and generate insights, An Artificial Intelligence Specialist / Talking to Robots"/>
        <s v="Design and Creative strategy in any company, Manage and drive End-to-End Projects or Products, Build and develop a Team, Look deeply into Data and generate insights"/>
        <s v="Design and Creative strategy in any company, Build and develop a Team, Work in a BPO setup for some well known client, Entrepreneur or Start Up"/>
        <s v="Design and Creative strategy in any company, Build and develop a Team, Design and Develop amazing software, An Artificial Intelligence Specialist / Talking to Robots"/>
        <s v="Teaching in any of the institutes/colleges/online or offline, Build and develop a Team, Look deeply into Data and generate insights, Work as a freelancer and do my thing my way"/>
        <s v="Build and develop a Team, Look deeply into Data and generate insights, Work as a freelancer and do my thing my way, Entrepreneur or Start Up"/>
        <s v="Business Operations in any organization, Build and develop a Team, Look deeply into Data and generate insights, Manufacturing / Oil and Gas/ Construction / Hard Physical Work related"/>
        <s v="Look deeply into Data and generate insights, Work as a freelancer and do my thing my way, Become a content Creator in some platform, Entrepreneur or Start Up"/>
        <s v="Design and Creative strategy in any company, Business Operations in any organization, Build and develop a Team, Manufacturing / Oil and Gas/ Construction / Hard Physical Work related"/>
        <s v="Design and Creative strategy in any company, Manage and drive End-to-End Projects or Products, Design and Develop amazing software, Work as a freelancer and do my thing my way"/>
        <s v="Build and develop a Team, Design and Develop amazing software, Entrepreneur or Start Up, An Artificial Intelligence Specialist / Talking to Robots"/>
        <s v="Design and Creative strategy in any company, Business Operations in any organization, Look deeply into Data and generate insights, Entrepreneur or Start Up"/>
        <s v="Business Operations in any organization, Look deeply into Data and generate insights, Work as a freelancer and do my thing my way, Entrepreneur or Start Up"/>
        <s v="Teaching in any of the institutes/colleges/online or offline, Manage and drive End-to-End Projects or Products, Build and develop a Team, Entrepreneur or Start Up"/>
        <s v="Design and Creative strategy in any company, Manage and drive End-to-End Projects or Products, Work as a freelancer and do my thing my way, An Artificial Intelligence Specialist / Talking to Robots"/>
        <s v="Design and Creative strategy in any company, Build and develop a Team, Design and Develop amazing software, Entrepreneur or Start Up"/>
        <s v="Business Operations in any organization, Build and develop a Team, Design and Develop amazing software, Look deeply into Data and generate insights"/>
        <s v="Design and Creative strategy in any company, Teaching in any of the institutes/colleges/online or offline, An Artificial Intelligence Specialist / Talking to Robots, Manufacturing / Oil and Gas/ Construction / Hard Physical Work related"/>
        <s v="Teaching in any of the institutes/colleges/online or offline, I Want to sell things/Sales, An Artificial Intelligence Specialist / Talking to Robots, Manufacturing / Oil and Gas/ Construction / Hard Physical Work related"/>
        <s v="Design and Creative strategy in any company, Business Operations in any organization, Build and develop a Team, Design and Develop amazing software"/>
        <s v="Design and Creative strategy in any company, Manage and drive End-to-End Projects or Products, Entrepreneur or Start Up, I Want to sell things/Sales"/>
        <s v="Design and Creative strategy in any company, Build and develop a Team, Design and Develop amazing software, Become a content Creator in some platform"/>
        <s v="Design and Develop amazing software, Look deeply into Data and generate insights, Entrepreneur or Start Up, An Artificial Intelligence Specialist / Talking to Robots"/>
        <s v="Design and Creative strategy in any company, Teaching in any of the institutes/colleges/online or offline, Look deeply into Data and generate insights, Entrepreneur or Start Up"/>
        <s v="Manage and drive End-to-End Projects or Products, Work as a freelancer and do my thing my way, Become a content Creator in some platform, An Artificial Intelligence Specialist / Talking to Robots"/>
        <s v="Design and Creative strategy in any company, Teaching in any of the institutes/colleges/online or offline, Build and develop a Team, Become a content Creator in some platform"/>
        <s v="Manage and drive End-to-End Projects or Products, Build and develop a Team, Design and Develop amazing software, Look deeply into Data and generate insights"/>
        <s v="Design and Creative strategy in any company, Business Operations in any organization, Build and develop a Team, Entrepreneur or Start Up"/>
        <s v="Design and Creative strategy in any company, Business Operations in any organization, Manage and drive End-to-End Projects or Products, Build and develop a Team"/>
        <s v="Design and Creative strategy in any company, Manage and drive End-to-End Projects or Products, Design and Develop amazing software, An Artificial Intelligence Specialist / Talking to Robots"/>
        <s v="Design and Creative strategy in any company, Business Operations in any organization, Manage and drive End-to-End Projects or Products, Design and Develop amazing software"/>
        <s v="Design and Creative strategy in any company, Build and develop a Team, Become a content Creator in some platform, Manufacturing / Oil and Gas/ Construction / Hard Physical Work related"/>
        <s v="Design and Creative strategy in any company, Become a content Creator in some platform, Entrepreneur or Start Up, I Want to sell things/Sales"/>
        <s v="Build and develop a Team, Design and Develop amazing software, Work as a freelancer and do my thing my way, Entrepreneur or Start Up"/>
        <s v="Manage and drive End-to-End Projects or Products, Design and Develop amazing software, Look deeply into Data and generate insights, An Artificial Intelligence Specialist / Talking to Robots"/>
        <s v="Build and develop a Team, Work as a freelancer and do my thing my way, Entrepreneur or Start Up, An Artificial Intelligence Specialist / Talking to Robots"/>
        <s v="Design and Creative strategy in any company, Business Operations in any organization, Manage and drive End-to-End Projects or Products, Work as a freelancer and do my thing my way"/>
        <s v="Teaching in any of the institutes/colleges/online or offline, Business Operations in any organization, Work as a freelancer and do my thing my way, Entrepreneur or Start Up"/>
        <s v="Business Operations in any organization, Entrepreneur or Start Up, An Artificial Intelligence Specialist / Talking to Robots, Manufacturing / Oil and Gas/ Construction / Hard Physical Work related"/>
        <s v="Design and Creative strategy in any company, Design and Develop amazing software, Become a content Creator in some platform, An Artificial Intelligence Specialist / Talking to Robots"/>
        <s v="Design and Creative strategy in any company, Manage and drive End-to-End Projects or Products, Build and develop a Team, Entrepreneur or Start Up"/>
        <s v="Design and Creative strategy in any company, Design and Develop amazing software, Look deeply into Data and generate insights, Manufacturing / Oil and Gas/ Construction / Hard Physical Work related"/>
        <s v="Design and Creative strategy in any company, Teaching in any of the institutes/colleges/online or offline, Manage and drive End-to-End Projects or Products, Build and develop a Team"/>
        <s v="Design and Creative strategy in any company, Teaching in any of the institutes/colleges/online or offline, Build and develop a Team, Look deeply into Data and generate insights"/>
        <s v="Build and develop a Team, Become a content Creator in some platform, Entrepreneur or Start Up, I Want to sell things/Sales"/>
        <s v="Design and Creative strategy in any company, Entrepreneur or Start Up, An Artificial Intelligence Specialist / Talking to Robots, Manufacturing / Oil and Gas/ Construction / Hard Physical Work related"/>
        <s v="Design and Creative strategy in any company, Manage and drive End-to-End Projects or Products, Build and develop a Team, Manufacturing / Oil and Gas/ Construction / Hard Physical Work related"/>
        <s v="Design and Creative strategy in any company, Manage and drive End-to-End Projects or Products, Build and develop a Team, Work as a freelancer and do my thing my way"/>
        <s v="Design and Creative strategy in any company, Teaching in any of the institutes/colleges/online or offline, Business Operations in any organization, Build and develop a Team"/>
        <s v="Design and Creative strategy in any company, Design and Develop amazing software, Entrepreneur or Start Up, I Want to sell things/Sales"/>
        <s v="Business Operations in any organization, Manage and drive End-to-End Projects or Products, Work in a BPO setup for some well known client, An Artificial Intelligence Specialist / Talking to Robots"/>
        <s v="Design and Creative strategy in any company, Teaching in any of the institutes/colleges/online or offline, Build and develop a Team, Design and Develop amazing software"/>
        <s v="Design and Creative strategy in any company, Business Operations in any organization, Build and develop a Team, An Artificial Intelligence Specialist / Talking to Robots"/>
        <s v="Design and Creative strategy in any company, Business Operations in any organization, Design and Develop amazing software, Work in a BPO setup for some well known client"/>
        <s v="Teaching in any of the institutes/colleges/online or offline, Build and develop a Team, Become a content Creator in some platform, Entrepreneur or Start Up"/>
        <s v="Manage and drive End-to-End Projects or Products, Build and develop a Team, Work as a freelancer and do my thing my way, An Artificial Intelligence Specialist / Talking to Robots"/>
        <s v="Look deeply into Data and generate insights, Work as a freelancer and do my thing my way, Entrepreneur or Start Up, Manufacturing / Oil and Gas/ Construction / Hard Physical Work related"/>
        <s v="Design and Creative strategy in any company, Design and Develop amazing software, Look deeply into Data and generate insights, Work as a freelancer and do my thing my way"/>
        <s v="Teaching in any of the institutes/colleges/online or offline, Manage and drive End-to-End Projects or Products, Build and develop a Team, Look deeply into Data and generate insights"/>
        <s v="Design and Creative strategy in any company, Build and develop a Team, Look deeply into Data and generate insights, An Artificial Intelligence Specialist / Talking to Robots"/>
        <s v="Business Operations in any organization, Entrepreneur or Start Up, I Want to sell things/Sales, Manufacturing / Oil and Gas/ Construction / Hard Physical Work related"/>
        <s v="Design and Creative strategy in any company, Teaching in any of the institutes/colleges/online or offline, Business Operations in any organization, Manage and drive End-to-End Projects or Products"/>
        <s v="Build and develop a Team, Work as a freelancer and do my thing my way, Entrepreneur or Start Up, I Want to sell things/Sales"/>
        <s v="Design and Creative strategy in any company, Teaching in any of the institutes/colleges/online or offline, Business Operations in any organization, Design and Develop amazing software"/>
        <s v="Teaching in any of the institutes/colleges/online or offline, Manage and drive End-to-End Projects or Products, Design and Develop amazing software, Work as a freelancer and do my thing my way"/>
        <s v="Teaching in any of the institutes/colleges/online or offline, Business Operations in any organization, Look deeply into Data and generate insights, Work in a BPO setup for some well known client"/>
        <s v="Design and Creative strategy in any company, Manage and drive End-to-End Projects or Products, Build and develop a Team, Design and Develop amazing software"/>
        <s v="Design and Creative strategy in any company, Teaching in any of the institutes/colleges/online or offline, Manage and drive End-to-End Projects or Products, Design and Develop amazing software"/>
        <s v="Teaching in any of the institutes/colleges/online or offline, Build and develop a Team, Work as a freelancer and do my thing my way, Entrepreneur or Start Up"/>
        <s v="Manage and drive End-to-End Projects or Products, Build and develop a Team, Look deeply into Data and generate insights, Entrepreneur or Start Up"/>
        <s v="Teaching in any of the institutes/colleges/online or offline, Manage and drive End-to-End Projects or Products, Build and develop a Team, Design and Develop amazing software"/>
        <s v="Design and Creative strategy in any company, Design and Develop amazing software, Work in a BPO setup for some well known client, Become a content Creator in some platform"/>
        <s v="Teaching in any of the institutes/colleges/online or offline, Design and Develop amazing software, Work as a freelancer and do my thing my way, Entrepreneur or Start Up"/>
        <s v="Business Operations in any organization, Build and develop a Team, Design and Develop amazing software, Entrepreneur or Start Up"/>
        <s v="Business Operations in any organization, Look deeply into Data and generate insights, An Artificial Intelligence Specialist / Talking to Robots, Manufacturing / Oil and Gas/ Construction / Hard Physical Work related"/>
        <s v="Design and Creative strategy in any company, Manage and drive End-to-End Projects or Products, Look deeply into Data and generate insights, Work as a freelancer and do my thing my way"/>
        <s v="Build and develop a Team, Design and Develop amazing software, Look deeply into Data and generate insights, Work as a freelancer and do my thing my way"/>
        <s v="Design and Creative strategy in any company, Teaching in any of the institutes/colleges/online or offline, Manage and drive End-to-End Projects or Products, Entrepreneur or Start Up"/>
        <s v="Design and Creative strategy in any company, Manage and drive End-to-End Projects or Products, Design and Develop amazing software, Look deeply into Data and generate insights"/>
        <s v="Design and Develop amazing software, Look deeply into Data and generate insights, Work as a freelancer and do my thing my way, An Artificial Intelligence Specialist / Talking to Robots"/>
        <s v="Work as a freelancer and do my thing my way, Become a content Creator in some platform, Entrepreneur or Start Up, I Want to sell things/Sales"/>
        <s v="Business Operations in any organization, Manage and drive End-to-End Projects or Products, Look deeply into Data and generate insights, Work as a freelancer and do my thing my way"/>
        <s v="Manage and drive End-to-End Projects or Products, Design and Develop amazing software, Entrepreneur or Start Up, An Artificial Intelligence Specialist / Talking to Robots"/>
        <s v="Design and Creative strategy in any company, Build and develop a Team, Look deeply into Data and generate insights, Entrepreneur or Start Up"/>
        <s v="Design and Creative strategy in any company, Business Operations in any organization, Build and develop a Team, Look deeply into Data and generate insights"/>
        <s v="Design and Creative strategy in any company, Business Operations in any organization, Build and develop a Team, Work as a freelancer and do my thing my way"/>
        <s v="Build and develop a Team, Look deeply into Data and generate insights, Entrepreneur or Start Up, Manufacturing / Oil and Gas/ Construction / Hard Physical Work related"/>
        <s v="Business Operations in any organization, Manage and drive End-to-End Projects or Products, Build and develop a Team, Entrepreneur or Start Up"/>
        <s v="Business Operations in any organization, Build and develop a Team, Look deeply into Data and generate insights, Entrepreneur or Start Up"/>
        <s v="Design and Creative strategy in any company, Business Operations in any organization, Work as a freelancer and do my thing my way, Become a content Creator in some platform"/>
        <s v="Business Operations in any organization, Entrepreneur or Start Up, I Want to sell things/Sales, An Artificial Intelligence Specialist / Talking to Robots"/>
        <s v="Manage and drive End-to-End Projects or Products, Build and develop a Team, Entrepreneur or Start Up, Manufacturing / Oil and Gas/ Construction / Hard Physical Work related"/>
        <s v="Design and Creative strategy in any company, Teaching in any of the institutes/colleges/online or offline, Work as a freelancer and do my thing my way, I Want to sell things/Sales"/>
        <s v="Design and Creative strategy in any company, Business Operations in any organization, Build and develop a Team, Become a content Creator in some platform"/>
        <s v="Business Operations in any organization, Work as a freelancer and do my thing my way, Entrepreneur or Start Up, I Want to sell things/Sales"/>
        <s v="Manage and drive End-to-End Projects or Products, Design and Develop amazing software, Work in a BPO setup for some well known client, I Want to sell things/Sales"/>
        <s v="Design and Creative strategy in any company, Manage and drive End-to-End Projects or Products, Build and develop a Team, Work in a BPO setup for some well known client"/>
        <s v="Build and develop a Team, Design and Develop amazing software, Look deeply into Data and generate insights, Manufacturing / Oil and Gas/ Construction / Hard Physical Work related"/>
        <s v="Manage and drive End-to-End Projects or Products, Build and develop a Team, Work as a freelancer and do my thing my way, Entrepreneur or Start Up"/>
        <s v="Business Operations in any organization, Build and develop a Team, Work as a freelancer and do my thing my way, Become a content Creator in some platform"/>
        <s v="Manage and drive End-to-End Projects or Products, Work as a freelancer and do my thing my way, Become a content Creator in some platform, Entrepreneur or Start Up"/>
        <s v="Design and Creative strategy in any company, Build and develop a Team, Design and Develop amazing software, Work as a freelancer and do my thing my way"/>
        <s v="Design and Creative strategy in any company, Teaching in any of the institutes/colleges/online or offline, Business Operations in any organization, I Want to sell things/Sales"/>
        <s v="Business Operations in any organization, Build and develop a Team, Entrepreneur or Start Up, Manufacturing / Oil and Gas/ Construction / Hard Physical Work related"/>
        <s v="Design and Creative strategy in any company, Business Operations in any organization, Manage and drive End-to-End Projects or Products, Become a content Creator in some platform"/>
        <s v="Design and Creative strategy in any company, Teaching in any of the institutes/colleges/online or offline, Work as a freelancer and do my thing my way, Become a content Creator in some platform"/>
        <s v="Business Operations in any organization, Manage and drive End-to-End Projects or Products, Build and develop a Team, Manufacturing / Oil and Gas/ Construction / Hard Physical Work related"/>
        <s v="Teaching in any of the institutes/colleges/online or offline, Build and develop a Team, Entrepreneur or Start Up, An Artificial Intelligence Specialist / Talking to Robots"/>
        <s v="Design and Creative strategy in any company, Business Operations in any organization, Entrepreneur or Start Up, I Want to sell things/Sales"/>
        <s v="Design and Creative strategy in any company, Look deeply into Data and generate insights, Work as a freelancer and do my thing my way, An Artificial Intelligence Specialist / Talking to Robots"/>
        <s v="Teaching in any of the institutes/colleges/online or offline, Design and Develop amazing software, Look deeply into Data and generate insights, An Artificial Intelligence Specialist / Talking to Robots"/>
        <s v="Design and Creative strategy in any company, Business Operations in any organization, Manage and drive End-to-End Projects or Products, Entrepreneur or Start Up"/>
        <s v="Design and Creative strategy in any company, Manage and drive End-to-End Projects or Products, Entrepreneur or Start Up, An Artificial Intelligence Specialist / Talking to Robots"/>
        <s v="Business Operations in any organization, Manage and drive End-to-End Projects or Products, Design and Develop amazing software, Look deeply into Data and generate insights"/>
        <s v="Business Operations in any organization, Design and Develop amazing software, Look deeply into Data and generate insights, An Artificial Intelligence Specialist / Talking to Robots"/>
        <s v="Teaching in any of the institutes/colleges/online or offline, Business Operations in any organization, Become a content Creator in some platform, I Want to sell things/Sales"/>
        <s v="Business Operations in any organization, Work as a freelancer and do my thing my way, Entrepreneur or Start Up, Manufacturing / Oil and Gas/ Construction / Hard Physical Work related"/>
        <s v="Design and Creative strategy in any company, Teaching in any of the institutes/colleges/online or offline, Build and develop a Team, Entrepreneur or Start Up"/>
        <s v="Business Operations in any organization, Manage and drive End-to-End Projects or Products, Build and develop a Team, Work in a BPO setup for some well known client"/>
        <s v="Design and Creative strategy in any company, Design and Develop amazing software, Work as a freelancer and do my thing my way, Become a content Creator in some platform"/>
        <s v="Manage and drive End-to-End Projects or Products, Build and develop a Team, Look deeply into Data and generate insights, Work as a freelancer and do my thing my way"/>
        <s v="Business Operations in any organization, Work in a BPO setup for some well known client, An Artificial Intelligence Specialist / Talking to Robots, Manufacturing / Oil and Gas/ Construction / Hard Physical Work related"/>
        <s v="Become a content Creator in some platform, I Want to sell things/Sales, An Artificial Intelligence Specialist / Talking to Robots, Manufacturing / Oil and Gas/ Construction / Hard Physical Work related"/>
        <s v="Business Operations in any organization, Manage and drive End-to-End Projects or Products, Entrepreneur or Start Up, I Want to sell things/Sales"/>
        <s v="Design and Creative strategy in any company, Work as a freelancer and do my thing my way, Become a content Creator in some platform, I Want to sell things/Sales"/>
        <s v="Manage and drive End-to-End Projects or Products, Look deeply into Data and generate insights, Work as a freelancer and do my thing my way, Become a content Creator in some platform"/>
        <s v="Design and Creative strategy in any company, Business Operations in any organization, Look deeply into Data and generate insights, Work as a freelancer and do my thing my way"/>
        <s v="Design and Creative strategy in any company, Business Operations in any organization, Design and Develop amazing software, Become a content Creator in some platform"/>
        <s v="Build and develop a Team, Work in a BPO setup for some well known client, Work as a freelancer and do my thing my way, An Artificial Intelligence Specialist / Talking to Robots"/>
        <s v="Teaching in any of the institutes/colleges/online or offline, Work as a freelancer and do my thing my way, An Artificial Intelligence Specialist / Talking to Robots, Manufacturing / Oil and Gas/ Construction / Hard Physical Work related"/>
        <s v="Business Operations in any organization, Manage and drive End-to-End Projects or Products, Build and develop a Team, Design and Develop amazing software"/>
        <s v="Teaching in any of the institutes/colleges/online or offline, Design and Develop amazing software, Work as a freelancer and do my thing my way, An Artificial Intelligence Specialist / Talking to Robots"/>
        <s v="Business Operations in any organization, Manage and drive End-to-End Projects or Products, Look deeply into Data and generate insights, Entrepreneur or Start Up"/>
        <s v="Business Operations in any organization, Manage and drive End-to-End Projects or Products, Build and develop a Team, An Artificial Intelligence Specialist / Talking to Robots"/>
        <s v="Design and Creative strategy in any company, Business Operations in any organization, Become a content Creator in some platform, Entrepreneur or Start Up"/>
        <s v="Teaching in any of the institutes/colleges/online or offline, Business Operations in any organization, Manage and drive End-to-End Projects or Products, Design and Develop amazing software"/>
        <s v="Design and Creative strategy in any company, Teaching in any of the institutes/colleges/online or offline, Business Operations in any organization, Manufacturing / Oil and Gas/ Construction / Hard Physical Work related"/>
        <s v="Design and Creative strategy in any company, Business Operations in any organization, Manage and drive End-to-End Projects or Products, An Artificial Intelligence Specialist / Talking to Robots"/>
        <s v="Business Operations in any organization, Build and develop a Team, Work as a freelancer and do my thing my way, An Artificial Intelligence Specialist / Talking to Robots"/>
        <s v="Design and Develop amazing software, Work as a freelancer and do my thing my way, Entrepreneur or Start Up, I Want to sell things/Sales"/>
        <s v="Teaching in any of the institutes/colleges/online or offline, Business Operations in any organization, Build and develop a Team, Work as a freelancer and do my thing my way"/>
        <s v="Design and Creative strategy in any company, Entrepreneur or Start Up, I Want to sell things/Sales, Manufacturing / Oil and Gas/ Construction / Hard Physical Work related"/>
        <s v="Manage and drive End-to-End Projects or Products, Work as a freelancer and do my thing my way, Entrepreneur or Start Up, Manufacturing / Oil and Gas/ Construction / Hard Physical Work related"/>
        <s v="Manage and drive End-to-End Projects or Products, Build and develop a Team, Design and Develop amazing software, Become a content Creator in some platform"/>
        <s v="Design and Creative strategy in any company, Teaching in any of the institutes/colleges/online or offline, Design and Develop amazing software, An Artificial Intelligence Specialist / Talking to Robots"/>
        <s v="Teaching in any of the institutes/colleges/online or offline, Build and develop a Team, Design and Develop amazing software, I Want to sell things/Sales"/>
        <s v="Business Operations in any organization, Work in a BPO setup for some well known client, Work as a freelancer and do my thing my way, I Want to sell things/Sales"/>
        <s v="Business Operations in any organization, Manage and drive End-to-End Projects or Products, Design and Develop amazing software, Work as a freelancer and do my thing my way"/>
        <s v="Design and Creative strategy in any company, Design and Develop amazing software, Work as a freelancer and do my thing my way, Entrepreneur or Start Up"/>
        <s v="Design and Creative strategy in any company, Design and Develop amazing software, Become a content Creator in some platform, Entrepreneur or Start Up"/>
        <s v="Build and develop a Team, Look deeply into Data and generate insights, Work as a freelancer and do my thing my way, An Artificial Intelligence Specialist / Talking to Robots"/>
        <s v="Entrepreneur or Start Up, I Want to sell things/Sales, An Artificial Intelligence Specialist / Talking to Robots, Manufacturing / Oil and Gas/ Construction / Hard Physical Work related"/>
        <s v="Design and Creative strategy in any company, Build and develop a Team, Become a content Creator in some platform, Entrepreneur or Start Up"/>
        <s v="Design and Creative strategy in any company, Design and Develop amazing software, Entrepreneur or Start Up, An Artificial Intelligence Specialist / Talking to Robots"/>
        <s v="Business Operations in any organization, Build and develop a Team, Design and Develop amazing software, Work in a BPO setup for some well known client"/>
        <s v="Teaching in any of the institutes/colleges/online or offline, Build and develop a Team, Work as a freelancer and do my thing my way, I Want to sell things/Sales"/>
        <s v="Business Operations in any organization, Work in a BPO setup for some well known client, Entrepreneur or Start Up, I Want to sell things/Sales"/>
        <s v="Build and develop a Team, Look deeply into Data and generate insights, Become a content Creator in some platform, Entrepreneur or Start Up"/>
        <s v="Manage and drive End-to-End Projects or Products, Work in a BPO setup for some well known client, Work as a freelancer and do my thing my way, Entrepreneur or Start Up"/>
        <s v="Design and Creative strategy in any company, Look deeply into Data and generate insights, Work as a freelancer and do my thing my way, Entrepreneur or Start Up"/>
        <s v="Look deeply into Data and generate insights, Work as a freelancer and do my thing my way, I Want to sell things/Sales, Manufacturing / Oil and Gas/ Construction / Hard Physical Work related"/>
        <s v="Business Operations in any organization, Manage and drive End-to-End Projects or Products, Design and Develop amazing software, An Artificial Intelligence Specialist / Talking to Robots"/>
        <s v="Design and Creative strategy in any company, I Want to sell things/Sales, An Artificial Intelligence Specialist / Talking to Robots, Manufacturing / Oil and Gas/ Construction / Hard Physical Work related"/>
        <s v="Business Operations in any organization, Manage and drive End-to-End Projects or Products, Build and develop a Team, I Want to sell things/Sales"/>
        <s v="Business Operations in any organization, Manage and drive End-to-End Projects or Products, Become a content Creator in some platform, Entrepreneur or Start Up"/>
        <s v="Teaching in any of the institutes/colleges/online or offline, Manage and drive End-to-End Projects or Products, Design and Develop amazing software, Look deeply into Data and generate insights"/>
        <s v="Teaching in any of the institutes/colleges/online or offline, Look deeply into Data and generate insights, Become a content Creator in some platform, Entrepreneur or Start Up"/>
        <s v="Business Operations in any organization, Work as a freelancer and do my thing my way, Become a content Creator in some platform, Manufacturing / Oil and Gas/ Construction / Hard Physical Work related"/>
        <s v="Build and develop a Team, Entrepreneur or Start Up, I Want to sell things/Sales, Manufacturing / Oil and Gas/ Construction / Hard Physical Work related"/>
        <s v="Design and Creative strategy in any company, Teaching in any of the institutes/colleges/online or offline, Work as a freelancer and do my thing my way, Manufacturing / Oil and Gas/ Construction / Hard Physical Work related"/>
        <s v="Teaching in any of the institutes/colleges/online or offline, Business Operations in any organization, Become a content Creator in some platform, Entrepreneur or Start Up"/>
        <s v="Teaching in any of the institutes/colleges/online or offline, Business Operations in any organization, Build and develop a Team, Entrepreneur or Start Up"/>
        <s v="Design and Creative strategy in any company, Teaching in any of the institutes/colleges/online or offline, Design and Develop amazing software, Entrepreneur or Start Up"/>
        <s v="Business Operations in any organization, Manage and drive End-to-End Projects or Products, Work as a freelancer and do my thing my way, Entrepreneur or Start Up"/>
        <s v="Manage and drive End-to-End Projects or Products, Work in a BPO setup for some well known client, Work as a freelancer and do my thing my way, Manufacturing / Oil and Gas/ Construction / Hard Physical Work related"/>
        <s v="Design and Creative strategy in any company, Teaching in any of the institutes/colleges/online or offline, Look deeply into Data and generate insights, An Artificial Intelligence Specialist / Talking to Robots"/>
        <s v="Build and develop a Team, Design and Develop amazing software, Look deeply into Data and generate insights, An Artificial Intelligence Specialist / Talking to Robots"/>
        <s v="Design and Creative strategy in any company, Design and Develop amazing software, Work as a freelancer and do my thing my way, I Want to sell things/Sales"/>
        <s v="Teaching in any of the institutes/colleges/online or offline, Manage and drive End-to-End Projects or Products, Look deeply into Data and generate insights, Work as a freelancer and do my thing my way"/>
        <s v="Business Operations in any organization, Build and develop a Team, Work as a freelancer and do my thing my way, Entrepreneur or Start Up"/>
        <s v="Business Operations in any organization, Look deeply into Data and generate insights, Entrepreneur or Start Up, Manufacturing / Oil and Gas/ Construction / Hard Physical Work related"/>
        <s v="Teaching in any of the institutes/colleges/online or offline, Business Operations in any organization, Build and develop a Team, Look deeply into Data and generate insights"/>
        <s v="Design and Creative strategy in any company, Build and develop a Team, I Want to sell things/Sales, Manufacturing / Oil and Gas/ Construction / Hard Physical Work related"/>
        <s v="Manage and drive End-to-End Projects or Products, Build and develop a Team, Design and Develop amazing software, Work as a freelancer and do my thing my way"/>
        <s v="Design and Creative strategy in any company, Teaching in any of the institutes/colleges/online or offline, Work in a BPO setup for some well known client, Work as a freelancer and do my thing my way"/>
        <s v="Manage and drive End-to-End Projects or Products, Work as a freelancer and do my thing my way, Entrepreneur or Start Up, An Artificial Intelligence Specialist / Talking to Robots"/>
        <s v="Teaching in any of the institutes/colleges/online or offline, Business Operations in any organization, Manage and drive End-to-End Projects or Products, Build and develop a Team"/>
        <s v="Design and Creative strategy in any company, Business Operations in any organization, An Artificial Intelligence Specialist / Talking to Robots, Manufacturing / Oil and Gas/ Construction / Hard Physical Work related"/>
        <s v="Design and Creative strategy in any company, Business Operations in any organization, Design and Develop amazing software, Entrepreneur or Start Up"/>
        <s v="Design and Creative strategy in any company, Business Operations in any organization, Manage and drive End-to-End Projects or Products, Manufacturing / Oil and Gas/ Construction / Hard Physical Work related"/>
        <s v="Teaching in any of the institutes/colleges/online or offline, Business Operations in any organization, Manage and drive End-to-End Projects or Products, Become a content Creator in some platform"/>
        <s v="Design and Creative strategy in any company, Business Operations in any organization, Become a content Creator in some platform, Manufacturing / Oil and Gas/ Construction / Hard Physical Work related"/>
        <s v="Manage and drive End-to-End Projects or Products, Build and develop a Team, Work as a freelancer and do my thing my way, Become a content Creator in some platform"/>
        <s v="Teaching in any of the institutes/colleges/online or offline, Look deeply into Data and generate insights, Work as a freelancer and do my thing my way, Become a content Creator in some platform"/>
        <s v="Design and Creative strategy in any company, Build and develop a Team, Look deeply into Data and generate insights, Become a content Creator in some platform"/>
        <s v="Design and Creative strategy in any company, Business Operations in any organization, Design and Develop amazing software, Look deeply into Data and generate insights"/>
        <s v="Design and Creative strategy in any company, Teaching in any of the institutes/colleges/online or offline, Design and Develop amazing software, Become a content Creator in some platform"/>
        <s v="Manage and drive End-to-End Projects or Products, Build and develop a Team, Design and Develop amazing software, Entrepreneur or Start Up"/>
        <s v="Build and develop a Team, Become a content Creator in some platform, I Want to sell things/Sales, An Artificial Intelligence Specialist / Talking to Robots"/>
        <s v="Teaching in any of the institutes/colleges/online or offline, Build and develop a Team, Design and Develop amazing software, Become a content Creator in some platform"/>
        <s v="Build and develop a Team, Design and Develop amazing software, Work as a freelancer and do my thing my way, An Artificial Intelligence Specialist / Talking to Robots"/>
        <s v="Build and develop a Team, Look deeply into Data and generate insights, I Want to sell things/Sales, An Artificial Intelligence Specialist / Talking to Robots"/>
        <s v="Become a content Creator in some platform, Entrepreneur or Start Up, I Want to sell things/Sales, An Artificial Intelligence Specialist / Talking to Robots"/>
        <s v="Manage and drive End-to-End Projects or Products, Build and develop a Team, Design and Develop amazing software, An Artificial Intelligence Specialist / Talking to Robots"/>
        <s v="Business Operations in any organization, Design and Develop amazing software, Entrepreneur or Start Up, An Artificial Intelligence Specialist / Talking to Robots"/>
        <s v="Design and Creative strategy in any company, Build and develop a Team, Work as a freelancer and do my thing my way, Entrepreneur or Start Up"/>
        <s v="Business Operations in any organization, Look deeply into Data and generate insights, Work as a freelancer and do my thing my way, I Want to sell things/Sales"/>
        <s v="Design and Creative strategy in any company, Teaching in any of the institutes/colleges/online or offline, Business Operations in any organization, Work in a BPO setup for some well known client"/>
        <s v="Design and Creative strategy in any company, Business Operations in any organization, Design and Develop amazing software, Work as a freelancer and do my thing my way"/>
        <s v="Business Operations in any organization, Build and develop a Team, Design and Develop amazing software, An Artificial Intelligence Specialist / Talking to Robots"/>
        <s v="Business Operations in any organization, Look deeply into Data and generate insights, Become a content Creator in some platform, An Artificial Intelligence Specialist / Talking to Robots"/>
        <s v="Work as a freelancer and do my thing my way, Entrepreneur or Start Up, I Want to sell things/Sales, Manufacturing / Oil and Gas/ Construction / Hard Physical Work related"/>
        <s v="Design and Creative strategy in any company, Build and develop a Team, Design and Develop amazing software, Look deeply into Data and generate insights"/>
        <s v="Business Operations in any organization, Manage and drive End-to-End Projects or Products, Build and develop a Team, Work as a freelancer and do my thing my way"/>
        <s v="Design and Creative strategy in any company, Teaching in any of the institutes/colleges/online or offline, Become a content Creator in some platform, Manufacturing / Oil and Gas/ Construction / Hard Physical Work related"/>
        <s v="Teaching in any of the institutes/colleges/online or offline, Build and develop a Team, Look deeply into Data and generate insights, Become a content Creator in some platform"/>
        <s v="Design and Creative strategy in any company, Business Operations in any organization, Look deeply into Data and generate insights, I Want to sell things/Sales"/>
        <s v="Teaching in any of the institutes/colleges/online or offline, Business Operations in any organization, Work in a BPO setup for some well known client, Work as a freelancer and do my thing my way"/>
        <s v="Design and Creative strategy in any company, Manage and drive End-to-End Projects or Products, Work as a freelancer and do my thing my way, Entrepreneur or Start Up"/>
        <s v="Design and Creative strategy in any company, Teaching in any of the institutes/colleges/online or offline, Work as a freelancer and do my thing my way, Entrepreneur or Start Up"/>
        <s v="Teaching in any of the institutes/colleges/online or offline, Business Operations in any organization, Build and develop a Team, Become a content Creator in some platform"/>
        <s v="Design and Creative strategy in any company, Teaching in any of the institutes/colleges/online or offline, Work in a BPO setup for some well known client, Become a content Creator in some platform"/>
        <s v="Design and Creative strategy in any company, Teaching in any of the institutes/colleges/online or offline, Design and Develop amazing software, Work as a freelancer and do my thing my way"/>
        <s v="Manage and drive End-to-End Projects or Products, Build and develop a Team, Look deeply into Data and generate insights, Become a content Creator in some platform"/>
        <s v="Manage and drive End-to-End Projects or Products, Build and develop a Team, Look deeply into Data and generate insights, I Want to sell things/Sales"/>
        <s v="Teaching in any of the institutes/colleges/online or offline, Work as a freelancer and do my thing my way, Become a content Creator in some platform, Entrepreneur or Start Up"/>
        <s v="Manage and drive End-to-End Projects or Products, Design and Develop amazing software, Work in a BPO setup for some well known client, An Artificial Intelligence Specialist / Talking to Robots"/>
        <s v="Business Operations in any organization, Build and develop a Team, Entrepreneur or Start Up, I Want to sell things/Sales"/>
        <s v="Business Operations in any organization, Manage and drive End-to-End Projects or Products, Work as a freelancer and do my thing my way, Manufacturing / Oil and Gas/ Construction / Hard Physical Work related"/>
        <s v="Business Operations in any organization, Build and develop a Team, Become a content Creator in some platform, An Artificial Intelligence Specialist / Talking to Robots"/>
        <s v="Teaching in any of the institutes/colleges/online or offline, Look deeply into Data and generate insights, Work as a freelancer and do my thing my way, Entrepreneur or Start Up"/>
        <s v="Business Operations in any organization, Look deeply into Data and generate insights, Become a content Creator in some platform, Entrepreneur or Start Up"/>
        <s v="Design and Creative strategy in any company, Business Operations in any organization, Become a content Creator in some platform, I Want to sell things/Sales"/>
        <s v="Build and develop a Team, Design and Develop amazing software, Look deeply into Data and generate insights, Entrepreneur or Start Up"/>
        <s v="Teaching in any of the institutes/colleges/online or offline, Business Operations in any organization, Manage and drive End-to-End Projects or Products, Work as a freelancer and do my thing my way"/>
        <s v="Design and Creative strategy in any company, Manage and drive End-to-End Projects or Products, Look deeply into Data and generate insights, An Artificial Intelligence Specialist / Talking to Robots"/>
        <s v="Design and Creative strategy in any company, Business Operations in any organization, Build and develop a Team, I Want to sell things/Sales"/>
        <s v="Design and Creative strategy in any company, Business Operations in any organization, Manage and drive End-to-End Projects or Products, I Want to sell things/Sales"/>
        <s v="Design and Creative strategy in any company, Design and Develop amazing software, Look deeply into Data and generate insights, Entrepreneur or Start Up"/>
        <s v="Teaching in any of the institutes/colleges/online or offline, Business Operations in any organization, Become a content Creator in some platform, An Artificial Intelligence Specialist / Talking to Robots"/>
        <s v="Design and Creative strategy in any company, Teaching in any of the institutes/colleges/online or offline, Build and develop a Team, Work as a freelancer and do my thing my way"/>
        <s v="Teaching in any of the institutes/colleges/online or offline, Business Operations in any organization, Design and Develop amazing software, Work in a BPO setup for some well known client"/>
        <s v="Design and Creative strategy in any company, Teaching in any of the institutes/colleges/online or offline, Manage and drive End-to-End Projects or Products, Manufacturing / Oil and Gas/ Construction / Hard Physical Work related"/>
        <s v="Design and Creative strategy in any company, Manage and drive End-to-End Projects or Products, Build and develop a Team, Become a content Creator in some platform"/>
        <s v="Design and Develop amazing software, Look deeply into Data and generate insights, Work as a freelancer and do my thing my way, Entrepreneur or Start Up"/>
        <s v="Manage and drive End-to-End Projects or Products, Look deeply into Data and generate insights, Entrepreneur or Start Up, An Artificial Intelligence Specialist / Talking to Robots"/>
        <s v="Business Operations in any organization, Build and develop a Team, Look deeply into Data and generate insights, Work as a freelancer and do my thing my way"/>
        <s v="Manage and drive End-to-End Projects or Products, Design and Develop amazing software, Become a content Creator in some platform, Manufacturing / Oil and Gas/ Construction / Hard Physical Work related"/>
        <s v="Teaching in any of the institutes/colleges/online or offline, Business Operations in any organization, I Want to sell things/Sales, An Artificial Intelligence Specialist / Talking to Robots"/>
        <s v="Design and Creative strategy in any company, Look deeply into Data and generate insights, Become a content Creator in some platform, Entrepreneur or Start Up"/>
        <s v="Teaching in any of the institutes/colleges/online or offline, Build and develop a Team, Design and Develop amazing software, Look deeply into Data and generate insights"/>
        <s v="Manage and drive End-to-End Projects or Products, Build and develop a Team, Work in a BPO setup for some well known client, Work as a freelancer and do my thing my way"/>
        <s v="Business Operations in any organization, Manage and drive End-to-End Projects or Products, Work in a BPO setup for some well known client, Work as a freelancer and do my thing my way"/>
        <s v="Business Operations in any organization, Design and Develop amazing software, Look deeply into Data and generate insights, Work in a BPO setup for some well known client"/>
        <s v="Teaching in any of the institutes/colleges/online or offline, Business Operations in any organization, Entrepreneur or Start Up, I Want to sell things/Sales"/>
        <s v="Manage and drive End-to-End Projects or Products, Design and Develop amazing software, Look deeply into Data and generate insights, Work as a freelancer and do my thing my way"/>
        <s v="Manage and drive End-to-End Projects or Products, Look deeply into Data and generate insights, Become a content Creator in some platform, An Artificial Intelligence Specialist / Talking to Robots"/>
        <s v="Design and Creative strategy in any company, Manage and drive End-to-End Projects or Products, Become a content Creator in some platform, Entrepreneur or Start Up"/>
        <s v="Design and Creative strategy in any company, Work as a freelancer and do my thing my way, Become a content Creator in some platform, Entrepreneur or Start Up"/>
        <s v="Design and Develop amazing software, Work as a freelancer and do my thing my way, Entrepreneur or Start Up, Manufacturing / Oil and Gas/ Construction / Hard Physical Work related"/>
        <s v="Look deeply into Data and generate insights, Work as a freelancer and do my thing my way, Entrepreneur or Start Up, An Artificial Intelligence Specialist / Talking to Robots"/>
        <s v="Business Operations in any organization, Look deeply into Data and generate insights, Work in a BPO setup for some well known client, Entrepreneur or Start Up"/>
        <s v="Design and Creative strategy in any company, Teaching in any of the institutes/colleges/online or offline, Look deeply into Data and generate insights, Become a content Creator in some platform"/>
        <s v="Design and Creative strategy in any company, Business Operations in any organization, I Want to sell things/Sales, An Artificial Intelligence Specialist / Talking to Robots"/>
        <s v="Design and Creative strategy in any company, Build and develop a Team, Work as a freelancer and do my thing my way, Manufacturing / Oil and Gas/ Construction / Hard Physical Work related"/>
        <s v="Design and Creative strategy in any company, Manage and drive End-to-End Projects or Products, Look deeply into Data and generate insights, Manufacturing / Oil and Gas/ Construction / Hard Physical Work related"/>
        <s v="Teaching in any of the institutes/colleges/online or offline, Build and develop a Team, Entrepreneur or Start Up, Manufacturing / Oil and Gas/ Construction / Hard Physical Work related"/>
        <s v="Design and Creative strategy in any company, Teaching in any of the institutes/colleges/online or offline, Manage and drive End-to-End Projects or Products, Look deeply into Data and generate insights"/>
        <s v="Build and develop a Team, Entrepreneur or Start Up, An Artificial Intelligence Specialist / Talking to Robots, Manufacturing / Oil and Gas/ Construction / Hard Physical Work related"/>
        <s v="Business Operations in any organization, Build and develop a Team, Look deeply into Data and generate insights, Work in a BPO setup for some well known client"/>
        <s v="Teaching in any of the institutes/colleges/online or offline, Look deeply into Data and generate insights, Entrepreneur or Start Up, I Want to sell things/Sales"/>
        <s v="Business Operations in any organization, Work in a BPO setup for some well known client, Become a content Creator in some platform, Entrepreneur or Start Up"/>
        <s v="Design and Creative strategy in any company, Look deeply into Data and generate insights, Work as a freelancer and do my thing my way, Become a content Creator in some platform"/>
        <s v="Build and develop a Team, Design and Develop amazing software, Look deeply into Data and generate insights, Work in a BPO setup for some well known client"/>
        <s v="Teaching in any of the institutes/colleges/online or offline, Build and develop a Team, Work as a freelancer and do my thing my way, An Artificial Intelligence Specialist / Talking to Robots"/>
        <s v="Design and Creative strategy in any company, Manage and drive End-to-End Projects or Products, Design and Develop amazing software, Entrepreneur or Start Up"/>
        <s v="Design and Creative strategy in any company, Look deeply into Data and generate insights, Entrepreneur or Start Up, I Want to sell things/Sales"/>
        <s v="Manage and drive End-to-End Projects or Products, Design and Develop amazing software, Work as a freelancer and do my thing my way, An Artificial Intelligence Specialist / Talking to Robots"/>
        <s v="Manage and drive End-to-End Projects or Products, Build and develop a Team, Entrepreneur or Start Up, An Artificial Intelligence Specialist / Talking to Robots"/>
        <s v="Teaching in any of the institutes/colleges/online or offline, Manage and drive End-to-End Projects or Products, Work as a freelancer and do my thing my way, Entrepreneur or Start Up"/>
        <s v="Teaching in any of the institutes/colleges/online or offline, Build and develop a Team, Work in a BPO setup for some well known client, Work as a freelancer and do my thing my way"/>
        <s v="Work in a BPO setup for some well known client, Work as a freelancer and do my thing my way, Become a content Creator in some platform, An Artificial Intelligence Specialist / Talking to Robots"/>
        <s v="Design and Creative strategy in any company, Manage and drive End-to-End Projects or Products, An Artificial Intelligence Specialist / Talking to Robots, Manufacturing / Oil and Gas/ Construction / Hard Physical Work related"/>
        <s v="Design and Creative strategy in any company, Business Operations in any organization, Design and Develop amazing software, An Artificial Intelligence Specialist / Talking to Robots"/>
        <s v="Design and Creative strategy in any company, Teaching in any of the institutes/colleges/online or offline, Become a content Creator in some platform, Entrepreneur or Start Up"/>
        <s v="Business Operations in any organization, Manage and drive End-to-End Projects or Products, Look deeply into Data and generate insights, I Want to sell things/Sales"/>
        <s v="Design and Creative strategy in any company, Teaching in any of the institutes/colleges/online or offline, Look deeply into Data and generate insights, Work as a freelancer and do my thing my way"/>
        <s v="Business Operations in any organization, Build and develop a Team, Look deeply into Data and generate insights, An Artificial Intelligence Specialist / Talking to Robots"/>
        <s v="Manage and drive End-to-End Projects or Products, Look deeply into Data and generate insights, An Artificial Intelligence Specialist / Talking to Robots, Manufacturing / Oil and Gas/ Construction / Hard Physical Work related"/>
        <s v="Design and Creative strategy in any company, Design and Develop amazing software, Look deeply into Data and generate insights, An Artificial Intelligence Specialist / Talking to Robots"/>
        <s v="Design and Creative strategy in any company, Look deeply into Data and generate insights, Become a content Creator in some platform, An Artificial Intelligence Specialist / Talking to Robots"/>
        <s v="Business Operations in any organization, Design and Develop amazing software, Look deeply into Data and generate insights, Entrepreneur or Start Up"/>
        <s v="Manage and drive End-to-End Projects or Products, Work as a freelancer and do my thing my way, Become a content Creator in some platform, I Want to sell things/Sales"/>
        <s v="Business Operations in any organization, Look deeply into Data and generate insights, Work as a freelancer and do my thing my way, Become a content Creator in some platform"/>
        <s v="Business Operations in any organization, Work as a freelancer and do my thing my way, Become a content Creator in some platform, I Want to sell things/Sales"/>
        <s v="Design and Creative strategy in any company, Work as a freelancer and do my thing my way, Entrepreneur or Start Up, Manufacturing / Oil and Gas/ Construction / Hard Physical Work related"/>
        <s v="Design and Develop amazing software, Work as a freelancer and do my thing my way, Become a content Creator in some platform, An Artificial Intelligence Specialist / Talking to Robots"/>
        <s v="Design and Creative strategy in any company, Teaching in any of the institutes/colleges/online or offline, Build and develop a Team, I Want to sell things/Sales"/>
        <s v="Build and develop a Team, Entrepreneur or Start Up, I Want to sell things/Sales, An Artificial Intelligence Specialist / Talking to Robots"/>
        <s v="Design and Creative strategy in any company, Business Operations in any organization, Look deeply into Data and generate insights, Manufacturing / Oil and Gas/ Construction / Hard Physical Work related"/>
        <s v="Design and Creative strategy in any company, Build and develop a Team, Entrepreneur or Start Up, Manufacturing / Oil and Gas/ Construction / Hard Physical Work related"/>
        <s v="Teaching in any of the institutes/colleges/online or offline, Work as a freelancer and do my thing my way, Become a content Creator in some platform, Manufacturing / Oil and Gas/ Construction / Hard Physical Work related"/>
        <s v="Manage and drive End-to-End Projects or Products, Look deeply into Data and generate insights, Work as a freelancer and do my thing my way, An Artificial Intelligence Specialist / Talking to Robots"/>
        <s v="Design and Creative strategy in any company, Teaching in any of the institutes/colleges/online or offline, Business Operations in any organization, Entrepreneur or Start Up"/>
        <s v="Design and Creative strategy in any company, Design and Develop amazing software, Work as a freelancer and do my thing my way, An Artificial Intelligence Specialist / Talking to Robots"/>
        <s v="Teaching in any of the institutes/colleges/online or offline, Business Operations in any organization, Look deeply into Data and generate insights, Work as a freelancer and do my thing my way"/>
        <s v="Design and Creative strategy in any company, Design and Develop amazing software, Look deeply into Data and generate insights, Work in a BPO setup for some well known client"/>
        <s v="Design and Creative strategy in any company, Work as a freelancer and do my thing my way, Entrepreneur or Start Up, An Artificial Intelligence Specialist / Talking to Robots"/>
        <s v="Work as a freelancer and do my thing my way, Become a content Creator in some platform, Entrepreneur or Start Up, An Artificial Intelligence Specialist / Talking to Robots"/>
        <s v="Business Operations in any organization, Build and develop a Team, Become a content Creator in some platform, Entrepreneur or Start Up"/>
        <s v="Design and Creative strategy in any company, Build and develop a Team, Design and Develop amazing software, I Want to sell things/Sales"/>
        <s v="Design and Creative strategy in any company, Build and develop a Team, Work as a freelancer and do my thing my way, An Artificial Intelligence Specialist / Talking to Robots"/>
        <s v="Design and Creative strategy in any company, Business Operations in any organization, Work in a BPO setup for some well known client, Entrepreneur or Start Up"/>
        <s v="Teaching in any of the institutes/colleges/online or offline, Build and develop a Team, Look deeply into Data and generate insights, Work in a BPO setup for some well known client"/>
        <s v="Teaching in any of the institutes/colleges/online or offline, Work in a BPO setup for some well known client, Work as a freelancer and do my thing my way, Entrepreneur or Start Up"/>
        <s v="Design and Creative strategy in any company, Business Operations in any organization, Entrepreneur or Start Up, An Artificial Intelligence Specialist / Talking to Robots"/>
        <s v="Teaching in any of the institutes/colleges/online or offline, Design and Develop amazing software, Entrepreneur or Start Up, I Want to sell things/Sales"/>
        <s v="Business Operations in any organization, Work as a freelancer and do my thing my way, Become a content Creator in some platform, Entrepreneur or Start Up"/>
        <s v="Design and Creative strategy in any company, Business Operations in any organization, Look deeply into Data and generate insights, Become a content Creator in some platform"/>
        <s v="Design and Creative strategy in any company, Business Operations in any organization, Build and develop a Team, Work in a BPO setup for some well known client"/>
        <s v="Design and Creative strategy in any company, Manage and drive End-to-End Projects or Products, Build and develop a Team, An Artificial Intelligence Specialist / Talking to Robots"/>
        <s v="Design and Creative strategy in any company, Manage and drive End-to-End Projects or Products, Design and Develop amazing software, Work in a BPO setup for some well known client"/>
        <s v="Teaching in any of the institutes/colleges/online or offline, Business Operations in any organization, Look deeply into Data and generate insights, An Artificial Intelligence Specialist / Talking to Robots"/>
        <s v="Design and Creative strategy in any company, Teaching in any of the institutes/colleges/online or offline, Business Operations in any organization, Work as a freelancer and do my thing my way"/>
        <s v="Design and Creative strategy in any company, Manage and drive End-to-End Projects or Products, I Want to sell things/Sales, Manufacturing / Oil and Gas/ Construction / Hard Physical Work related"/>
        <s v="Build and develop a Team, Look deeply into Data and generate insights, Work in a BPO setup for some well known client, An Artificial Intelligence Specialist / Talking to Robots"/>
        <s v="Design and Creative strategy in any company, Teaching in any of the institutes/colleges/online or offline, Entrepreneur or Start Up, I Want to sell things/Sales"/>
        <s v="Business Operations in any organization, Build and develop a Team, Entrepreneur or Start Up, An Artificial Intelligence Specialist / Talking to Robots"/>
        <s v="Teaching in any of the institutes/colleges/online or offline, Build and develop a Team, Become a content Creator in some platform, An Artificial Intelligence Specialist / Talking to Robots"/>
        <s v="Business Operations in any organization, Look deeply into Data and generate insights, Entrepreneur or Start Up, An Artificial Intelligence Specialist / Talking to Robots"/>
        <s v="Design and Creative strategy in any company, Become a content Creator in some platform, I Want to sell things/Sales, Manufacturing / Oil and Gas/ Construction / Hard Physical Work related"/>
        <s v="Manage and drive End-to-End Projects or Products, Become a content Creator in some platform, I Want to sell things/Sales, Manufacturing / Oil and Gas/ Construction / Hard Physical Work related"/>
        <s v="Design and Creative strategy in any company, Business Operations in any organization, Work in a BPO setup for some well known client, Manufacturing / Oil and Gas/ Construction / Hard Physical Work related"/>
        <s v="Design and Creative strategy in any company, Teaching in any of the institutes/colleges/online or offline, Entrepreneur or Start Up, Manufacturing / Oil and Gas/ Construction / Hard Physical Work related"/>
        <s v="Manage and drive End-to-End Projects or Products, Design and Develop amazing software, Entrepreneur or Start Up, I Want to sell things/Sales"/>
        <s v="Design and Creative strategy in any company, Work in a BPO setup for some well known client, Work as a freelancer and do my thing my way, Become a content Creator in some platform"/>
        <s v="Teaching in any of the institutes/colleges/online or offline, Business Operations in any organization, Work as a freelancer and do my thing my way, Become a content Creator in some platform"/>
        <s v="Teaching in any of the institutes/colleges/online or offline, Build and develop a Team, Work as a freelancer and do my thing my way, Become a content Creator in some platform"/>
        <s v="Build and develop a Team, Design and Develop amazing software, I Want to sell things/Sales, Manufacturing / Oil and Gas/ Construction / Hard Physical Work related"/>
        <s v="Teaching in any of the institutes/colleges/online or offline, Build and develop a Team, Look deeply into Data and generate insights, Entrepreneur or Start Up"/>
        <s v="Design and Creative strategy in any company, Teaching in any of the institutes/colleges/online or offline, Manage and drive End-to-End Projects or Products, An Artificial Intelligence Specialist / Talking to Robots"/>
        <s v="Teaching in any of the institutes/colleges/online or offline, Manage and drive End-to-End Projects or Products, Build and develop a Team, Become a content Creator in some platform"/>
        <s v="Design and Creative strategy in any company, Business Operations in any organization, Work in a BPO setup for some well known client, Become a content Creator in some platform"/>
        <s v="Design and Creative strategy in any company, Entrepreneur or Start Up, I Want to sell things/Sales, An Artificial Intelligence Specialist / Talking to Robots"/>
        <s v="Design and Creative strategy in any company, Work as a freelancer and do my thing my way, I Want to sell things/Sales, Manufacturing / Oil and Gas/ Construction / Hard Physical Work related"/>
        <s v="Design and Creative strategy in any company, Teaching in any of the institutes/colleges/online or offline, Manage and drive End-to-End Projects or Products, Work as a freelancer and do my thing my way"/>
        <s v="Teaching in any of the institutes/colleges/online or offline, Look deeply into Data and generate insights, Become a content Creator in some platform, I Want to sell things/Sales"/>
        <s v="Business Operations in any organization, Work in a BPO setup for some well known client, Work as a freelancer and do my thing my way, Become a content Creator in some platform"/>
        <s v="Design and Creative strategy in any company, Manage and drive End-to-End Projects or Products, Look deeply into Data and generate insights, I Want to sell things/Sales"/>
        <s v="Design and Creative strategy in any company, Build and develop a Team, Entrepreneur or Start Up, I Want to sell things/Sales"/>
        <s v="Design and Creative strategy in any company, Manage and drive End-to-End Projects or Products, Build and develop a Team, I Want to sell things/Sales"/>
        <s v="Design and Creative strategy in any company, Design and Develop amazing software, Look deeply into Data and generate insights, Become a content Creator in some platform"/>
        <s v="Design and Creative strategy in any company, Manage and drive End-to-End Projects or Products, Work in a BPO setup for some well known client, Work as a freelancer and do my thing my way"/>
        <s v="Teaching in any of the institutes/colleges/online or offline, Manage and drive End-to-End Projects or Products, Look deeply into Data and generate insights, An Artificial Intelligence Specialist / Talking to Robots"/>
        <s v="Work in a BPO setup for some well known client, Work as a freelancer and do my thing my way, An Artificial Intelligence Specialist / Talking to Robots, Manufacturing / Oil and Gas/ Construction / Hard Physical Work related"/>
        <s v="Design and Creative strategy in any company, Teaching in any of the institutes/colleges/online or offline, I Want to sell things/Sales, An Artificial Intelligence Specialist / Talking to Robots"/>
        <s v="Manage and drive End-to-End Projects or Products, Build and develop a Team, Look deeply into Data and generate insights, An Artificial Intelligence Specialist / Talking to Robots"/>
        <s v="Teaching in any of the institutes/colleges/online or offline, Business Operations in any organization, Look deeply into Data and generate insights, Become a content Creator in some platform"/>
        <s v="Manage and drive End-to-End Projects or Products, Look deeply into Data and generate insights, Work in a BPO setup for some well known client, Manufacturing / Oil and Gas/ Construction / Hard Physical Work related"/>
        <s v="Become a content Creator in some platform, Entrepreneur or Start Up, I Want to sell things/Sales, Manufacturing / Oil and Gas/ Construction / Hard Physical Work related"/>
        <s v="Teaching in any of the institutes/colleges/online or offline, Build and develop a Team, Design and Develop amazing software, Entrepreneur or Start Up"/>
        <s v="Design and Creative strategy in any company, Business Operations in any organization, Work in a BPO setup for some well known client, Work as a freelancer and do my thing my way"/>
        <s v="Design and Creative strategy in any company, Manage and drive End-to-End Projects or Products, Design and Develop amazing software, Manufacturing / Oil and Gas/ Construction / Hard Physical Work related"/>
        <s v="Design and Creative strategy in any company, Manage and drive End-to-End Projects or Products, Design and Develop amazing software, Become a content Creator in some platform"/>
        <s v="Teaching in any of the institutes/colleges/online or offline, Manage and drive End-to-End Projects or Products, Become a content Creator in some platform, Entrepreneur or Start Up"/>
        <s v="Design and Develop amazing software, Work as a freelancer and do my thing my way, Become a content Creator in some platform, Entrepreneur or Start Up"/>
        <s v="Business Operations in any organization, Manage and drive End-to-End Projects or Products, Build and develop a Team, Become a content Creator in some platform"/>
        <s v="Business Operations in any organization, Build and develop a Team, Look deeply into Data and generate insights, I Want to sell things/Sales"/>
        <s v="Design and Creative strategy in any company, Manage and drive End-to-End Projects or Products, Work in a BPO setup for some well known client, I Want to sell things/Sales"/>
        <s v="Business Operations in any organization, Manage and drive End-to-End Projects or Products, Work as a freelancer and do my thing my way, I Want to sell things/Sales"/>
        <s v="Teaching in any of the institutes/colleges/online or offline, Work as a freelancer and do my thing my way, Become a content Creator in some platform, I Want to sell things/Sales"/>
        <s v="Teaching in any of the institutes/colleges/online or offline, Business Operations in any organization, An Artificial Intelligence Specialist / Talking to Robots, Manufacturing / Oil and Gas/ Construction / Hard Physical Work related"/>
        <s v="Design and Creative strategy in any company, Build and develop a Team, Look deeply into Data and generate insights, Work as a freelancer and do my thing my way"/>
        <s v="Business Operations in any organization, Build and develop a Team, Work in a BPO setup for some well known client, Entrepreneur or Start Up"/>
        <s v="Teaching in any of the institutes/colleges/online or offline, Look deeply into Data and generate insights, Work in a BPO setup for some well known client, An Artificial Intelligence Specialist / Talking to Robots"/>
        <s v="Teaching in any of the institutes/colleges/online or offline, Look deeply into Data and generate insights, Entrepreneur or Start Up, An Artificial Intelligence Specialist / Talking to Robots"/>
        <s v="Business Operations in any organization, Manage and drive End-to-End Projects or Products, Work as a freelancer and do my thing my way, An Artificial Intelligence Specialist / Talking to Robots"/>
        <s v="Design and Creative strategy in any company, Teaching in any of the institutes/colleges/online or offline, Manage and drive End-to-End Projects or Products, Become a content Creator in some platform"/>
        <s v="Design and Creative strategy in any company, Teaching in any of the institutes/colleges/online or offline, Build and develop a Team, An Artificial Intelligence Specialist / Talking to Robots"/>
        <s v="Design and Creative strategy in any company, Become a content Creator in some platform, Entrepreneur or Start Up, An Artificial Intelligence Specialist / Talking to Robots"/>
        <s v="Teaching in any of the institutes/colleges/online or offline, Manage and drive End-to-End Projects or Products, Look deeply into Data and generate insights, Entrepreneur or Start Up"/>
        <s v="Business Operations in any organization, Build and develop a Team, Work in a BPO setup for some well known client, Manufacturing / Oil and Gas/ Construction / Hard Physical Work related"/>
        <s v="Design and Develop amazing software, Entrepreneur or Start Up, An Artificial Intelligence Specialist / Talking to Robots, Manufacturing / Oil and Gas/ Construction / Hard Physical Work related"/>
        <s v="Work as a freelancer and do my thing my way, Become a content Creator in some platform, I Want to sell things/Sales, An Artificial Intelligence Specialist / Talking to Robots"/>
        <s v="Work in a BPO setup for some well known client, I Want to sell things/Sales, An Artificial Intelligence Specialist / Talking to Robots, Manufacturing / Oil and Gas/ Construction / Hard Physical Work related"/>
        <s v="Manage and drive End-to-End Projects or Products, Work in a BPO setup for some well known client, Become a content Creator in some platform, I Want to sell things/Sales"/>
        <s v="Design and Creative strategy in any company, Design and Develop amazing software, Become a content Creator in some platform, I Want to sell things/Sales"/>
        <s v="Teaching in any of the institutes/colleges/online or offline, Become a content Creator in some platform, Entrepreneur or Start Up, I Want to sell things/Sales"/>
        <s v="Business Operations in any organization, Look deeply into Data and generate insights, Entrepreneur or Start Up, I Want to sell things/Sales"/>
        <s v="Design and Creative strategy in any company, Look deeply into Data and generate insights, Entrepreneur or Start Up, An Artificial Intelligence Specialist / Talking to Robots"/>
        <s v="Teaching in any of the institutes/colleges/online or offline, Manage and drive End-to-End Projects or Products, Look deeply into Data and generate insights, Manufacturing / Oil and Gas/ Construction / Hard Physical Work related"/>
        <s v="Teaching in any of the institutes/colleges/online or offline, Look deeply into Data and generate insights, Become a content Creator in some platform, An Artificial Intelligence Specialist / Talking to Robots"/>
        <s v="Teaching in any of the institutes/colleges/online or offline, Manage and drive End-to-End Projects or Products, Work as a freelancer and do my thing my way, Become a content Creator in some platform"/>
        <s v="Design and Creative strategy in any company, Teaching in any of the institutes/colleges/online or offline, Design and Develop amazing software, Look deeply into Data and generate insights"/>
        <s v="Manage and drive End-to-End Projects or Products, Design and Develop amazing software, An Artificial Intelligence Specialist / Talking to Robots, Manufacturing / Oil and Gas/ Construction / Hard Physical Work related"/>
        <s v="Business Operations in any organization, Work in a BPO setup for some well known client, Entrepreneur or Start Up, Manufacturing / Oil and Gas/ Construction / Hard Physical Work related"/>
        <s v="Teaching in any of the institutes/colleges/online or offline, Business Operations in any organization, Design and Develop amazing software, Look deeply into Data and generate insights"/>
        <s v="Design and Creative strategy in any company, Work in a BPO setup for some well known client, An Artificial Intelligence Specialist / Talking to Robots, Manufacturing / Oil and Gas/ Construction / Hard Physical Work related"/>
        <s v="Look deeply into Data and generate insights, Work in a BPO setup for some well known client, Work as a freelancer and do my thing my way, Become a content Creator in some platform"/>
        <s v="Manage and drive End-to-End Projects or Products, Look deeply into Data and generate insights, Entrepreneur or Start Up, I Want to sell things/Sales"/>
        <s v="Business Operations in any organization, Design and Develop amazing software, Work as a freelancer and do my thing my way, An Artificial Intelligence Specialist / Talking to Robots"/>
        <s v="Business Operations in any organization, Become a content Creator in some platform, Entrepreneur or Start Up, An Artificial Intelligence Specialist / Talking to Robots"/>
        <s v="Teaching in any of the institutes/colleges/online or offline, Manage and drive End-to-End Projects or Products, Design and Develop amazing software, Entrepreneur or Start Up"/>
        <s v="Manage and drive End-to-End Projects or Products, Become a content Creator in some platform, Entrepreneur or Start Up, Manufacturing / Oil and Gas/ Construction / Hard Physical Work related"/>
        <s v="Teaching in any of the institutes/colleges/online or offline, Build and develop a Team, Entrepreneur or Start Up, I Want to sell things/Sales"/>
        <s v="Teaching in any of the institutes/colleges/online or offline, Build and develop a Team, I Want to sell things/Sales, An Artificial Intelligence Specialist / Talking to Robots"/>
        <s v="Design and Creative strategy in any company, Build and develop a Team, Work as a freelancer and do my thing my way, Become a content Creator in some platform"/>
        <s v="Design and Creative strategy in any company, Teaching in any of the institutes/colleges/online or offline, Entrepreneur or Start Up, An Artificial Intelligence Specialist / Talking to Robots"/>
        <s v="Design and Creative strategy in any company, Build and develop a Team, Entrepreneur or Start Up, An Artificial Intelligence Specialist / Talking to Robots"/>
        <s v="Business Operations in any organization, Manage and drive End-to-End Projects or Products, Look deeply into Data and generate insights, Work in a BPO setup for some well known client"/>
        <s v="Business Operations in any organization, Look deeply into Data and generate insights, Work in a BPO setup for some well known client, Work as a freelancer and do my thing my way"/>
        <s v="Business Operations in any organization, Work in a BPO setup for some well known client, Work as a freelancer and do my thing my way, Entrepreneur or Start Up"/>
        <s v="Business Operations in any organization, Design and Develop amazing software, Work in a BPO setup for some well known client, Entrepreneur or Start Up"/>
        <s v="Look deeply into Data and generate insights, Work in a BPO setup for some well known client, Work as a freelancer and do my thing my way, Entrepreneur or Start Up"/>
        <s v="Design and Creative strategy in any company, Look deeply into Data and generate insights, Entrepreneur or Start Up, Manufacturing / Oil and Gas/ Construction / Hard Physical Work related"/>
        <s v="Build and develop a Team, Work in a BPO setup for some well known client, Entrepreneur or Start Up, An Artificial Intelligence Specialist / Talking to Robots"/>
        <s v="Business Operations in any organization, Build and develop a Team, Work in a BPO setup for some well known client, Become a content Creator in some platform"/>
        <s v="Design and Develop amazing software, Look deeply into Data and generate insights, Work in a BPO setup for some well known client, Work as a freelancer and do my thing my way"/>
        <s v="Business Operations in any organization, Manage and drive End-to-End Projects or Products, Become a content Creator in some platform, I Want to sell things/Sales"/>
        <s v="Design and Creative strategy in any company, Teaching in any of the institutes/colleges/online or offline, Design and Develop amazing software, Manufacturing / Oil and Gas/ Construction / Hard Physical Work related"/>
        <s v="Manage and drive End-to-End Projects or Products, Build and develop a Team, Become a content Creator in some platform, An Artificial Intelligence Specialist / Talking to Robots"/>
        <s v="Teaching in any of the institutes/colleges/online or offline, Look deeply into Data and generate insights, Work as a freelancer and do my thing my way, Manufacturing / Oil and Gas/ Construction / Hard Physical Work related"/>
        <s v="Design and Develop amazing software, Become a content Creator in some platform, An Artificial Intelligence Specialist / Talking to Robots, Manufacturing / Oil and Gas/ Construction / Hard Physical Work related"/>
        <s v="Design and Develop amazing software, Look deeply into Data and generate insights, Become a content Creator in some platform, An Artificial Intelligence Specialist / Talking to Robots"/>
        <s v="Teaching in any of the institutes/colleges/online or offline, Work as a freelancer and do my thing my way, Entrepreneur or Start Up, An Artificial Intelligence Specialist / Talking to Robots"/>
        <s v="Business Operations in any organization, Build and develop a Team, Design and Develop amazing software, Work as a freelancer and do my thing my way"/>
        <s v="Design and Creative strategy in any company, Build and develop a Team, Work as a freelancer and do my thing my way, I Want to sell things/Sales"/>
        <s v="Business Operations in any organization, Manage and drive End-to-End Projects or Products, Look deeply into Data and generate insights, Become a content Creator in some platform"/>
        <s v="Work as a freelancer and do my thing my way, Entrepreneur or Start Up, I Want to sell things/Sales, An Artificial Intelligence Specialist / Talking to Robots"/>
        <s v="Business Operations in any organization, Design and Develop amazing software, Work in a BPO setup for some well known client, Manufacturing / Oil and Gas/ Construction / Hard Physical Work related"/>
        <s v="Teaching in any of the institutes/colleges/online or offline, Design and Develop amazing software, Entrepreneur or Start Up, An Artificial Intelligence Specialist / Talking to Robots"/>
        <s v="Design and Develop amazing software, Entrepreneur or Start Up, I Want to sell things/Sales, An Artificial Intelligence Specialist / Talking to Robots"/>
        <s v="Teaching in any of the institutes/colleges/online or offline, Business Operations in any organization, Manage and drive End-to-End Projects or Products, Manufacturing / Oil and Gas/ Construction / Hard Physical Work related"/>
        <s v="Design and Creative strategy in any company, Business Operations in any organization, I Want to sell things/Sales, Manufacturing / Oil and Gas/ Construction / Hard Physical Work related"/>
        <s v="Business Operations in any organization, Build and develop a Team, Look deeply into Data and generate insights, Become a content Creator in some platform"/>
        <s v="Design and Develop amazing software, Work as a freelancer and do my thing my way, Become a content Creator in some platform, I Want to sell things/Sales"/>
        <s v="Build and develop a Team, Work in a BPO setup for some well known client, Work as a freelancer and do my thing my way, I Want to sell things/Sales"/>
        <s v="Design and Creative strategy in any company, Teaching in any of the institutes/colleges/online or offline, Work in a BPO setup for some well known client, Entrepreneur or Start Up"/>
        <s v="Design and Creative strategy in any company, Look deeply into Data and generate insights, Work in a BPO setup for some well known client, Work as a freelancer and do my thing my way"/>
        <s v="Teaching in any of the institutes/colleges/online or offline, Look deeply into Data and generate insights, Work as a freelancer and do my thing my way, An Artificial Intelligence Specialist / Talking to Robots"/>
        <s v="Teaching in any of the institutes/colleges/online or offline, Business Operations in any organization, Build and develop a Team, An Artificial Intelligence Specialist / Talking to Robots"/>
        <s v="Business Operations in any organization, Look deeply into Data and generate insights, Work in a BPO setup for some well known client, An Artificial Intelligence Specialist / Talking to Robots"/>
        <s v="Design and Creative strategy in any company, Teaching in any of the institutes/colleges/online or offline, Work as a freelancer and do my thing my way, An Artificial Intelligence Specialist / Talking to Robots"/>
        <s v="Design and Creative strategy in any company, Work as a freelancer and do my thing my way, Entrepreneur or Start Up, I Want to sell things/Sales"/>
        <s v="Design and Creative strategy in any company, Work as a freelancer and do my thing my way, Become a content Creator in some platform, An Artificial Intelligence Specialist / Talking to Robots"/>
        <s v="Teaching in any of the institutes/colleges/online or offline, Manage and drive End-to-End Projects or Products, Look deeply into Data and generate insights, Become a content Creator in some platform"/>
        <s v="Build and develop a Team, Look deeply into Data and generate insights, An Artificial Intelligence Specialist / Talking to Robots, Manufacturing / Oil and Gas/ Construction / Hard Physical Work related"/>
        <s v="Design and Creative strategy in any company, Teaching in any of the institutes/colleges/online or offline, Become a content Creator in some platform, I Want to sell things/Sales"/>
        <s v="Build and develop a Team, Design and Develop amazing software, Become a content Creator in some platform, I Want to sell things/Sales"/>
        <s v="Business Operations in any organization, Manage and drive End-to-End Projects or Products, Work in a BPO setup for some well known client, Entrepreneur or Start Up"/>
        <s v="Business Operations in any organization, Look deeply into Data and generate insights, Work in a BPO setup for some well known client, Become a content Creator in some platform"/>
        <s v="Build and develop a Team, Look deeply into Data and generate insights, Become a content Creator in some platform, Manufacturing / Oil and Gas/ Construction / Hard Physical Work related"/>
        <s v="Design and Creative strategy in any company, Work in a BPO setup for some well known client, Work as a freelancer and do my thing my way, Entrepreneur or Start Up"/>
        <s v="Design and Creative strategy in any company, Become a content Creator in some platform, Entrepreneur or Start Up, Manufacturing / Oil and Gas/ Construction / Hard Physical Work related"/>
        <s v="Build and develop a Team, Work as a freelancer and do my thing my way, Become a content Creator in some platform, Entrepreneur or Start Up"/>
        <s v="Look deeply into Data and generate insights, Work as a freelancer and do my thing my way, Entrepreneur or Start Up, I Want to sell things/Sales"/>
        <s v="Teaching in any of the institutes/colleges/online or offline, Build and develop a Team, Design and Develop amazing software, An Artificial Intelligence Specialist / Talking to Robots"/>
        <s v="Business Operations in any organization, Build and develop a Team, Work as a freelancer and do my thing my way, Manufacturing / Oil and Gas/ Construction / Hard Physical Work related"/>
        <s v="Teaching in any of the institutes/colleges/online or offline, Business Operations in any organization, Manage and drive End-to-End Projects or Products, Work in a BPO setup for some well known client"/>
        <s v="Manage and drive End-to-End Projects or Products, Design and Develop amazing software, Work as a freelancer and do my thing my way, Entrepreneur or Start Up"/>
        <s v="Manage and drive End-to-End Projects or Products, Build and develop a Team, Look deeply into Data and generate insights, Work in a BPO setup for some well known client"/>
        <s v="Teaching in any of the institutes/colleges/online or offline, Build and develop a Team, Work in a BPO setup for some well known client, Become a content Creator in some platform"/>
        <s v="Teaching in any of the institutes/colleges/online or offline, Work as a freelancer and do my thing my way, Entrepreneur or Start Up, I Want to sell things/Sales"/>
        <s v="Design and Creative strategy in any company, Teaching in any of the institutes/colleges/online or offline, Manage and drive End-to-End Projects or Products, I Want to sell things/Sales"/>
        <s v="Teaching in any of the institutes/colleges/online or offline, Business Operations in any organization, Work as a freelancer and do my thing my way, An Artificial Intelligence Specialist / Talking to Robots"/>
        <s v="Teaching in any of the institutes/colleges/online or offline, Look deeply into Data and generate insights, Work in a BPO setup for some well known client, Work as a freelancer and do my thing my way"/>
        <s v="Teaching in any of the institutes/colleges/online or offline, Design and Develop amazing software, Look deeply into Data and generate insights, Become a content Creator in some platform"/>
        <s v="Teaching in any of the institutes/colleges/online or offline, Manage and drive End-to-End Projects or Products, Build and develop a Team, Work as a freelancer and do my thing my way"/>
        <s v="Design and Develop amazing software, Look deeply into Data and generate insights, I Want to sell things/Sales, Manufacturing / Oil and Gas/ Construction / Hard Physical Work related"/>
        <s v="Design and Creative strategy in any company, Manage and drive End-to-End Projects or Products, Become a content Creator in some platform, An Artificial Intelligence Specialist / Talking to Robots"/>
      </sharedItems>
    </cacheField>
    <cacheField name="What type of Manager would you work without looking into your watch ?" numFmtId="0">
      <sharedItems count="5">
        <s v="Manager who explains what is expected, sets a goal and helps achieve it"/>
        <s v="Manager who sets goal and helps me achieve it"/>
        <s v="Manager who clearly describes what she/he needs"/>
        <s v="Manager who sets targets and expects me to achieve it"/>
        <s v="Manager who sets unrealistic targets"/>
      </sharedItems>
    </cacheField>
    <cacheField name="working setup you like" numFmtId="0">
      <sharedItems count="26">
        <s v="Work alone, Work with 2 to 3 people in my team, Work with 5 to 6 people in my team, Work with 7 to 10 or more people in my team, Work with more than 10 people in my team"/>
        <s v="Work with 5 to 6 people in my team"/>
        <s v="Work with 2 to 3 people in my team, Work with 5 to 6 people in my team"/>
        <s v="Work with 2 to 3 people in my team"/>
        <s v="Work with 7 to 10 or more people in my team"/>
        <s v="Work alone, Work with 2 to 3 people in my team, Work with 5 to 6 people in my team"/>
        <s v="Work alone"/>
        <s v="Work with more than 10 people in my team"/>
        <s v="Work with 5 to 6 people in my team, Work with 7 to 10 or more people in my team"/>
        <s v="Work alone, Work with 5 to 6 people in my team"/>
        <s v="Work alone, Work with 2 to 3 people in my team, Work with 7 to 10 or more people in my team"/>
        <s v="Work alone, Work with 2 to 3 people in my team"/>
        <s v="Work with 5 to 6 people in my team, Work with 7 to 10 or more people in my team, Work with more than 10 people in my team"/>
        <s v="Work alone, Work with more than 10 people in my team"/>
        <s v="Work with 2 to 3 people in my team, Work with 5 to 6 people in my team, Work with 7 to 10 or more people in my team, Work with more than 10 people in my team"/>
        <s v="Work with 7 to 10 or more people in my team, Work with more than 10 people in my team"/>
        <s v="Work with 2 to 3 people in my team, Work with 5 to 6 people in my team, Work with 7 to 10 or more people in my team"/>
        <s v="Work with 2 to 3 people in my team, Work with 7 to 10 or more people in my team, Work with more than 10 people in my team"/>
        <s v="Work with 5 to 6 people in my team, Work with more than 10 people in my team"/>
        <s v="Work alone, Work with 2 to 3 people in my team, Work with 5 to 6 people in my team, Work with 7 to 10 or more people in my team"/>
        <s v="Work with 2 to 3 people in my team, Work with 5 to 6 people in my team, Work with more than 10 people in my team"/>
        <s v="Work alone, Work with 2 to 3 people in my team, Work with more than 10 people in my team"/>
        <s v="Work alone, Work with 7 to 10 or more people in my team, Work with more than 10 people in my team"/>
        <s v="Work with 2 to 3 people in my team, Work with more than 10 people in my team"/>
        <s v="Work alone, Work with 7 to 10 or more people in my team"/>
        <s v="Work alone, Work with 5 to 6 people in my team, Work with 7 to 10 or more people in my tea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42">
  <r>
    <d v="2022-12-16T11:46:06"/>
    <x v="0"/>
    <x v="0"/>
    <x v="0"/>
    <x v="0"/>
    <x v="0"/>
    <x v="0"/>
    <x v="0"/>
    <x v="0"/>
    <n v="4"/>
    <x v="0"/>
    <x v="0"/>
    <x v="0"/>
    <x v="0"/>
    <x v="0"/>
    <x v="0"/>
  </r>
  <r>
    <d v="2022-12-16T11:46:34"/>
    <x v="0"/>
    <x v="1"/>
    <x v="0"/>
    <x v="0"/>
    <x v="1"/>
    <x v="0"/>
    <x v="0"/>
    <x v="0"/>
    <n v="1"/>
    <x v="1"/>
    <x v="1"/>
    <x v="1"/>
    <x v="1"/>
    <x v="0"/>
    <x v="1"/>
  </r>
  <r>
    <d v="2022-12-16T11:55:22"/>
    <x v="0"/>
    <x v="2"/>
    <x v="1"/>
    <x v="1"/>
    <x v="0"/>
    <x v="1"/>
    <x v="1"/>
    <x v="1"/>
    <n v="7"/>
    <x v="2"/>
    <x v="1"/>
    <x v="2"/>
    <x v="2"/>
    <x v="0"/>
    <x v="2"/>
  </r>
  <r>
    <d v="2022-12-16T11:58:46"/>
    <x v="0"/>
    <x v="3"/>
    <x v="0"/>
    <x v="2"/>
    <x v="1"/>
    <x v="0"/>
    <x v="0"/>
    <x v="0"/>
    <n v="6"/>
    <x v="2"/>
    <x v="1"/>
    <x v="0"/>
    <x v="3"/>
    <x v="0"/>
    <x v="3"/>
  </r>
  <r>
    <d v="2022-12-16T11:59:26"/>
    <x v="0"/>
    <x v="4"/>
    <x v="1"/>
    <x v="3"/>
    <x v="1"/>
    <x v="1"/>
    <x v="0"/>
    <x v="0"/>
    <n v="5"/>
    <x v="1"/>
    <x v="2"/>
    <x v="3"/>
    <x v="4"/>
    <x v="0"/>
    <x v="2"/>
  </r>
  <r>
    <d v="2022-12-16T11:59:37"/>
    <x v="0"/>
    <x v="5"/>
    <x v="1"/>
    <x v="4"/>
    <x v="0"/>
    <x v="0"/>
    <x v="0"/>
    <x v="0"/>
    <n v="6"/>
    <x v="1"/>
    <x v="2"/>
    <x v="4"/>
    <x v="3"/>
    <x v="0"/>
    <x v="3"/>
  </r>
  <r>
    <d v="2022-12-16T12:00:03"/>
    <x v="0"/>
    <x v="4"/>
    <x v="0"/>
    <x v="2"/>
    <x v="1"/>
    <x v="0"/>
    <x v="1"/>
    <x v="1"/>
    <n v="7"/>
    <x v="1"/>
    <x v="1"/>
    <x v="4"/>
    <x v="5"/>
    <x v="0"/>
    <x v="1"/>
  </r>
  <r>
    <d v="2022-12-16T12:02:07"/>
    <x v="0"/>
    <x v="6"/>
    <x v="0"/>
    <x v="2"/>
    <x v="1"/>
    <x v="0"/>
    <x v="0"/>
    <x v="1"/>
    <n v="5"/>
    <x v="2"/>
    <x v="1"/>
    <x v="2"/>
    <x v="3"/>
    <x v="0"/>
    <x v="4"/>
  </r>
  <r>
    <d v="2022-12-16T12:12:10"/>
    <x v="0"/>
    <x v="7"/>
    <x v="0"/>
    <x v="2"/>
    <x v="1"/>
    <x v="0"/>
    <x v="1"/>
    <x v="0"/>
    <n v="6"/>
    <x v="1"/>
    <x v="0"/>
    <x v="1"/>
    <x v="6"/>
    <x v="0"/>
    <x v="1"/>
  </r>
  <r>
    <d v="2022-12-16T12:36:25"/>
    <x v="0"/>
    <x v="8"/>
    <x v="0"/>
    <x v="1"/>
    <x v="1"/>
    <x v="0"/>
    <x v="1"/>
    <x v="1"/>
    <n v="7"/>
    <x v="3"/>
    <x v="0"/>
    <x v="3"/>
    <x v="3"/>
    <x v="0"/>
    <x v="5"/>
  </r>
  <r>
    <d v="2022-12-16T12:41:19"/>
    <x v="0"/>
    <x v="9"/>
    <x v="0"/>
    <x v="2"/>
    <x v="0"/>
    <x v="0"/>
    <x v="1"/>
    <x v="1"/>
    <n v="8"/>
    <x v="1"/>
    <x v="1"/>
    <x v="2"/>
    <x v="7"/>
    <x v="1"/>
    <x v="5"/>
  </r>
  <r>
    <d v="2022-12-16T12:42:13"/>
    <x v="0"/>
    <x v="10"/>
    <x v="0"/>
    <x v="0"/>
    <x v="1"/>
    <x v="1"/>
    <x v="0"/>
    <x v="0"/>
    <n v="1"/>
    <x v="1"/>
    <x v="2"/>
    <x v="1"/>
    <x v="8"/>
    <x v="1"/>
    <x v="6"/>
  </r>
  <r>
    <d v="2022-12-16T13:03:23"/>
    <x v="0"/>
    <x v="11"/>
    <x v="0"/>
    <x v="4"/>
    <x v="1"/>
    <x v="0"/>
    <x v="1"/>
    <x v="1"/>
    <n v="4"/>
    <x v="2"/>
    <x v="2"/>
    <x v="5"/>
    <x v="9"/>
    <x v="1"/>
    <x v="3"/>
  </r>
  <r>
    <d v="2022-12-16T13:20:55"/>
    <x v="0"/>
    <x v="12"/>
    <x v="0"/>
    <x v="0"/>
    <x v="0"/>
    <x v="0"/>
    <x v="0"/>
    <x v="0"/>
    <n v="1"/>
    <x v="1"/>
    <x v="1"/>
    <x v="2"/>
    <x v="5"/>
    <x v="1"/>
    <x v="1"/>
  </r>
  <r>
    <d v="2022-12-16T13:23:27"/>
    <x v="0"/>
    <x v="13"/>
    <x v="1"/>
    <x v="2"/>
    <x v="0"/>
    <x v="0"/>
    <x v="1"/>
    <x v="0"/>
    <n v="6"/>
    <x v="2"/>
    <x v="1"/>
    <x v="1"/>
    <x v="10"/>
    <x v="0"/>
    <x v="7"/>
  </r>
  <r>
    <d v="2022-12-16T13:25:06"/>
    <x v="0"/>
    <x v="14"/>
    <x v="0"/>
    <x v="2"/>
    <x v="1"/>
    <x v="0"/>
    <x v="0"/>
    <x v="0"/>
    <n v="8"/>
    <x v="4"/>
    <x v="1"/>
    <x v="4"/>
    <x v="11"/>
    <x v="0"/>
    <x v="8"/>
  </r>
  <r>
    <d v="2022-12-16T13:26:05"/>
    <x v="0"/>
    <x v="15"/>
    <x v="0"/>
    <x v="3"/>
    <x v="0"/>
    <x v="0"/>
    <x v="0"/>
    <x v="0"/>
    <n v="1"/>
    <x v="2"/>
    <x v="1"/>
    <x v="1"/>
    <x v="12"/>
    <x v="0"/>
    <x v="2"/>
  </r>
  <r>
    <d v="2022-12-16T13:29:30"/>
    <x v="0"/>
    <x v="16"/>
    <x v="0"/>
    <x v="4"/>
    <x v="0"/>
    <x v="1"/>
    <x v="0"/>
    <x v="0"/>
    <n v="2"/>
    <x v="3"/>
    <x v="2"/>
    <x v="1"/>
    <x v="13"/>
    <x v="1"/>
    <x v="1"/>
  </r>
  <r>
    <d v="2022-12-16T13:34:10"/>
    <x v="0"/>
    <x v="17"/>
    <x v="0"/>
    <x v="0"/>
    <x v="0"/>
    <x v="0"/>
    <x v="0"/>
    <x v="1"/>
    <n v="6"/>
    <x v="3"/>
    <x v="2"/>
    <x v="2"/>
    <x v="14"/>
    <x v="0"/>
    <x v="7"/>
  </r>
  <r>
    <d v="2022-12-16T13:36:18"/>
    <x v="0"/>
    <x v="18"/>
    <x v="1"/>
    <x v="3"/>
    <x v="0"/>
    <x v="2"/>
    <x v="0"/>
    <x v="0"/>
    <n v="7"/>
    <x v="2"/>
    <x v="0"/>
    <x v="4"/>
    <x v="15"/>
    <x v="0"/>
    <x v="9"/>
  </r>
  <r>
    <d v="2022-12-16T13:40:33"/>
    <x v="0"/>
    <x v="19"/>
    <x v="1"/>
    <x v="2"/>
    <x v="1"/>
    <x v="0"/>
    <x v="0"/>
    <x v="0"/>
    <n v="1"/>
    <x v="2"/>
    <x v="1"/>
    <x v="0"/>
    <x v="16"/>
    <x v="0"/>
    <x v="1"/>
  </r>
  <r>
    <d v="2022-12-16T13:45:48"/>
    <x v="0"/>
    <x v="4"/>
    <x v="0"/>
    <x v="4"/>
    <x v="0"/>
    <x v="2"/>
    <x v="0"/>
    <x v="0"/>
    <n v="1"/>
    <x v="3"/>
    <x v="1"/>
    <x v="3"/>
    <x v="17"/>
    <x v="2"/>
    <x v="3"/>
  </r>
  <r>
    <d v="2022-12-16T13:46:59"/>
    <x v="0"/>
    <x v="20"/>
    <x v="1"/>
    <x v="4"/>
    <x v="0"/>
    <x v="0"/>
    <x v="1"/>
    <x v="0"/>
    <n v="3"/>
    <x v="1"/>
    <x v="0"/>
    <x v="3"/>
    <x v="18"/>
    <x v="2"/>
    <x v="10"/>
  </r>
  <r>
    <d v="2022-12-16T13:51:24"/>
    <x v="0"/>
    <x v="21"/>
    <x v="0"/>
    <x v="0"/>
    <x v="1"/>
    <x v="1"/>
    <x v="0"/>
    <x v="1"/>
    <n v="8"/>
    <x v="3"/>
    <x v="1"/>
    <x v="5"/>
    <x v="8"/>
    <x v="0"/>
    <x v="4"/>
  </r>
  <r>
    <d v="2022-12-16T13:54:30"/>
    <x v="0"/>
    <x v="22"/>
    <x v="0"/>
    <x v="2"/>
    <x v="1"/>
    <x v="1"/>
    <x v="0"/>
    <x v="0"/>
    <n v="5"/>
    <x v="2"/>
    <x v="1"/>
    <x v="5"/>
    <x v="19"/>
    <x v="0"/>
    <x v="1"/>
  </r>
  <r>
    <d v="2022-12-16T14:04:00"/>
    <x v="0"/>
    <x v="23"/>
    <x v="0"/>
    <x v="3"/>
    <x v="0"/>
    <x v="0"/>
    <x v="0"/>
    <x v="0"/>
    <n v="1"/>
    <x v="1"/>
    <x v="2"/>
    <x v="2"/>
    <x v="20"/>
    <x v="1"/>
    <x v="7"/>
  </r>
  <r>
    <d v="2022-12-16T14:05:39"/>
    <x v="0"/>
    <x v="21"/>
    <x v="1"/>
    <x v="4"/>
    <x v="2"/>
    <x v="1"/>
    <x v="0"/>
    <x v="1"/>
    <n v="6"/>
    <x v="5"/>
    <x v="2"/>
    <x v="1"/>
    <x v="21"/>
    <x v="3"/>
    <x v="1"/>
  </r>
  <r>
    <d v="2022-12-16T14:10:12"/>
    <x v="1"/>
    <x v="24"/>
    <x v="1"/>
    <x v="4"/>
    <x v="0"/>
    <x v="0"/>
    <x v="0"/>
    <x v="0"/>
    <n v="6"/>
    <x v="2"/>
    <x v="1"/>
    <x v="5"/>
    <x v="15"/>
    <x v="0"/>
    <x v="3"/>
  </r>
  <r>
    <d v="2022-12-16T14:21:58"/>
    <x v="0"/>
    <x v="25"/>
    <x v="0"/>
    <x v="0"/>
    <x v="0"/>
    <x v="0"/>
    <x v="0"/>
    <x v="0"/>
    <n v="5"/>
    <x v="1"/>
    <x v="1"/>
    <x v="0"/>
    <x v="22"/>
    <x v="0"/>
    <x v="5"/>
  </r>
  <r>
    <d v="2022-12-16T14:34:35"/>
    <x v="0"/>
    <x v="26"/>
    <x v="0"/>
    <x v="1"/>
    <x v="0"/>
    <x v="0"/>
    <x v="1"/>
    <x v="1"/>
    <n v="1"/>
    <x v="3"/>
    <x v="2"/>
    <x v="4"/>
    <x v="13"/>
    <x v="3"/>
    <x v="7"/>
  </r>
  <r>
    <d v="2022-12-16T14:40:31"/>
    <x v="0"/>
    <x v="27"/>
    <x v="0"/>
    <x v="4"/>
    <x v="0"/>
    <x v="1"/>
    <x v="0"/>
    <x v="0"/>
    <n v="7"/>
    <x v="3"/>
    <x v="1"/>
    <x v="4"/>
    <x v="23"/>
    <x v="0"/>
    <x v="11"/>
  </r>
  <r>
    <d v="2022-12-16T14:44:14"/>
    <x v="0"/>
    <x v="27"/>
    <x v="0"/>
    <x v="0"/>
    <x v="0"/>
    <x v="0"/>
    <x v="0"/>
    <x v="0"/>
    <n v="1"/>
    <x v="4"/>
    <x v="1"/>
    <x v="0"/>
    <x v="7"/>
    <x v="0"/>
    <x v="1"/>
  </r>
  <r>
    <d v="2022-12-16T14:47:05"/>
    <x v="0"/>
    <x v="28"/>
    <x v="0"/>
    <x v="3"/>
    <x v="1"/>
    <x v="1"/>
    <x v="0"/>
    <x v="0"/>
    <n v="7"/>
    <x v="2"/>
    <x v="1"/>
    <x v="0"/>
    <x v="24"/>
    <x v="1"/>
    <x v="2"/>
  </r>
  <r>
    <d v="2022-12-16T14:48:15"/>
    <x v="0"/>
    <x v="21"/>
    <x v="1"/>
    <x v="0"/>
    <x v="1"/>
    <x v="0"/>
    <x v="0"/>
    <x v="0"/>
    <n v="5"/>
    <x v="0"/>
    <x v="1"/>
    <x v="1"/>
    <x v="25"/>
    <x v="0"/>
    <x v="11"/>
  </r>
  <r>
    <d v="2022-12-16T14:49:05"/>
    <x v="0"/>
    <x v="29"/>
    <x v="1"/>
    <x v="4"/>
    <x v="2"/>
    <x v="0"/>
    <x v="0"/>
    <x v="0"/>
    <n v="10"/>
    <x v="4"/>
    <x v="2"/>
    <x v="1"/>
    <x v="23"/>
    <x v="3"/>
    <x v="3"/>
  </r>
  <r>
    <d v="2022-12-16T15:02:44"/>
    <x v="0"/>
    <x v="15"/>
    <x v="0"/>
    <x v="3"/>
    <x v="0"/>
    <x v="2"/>
    <x v="0"/>
    <x v="0"/>
    <n v="6"/>
    <x v="5"/>
    <x v="1"/>
    <x v="3"/>
    <x v="26"/>
    <x v="2"/>
    <x v="3"/>
  </r>
  <r>
    <d v="2022-12-16T15:06:49"/>
    <x v="0"/>
    <x v="30"/>
    <x v="1"/>
    <x v="3"/>
    <x v="0"/>
    <x v="0"/>
    <x v="0"/>
    <x v="0"/>
    <n v="5"/>
    <x v="3"/>
    <x v="1"/>
    <x v="3"/>
    <x v="20"/>
    <x v="0"/>
    <x v="1"/>
  </r>
  <r>
    <d v="2022-12-16T15:07:33"/>
    <x v="0"/>
    <x v="31"/>
    <x v="0"/>
    <x v="0"/>
    <x v="0"/>
    <x v="1"/>
    <x v="0"/>
    <x v="0"/>
    <n v="4"/>
    <x v="3"/>
    <x v="2"/>
    <x v="1"/>
    <x v="25"/>
    <x v="2"/>
    <x v="3"/>
  </r>
  <r>
    <d v="2022-12-16T15:25:51"/>
    <x v="0"/>
    <x v="31"/>
    <x v="0"/>
    <x v="4"/>
    <x v="0"/>
    <x v="0"/>
    <x v="0"/>
    <x v="0"/>
    <n v="7"/>
    <x v="2"/>
    <x v="2"/>
    <x v="4"/>
    <x v="9"/>
    <x v="0"/>
    <x v="11"/>
  </r>
  <r>
    <d v="2022-12-16T15:29:38"/>
    <x v="0"/>
    <x v="32"/>
    <x v="0"/>
    <x v="4"/>
    <x v="2"/>
    <x v="1"/>
    <x v="0"/>
    <x v="0"/>
    <n v="8"/>
    <x v="3"/>
    <x v="1"/>
    <x v="4"/>
    <x v="12"/>
    <x v="0"/>
    <x v="3"/>
  </r>
  <r>
    <d v="2022-12-16T15:30:50"/>
    <x v="0"/>
    <x v="33"/>
    <x v="0"/>
    <x v="4"/>
    <x v="0"/>
    <x v="0"/>
    <x v="0"/>
    <x v="0"/>
    <n v="2"/>
    <x v="4"/>
    <x v="2"/>
    <x v="4"/>
    <x v="27"/>
    <x v="1"/>
    <x v="3"/>
  </r>
  <r>
    <d v="2022-12-16T15:31:12"/>
    <x v="0"/>
    <x v="34"/>
    <x v="0"/>
    <x v="0"/>
    <x v="0"/>
    <x v="1"/>
    <x v="0"/>
    <x v="0"/>
    <n v="5"/>
    <x v="0"/>
    <x v="1"/>
    <x v="1"/>
    <x v="10"/>
    <x v="0"/>
    <x v="8"/>
  </r>
  <r>
    <d v="2022-12-16T15:31:17"/>
    <x v="0"/>
    <x v="35"/>
    <x v="0"/>
    <x v="4"/>
    <x v="2"/>
    <x v="0"/>
    <x v="1"/>
    <x v="0"/>
    <n v="10"/>
    <x v="1"/>
    <x v="2"/>
    <x v="0"/>
    <x v="28"/>
    <x v="0"/>
    <x v="0"/>
  </r>
  <r>
    <d v="2022-12-16T15:33:13"/>
    <x v="0"/>
    <x v="31"/>
    <x v="0"/>
    <x v="0"/>
    <x v="1"/>
    <x v="0"/>
    <x v="0"/>
    <x v="0"/>
    <n v="4"/>
    <x v="2"/>
    <x v="1"/>
    <x v="3"/>
    <x v="29"/>
    <x v="0"/>
    <x v="11"/>
  </r>
  <r>
    <d v="2022-12-16T15:34:31"/>
    <x v="0"/>
    <x v="36"/>
    <x v="0"/>
    <x v="2"/>
    <x v="0"/>
    <x v="1"/>
    <x v="1"/>
    <x v="1"/>
    <n v="8"/>
    <x v="4"/>
    <x v="1"/>
    <x v="2"/>
    <x v="30"/>
    <x v="0"/>
    <x v="7"/>
  </r>
  <r>
    <d v="2022-12-16T15:41:54"/>
    <x v="0"/>
    <x v="37"/>
    <x v="1"/>
    <x v="4"/>
    <x v="1"/>
    <x v="0"/>
    <x v="0"/>
    <x v="0"/>
    <n v="8"/>
    <x v="2"/>
    <x v="1"/>
    <x v="0"/>
    <x v="31"/>
    <x v="0"/>
    <x v="2"/>
  </r>
  <r>
    <d v="2022-12-16T15:43:45"/>
    <x v="0"/>
    <x v="38"/>
    <x v="0"/>
    <x v="4"/>
    <x v="0"/>
    <x v="1"/>
    <x v="1"/>
    <x v="1"/>
    <n v="8"/>
    <x v="2"/>
    <x v="0"/>
    <x v="5"/>
    <x v="1"/>
    <x v="0"/>
    <x v="12"/>
  </r>
  <r>
    <d v="2022-12-16T15:44:36"/>
    <x v="0"/>
    <x v="39"/>
    <x v="0"/>
    <x v="0"/>
    <x v="2"/>
    <x v="1"/>
    <x v="0"/>
    <x v="0"/>
    <n v="8"/>
    <x v="1"/>
    <x v="1"/>
    <x v="1"/>
    <x v="32"/>
    <x v="1"/>
    <x v="13"/>
  </r>
  <r>
    <d v="2022-12-16T15:45:29"/>
    <x v="0"/>
    <x v="40"/>
    <x v="1"/>
    <x v="2"/>
    <x v="2"/>
    <x v="1"/>
    <x v="0"/>
    <x v="1"/>
    <n v="3"/>
    <x v="2"/>
    <x v="1"/>
    <x v="4"/>
    <x v="17"/>
    <x v="0"/>
    <x v="1"/>
  </r>
  <r>
    <d v="2022-12-16T15:47:38"/>
    <x v="0"/>
    <x v="41"/>
    <x v="1"/>
    <x v="3"/>
    <x v="2"/>
    <x v="1"/>
    <x v="1"/>
    <x v="1"/>
    <n v="5"/>
    <x v="4"/>
    <x v="0"/>
    <x v="5"/>
    <x v="33"/>
    <x v="0"/>
    <x v="1"/>
  </r>
  <r>
    <d v="2022-12-16T15:51:18"/>
    <x v="0"/>
    <x v="42"/>
    <x v="0"/>
    <x v="1"/>
    <x v="0"/>
    <x v="0"/>
    <x v="1"/>
    <x v="0"/>
    <n v="6"/>
    <x v="5"/>
    <x v="0"/>
    <x v="1"/>
    <x v="30"/>
    <x v="0"/>
    <x v="7"/>
  </r>
  <r>
    <d v="2022-12-16T15:54:55"/>
    <x v="0"/>
    <x v="43"/>
    <x v="0"/>
    <x v="2"/>
    <x v="0"/>
    <x v="0"/>
    <x v="0"/>
    <x v="0"/>
    <n v="5"/>
    <x v="1"/>
    <x v="1"/>
    <x v="0"/>
    <x v="34"/>
    <x v="1"/>
    <x v="2"/>
  </r>
  <r>
    <d v="2022-12-16T15:57:19"/>
    <x v="0"/>
    <x v="44"/>
    <x v="0"/>
    <x v="0"/>
    <x v="0"/>
    <x v="0"/>
    <x v="1"/>
    <x v="1"/>
    <n v="7"/>
    <x v="4"/>
    <x v="0"/>
    <x v="1"/>
    <x v="8"/>
    <x v="1"/>
    <x v="11"/>
  </r>
  <r>
    <d v="2022-12-16T15:59:57"/>
    <x v="0"/>
    <x v="45"/>
    <x v="0"/>
    <x v="0"/>
    <x v="1"/>
    <x v="1"/>
    <x v="1"/>
    <x v="0"/>
    <n v="10"/>
    <x v="1"/>
    <x v="1"/>
    <x v="0"/>
    <x v="24"/>
    <x v="0"/>
    <x v="0"/>
  </r>
  <r>
    <d v="2022-12-16T16:05:56"/>
    <x v="0"/>
    <x v="46"/>
    <x v="0"/>
    <x v="4"/>
    <x v="0"/>
    <x v="1"/>
    <x v="0"/>
    <x v="0"/>
    <n v="4"/>
    <x v="3"/>
    <x v="3"/>
    <x v="4"/>
    <x v="5"/>
    <x v="0"/>
    <x v="4"/>
  </r>
  <r>
    <d v="2022-12-16T16:07:52"/>
    <x v="0"/>
    <x v="47"/>
    <x v="0"/>
    <x v="0"/>
    <x v="1"/>
    <x v="0"/>
    <x v="1"/>
    <x v="0"/>
    <n v="5"/>
    <x v="1"/>
    <x v="1"/>
    <x v="0"/>
    <x v="8"/>
    <x v="0"/>
    <x v="11"/>
  </r>
  <r>
    <d v="2022-12-16T16:08:24"/>
    <x v="0"/>
    <x v="48"/>
    <x v="0"/>
    <x v="4"/>
    <x v="1"/>
    <x v="0"/>
    <x v="0"/>
    <x v="0"/>
    <n v="4"/>
    <x v="1"/>
    <x v="1"/>
    <x v="0"/>
    <x v="1"/>
    <x v="2"/>
    <x v="1"/>
  </r>
  <r>
    <d v="2022-12-16T16:19:43"/>
    <x v="0"/>
    <x v="49"/>
    <x v="0"/>
    <x v="0"/>
    <x v="2"/>
    <x v="0"/>
    <x v="1"/>
    <x v="1"/>
    <n v="6"/>
    <x v="0"/>
    <x v="2"/>
    <x v="1"/>
    <x v="35"/>
    <x v="2"/>
    <x v="6"/>
  </r>
  <r>
    <d v="2022-12-16T16:21:53"/>
    <x v="0"/>
    <x v="50"/>
    <x v="1"/>
    <x v="0"/>
    <x v="1"/>
    <x v="0"/>
    <x v="0"/>
    <x v="0"/>
    <n v="6"/>
    <x v="4"/>
    <x v="1"/>
    <x v="2"/>
    <x v="5"/>
    <x v="0"/>
    <x v="3"/>
  </r>
  <r>
    <d v="2022-12-16T16:41:39"/>
    <x v="0"/>
    <x v="44"/>
    <x v="0"/>
    <x v="4"/>
    <x v="0"/>
    <x v="1"/>
    <x v="0"/>
    <x v="0"/>
    <n v="8"/>
    <x v="3"/>
    <x v="1"/>
    <x v="1"/>
    <x v="36"/>
    <x v="0"/>
    <x v="3"/>
  </r>
  <r>
    <d v="2022-12-16T16:42:40"/>
    <x v="0"/>
    <x v="51"/>
    <x v="0"/>
    <x v="4"/>
    <x v="2"/>
    <x v="0"/>
    <x v="0"/>
    <x v="0"/>
    <n v="5"/>
    <x v="1"/>
    <x v="1"/>
    <x v="0"/>
    <x v="37"/>
    <x v="1"/>
    <x v="1"/>
  </r>
  <r>
    <d v="2022-12-16T16:46:12"/>
    <x v="0"/>
    <x v="52"/>
    <x v="0"/>
    <x v="0"/>
    <x v="0"/>
    <x v="0"/>
    <x v="0"/>
    <x v="0"/>
    <n v="8"/>
    <x v="5"/>
    <x v="1"/>
    <x v="3"/>
    <x v="3"/>
    <x v="0"/>
    <x v="11"/>
  </r>
  <r>
    <d v="2022-12-16T16:48:02"/>
    <x v="0"/>
    <x v="53"/>
    <x v="1"/>
    <x v="3"/>
    <x v="2"/>
    <x v="0"/>
    <x v="0"/>
    <x v="0"/>
    <n v="7"/>
    <x v="2"/>
    <x v="1"/>
    <x v="4"/>
    <x v="9"/>
    <x v="0"/>
    <x v="7"/>
  </r>
  <r>
    <d v="2022-12-16T16:56:18"/>
    <x v="0"/>
    <x v="54"/>
    <x v="0"/>
    <x v="2"/>
    <x v="1"/>
    <x v="0"/>
    <x v="0"/>
    <x v="0"/>
    <n v="5"/>
    <x v="1"/>
    <x v="1"/>
    <x v="1"/>
    <x v="7"/>
    <x v="0"/>
    <x v="7"/>
  </r>
  <r>
    <d v="2022-12-16T16:59:03"/>
    <x v="0"/>
    <x v="55"/>
    <x v="1"/>
    <x v="0"/>
    <x v="2"/>
    <x v="0"/>
    <x v="0"/>
    <x v="0"/>
    <n v="6"/>
    <x v="4"/>
    <x v="0"/>
    <x v="1"/>
    <x v="38"/>
    <x v="0"/>
    <x v="14"/>
  </r>
  <r>
    <d v="2022-12-16T17:03:32"/>
    <x v="0"/>
    <x v="56"/>
    <x v="0"/>
    <x v="0"/>
    <x v="1"/>
    <x v="0"/>
    <x v="0"/>
    <x v="1"/>
    <n v="8"/>
    <x v="4"/>
    <x v="1"/>
    <x v="4"/>
    <x v="17"/>
    <x v="0"/>
    <x v="1"/>
  </r>
  <r>
    <d v="2022-12-16T17:16:14"/>
    <x v="0"/>
    <x v="57"/>
    <x v="0"/>
    <x v="0"/>
    <x v="0"/>
    <x v="1"/>
    <x v="0"/>
    <x v="0"/>
    <n v="5"/>
    <x v="1"/>
    <x v="1"/>
    <x v="0"/>
    <x v="1"/>
    <x v="0"/>
    <x v="9"/>
  </r>
  <r>
    <d v="2022-12-16T17:37:11"/>
    <x v="0"/>
    <x v="58"/>
    <x v="1"/>
    <x v="0"/>
    <x v="1"/>
    <x v="0"/>
    <x v="0"/>
    <x v="0"/>
    <n v="7"/>
    <x v="1"/>
    <x v="0"/>
    <x v="1"/>
    <x v="39"/>
    <x v="0"/>
    <x v="7"/>
  </r>
  <r>
    <d v="2022-12-16T17:54:22"/>
    <x v="0"/>
    <x v="59"/>
    <x v="1"/>
    <x v="4"/>
    <x v="2"/>
    <x v="1"/>
    <x v="1"/>
    <x v="1"/>
    <n v="5"/>
    <x v="2"/>
    <x v="2"/>
    <x v="1"/>
    <x v="27"/>
    <x v="2"/>
    <x v="6"/>
  </r>
  <r>
    <d v="2022-12-16T17:55:09"/>
    <x v="0"/>
    <x v="60"/>
    <x v="1"/>
    <x v="3"/>
    <x v="0"/>
    <x v="0"/>
    <x v="0"/>
    <x v="0"/>
    <n v="2"/>
    <x v="5"/>
    <x v="0"/>
    <x v="4"/>
    <x v="12"/>
    <x v="0"/>
    <x v="4"/>
  </r>
  <r>
    <d v="2022-12-16T18:17:37"/>
    <x v="0"/>
    <x v="61"/>
    <x v="1"/>
    <x v="3"/>
    <x v="0"/>
    <x v="1"/>
    <x v="0"/>
    <x v="0"/>
    <n v="1"/>
    <x v="4"/>
    <x v="2"/>
    <x v="4"/>
    <x v="27"/>
    <x v="2"/>
    <x v="3"/>
  </r>
  <r>
    <d v="2022-12-16T18:28:12"/>
    <x v="0"/>
    <x v="62"/>
    <x v="0"/>
    <x v="0"/>
    <x v="2"/>
    <x v="1"/>
    <x v="0"/>
    <x v="0"/>
    <n v="1"/>
    <x v="1"/>
    <x v="2"/>
    <x v="0"/>
    <x v="40"/>
    <x v="0"/>
    <x v="7"/>
  </r>
  <r>
    <d v="2022-12-16T18:53:16"/>
    <x v="0"/>
    <x v="63"/>
    <x v="1"/>
    <x v="4"/>
    <x v="2"/>
    <x v="0"/>
    <x v="0"/>
    <x v="1"/>
    <n v="1"/>
    <x v="3"/>
    <x v="2"/>
    <x v="1"/>
    <x v="41"/>
    <x v="1"/>
    <x v="3"/>
  </r>
  <r>
    <d v="2022-12-16T19:19:04"/>
    <x v="0"/>
    <x v="64"/>
    <x v="0"/>
    <x v="4"/>
    <x v="2"/>
    <x v="0"/>
    <x v="1"/>
    <x v="1"/>
    <n v="7"/>
    <x v="0"/>
    <x v="1"/>
    <x v="4"/>
    <x v="42"/>
    <x v="2"/>
    <x v="1"/>
  </r>
  <r>
    <d v="2022-12-16T19:23:16"/>
    <x v="0"/>
    <x v="64"/>
    <x v="1"/>
    <x v="4"/>
    <x v="0"/>
    <x v="2"/>
    <x v="1"/>
    <x v="1"/>
    <n v="1"/>
    <x v="0"/>
    <x v="4"/>
    <x v="1"/>
    <x v="27"/>
    <x v="2"/>
    <x v="6"/>
  </r>
  <r>
    <d v="2022-12-16T19:24:14"/>
    <x v="0"/>
    <x v="65"/>
    <x v="0"/>
    <x v="0"/>
    <x v="2"/>
    <x v="0"/>
    <x v="0"/>
    <x v="0"/>
    <n v="3"/>
    <x v="1"/>
    <x v="1"/>
    <x v="1"/>
    <x v="5"/>
    <x v="0"/>
    <x v="1"/>
  </r>
  <r>
    <d v="2022-12-16T19:32:47"/>
    <x v="0"/>
    <x v="66"/>
    <x v="1"/>
    <x v="1"/>
    <x v="2"/>
    <x v="1"/>
    <x v="0"/>
    <x v="0"/>
    <n v="6"/>
    <x v="5"/>
    <x v="2"/>
    <x v="5"/>
    <x v="33"/>
    <x v="0"/>
    <x v="3"/>
  </r>
  <r>
    <d v="2022-12-16T19:33:50"/>
    <x v="0"/>
    <x v="7"/>
    <x v="1"/>
    <x v="2"/>
    <x v="0"/>
    <x v="0"/>
    <x v="0"/>
    <x v="0"/>
    <n v="7"/>
    <x v="2"/>
    <x v="1"/>
    <x v="0"/>
    <x v="29"/>
    <x v="0"/>
    <x v="1"/>
  </r>
  <r>
    <d v="2022-12-16T19:34:52"/>
    <x v="0"/>
    <x v="67"/>
    <x v="0"/>
    <x v="4"/>
    <x v="0"/>
    <x v="1"/>
    <x v="1"/>
    <x v="1"/>
    <n v="2"/>
    <x v="3"/>
    <x v="2"/>
    <x v="4"/>
    <x v="43"/>
    <x v="3"/>
    <x v="4"/>
  </r>
  <r>
    <d v="2022-12-16T19:39:48"/>
    <x v="0"/>
    <x v="64"/>
    <x v="0"/>
    <x v="2"/>
    <x v="0"/>
    <x v="1"/>
    <x v="0"/>
    <x v="1"/>
    <n v="8"/>
    <x v="4"/>
    <x v="2"/>
    <x v="1"/>
    <x v="44"/>
    <x v="1"/>
    <x v="1"/>
  </r>
  <r>
    <d v="2022-12-16T19:40:33"/>
    <x v="0"/>
    <x v="68"/>
    <x v="0"/>
    <x v="4"/>
    <x v="1"/>
    <x v="0"/>
    <x v="1"/>
    <x v="1"/>
    <n v="5"/>
    <x v="0"/>
    <x v="1"/>
    <x v="0"/>
    <x v="45"/>
    <x v="0"/>
    <x v="2"/>
  </r>
  <r>
    <d v="2022-12-16T19:40:40"/>
    <x v="0"/>
    <x v="69"/>
    <x v="1"/>
    <x v="3"/>
    <x v="0"/>
    <x v="0"/>
    <x v="0"/>
    <x v="0"/>
    <n v="6"/>
    <x v="1"/>
    <x v="1"/>
    <x v="3"/>
    <x v="24"/>
    <x v="0"/>
    <x v="3"/>
  </r>
  <r>
    <d v="2022-12-16T19:40:56"/>
    <x v="0"/>
    <x v="70"/>
    <x v="0"/>
    <x v="4"/>
    <x v="0"/>
    <x v="1"/>
    <x v="0"/>
    <x v="0"/>
    <n v="8"/>
    <x v="5"/>
    <x v="0"/>
    <x v="1"/>
    <x v="27"/>
    <x v="3"/>
    <x v="15"/>
  </r>
  <r>
    <d v="2022-12-16T19:48:02"/>
    <x v="0"/>
    <x v="71"/>
    <x v="0"/>
    <x v="3"/>
    <x v="2"/>
    <x v="1"/>
    <x v="0"/>
    <x v="0"/>
    <n v="9"/>
    <x v="3"/>
    <x v="1"/>
    <x v="3"/>
    <x v="33"/>
    <x v="2"/>
    <x v="3"/>
  </r>
  <r>
    <d v="2022-12-16T19:48:22"/>
    <x v="0"/>
    <x v="72"/>
    <x v="1"/>
    <x v="1"/>
    <x v="0"/>
    <x v="1"/>
    <x v="0"/>
    <x v="0"/>
    <n v="4"/>
    <x v="4"/>
    <x v="2"/>
    <x v="3"/>
    <x v="38"/>
    <x v="0"/>
    <x v="4"/>
  </r>
  <r>
    <d v="2022-12-16T19:54:20"/>
    <x v="0"/>
    <x v="64"/>
    <x v="1"/>
    <x v="3"/>
    <x v="2"/>
    <x v="0"/>
    <x v="0"/>
    <x v="0"/>
    <n v="5"/>
    <x v="3"/>
    <x v="1"/>
    <x v="4"/>
    <x v="40"/>
    <x v="0"/>
    <x v="7"/>
  </r>
  <r>
    <d v="2022-12-16T20:04:02"/>
    <x v="0"/>
    <x v="73"/>
    <x v="0"/>
    <x v="1"/>
    <x v="2"/>
    <x v="0"/>
    <x v="1"/>
    <x v="0"/>
    <n v="5"/>
    <x v="2"/>
    <x v="1"/>
    <x v="2"/>
    <x v="1"/>
    <x v="1"/>
    <x v="0"/>
  </r>
  <r>
    <d v="2022-12-16T20:15:24"/>
    <x v="0"/>
    <x v="74"/>
    <x v="1"/>
    <x v="2"/>
    <x v="0"/>
    <x v="0"/>
    <x v="0"/>
    <x v="0"/>
    <n v="1"/>
    <x v="3"/>
    <x v="1"/>
    <x v="5"/>
    <x v="43"/>
    <x v="0"/>
    <x v="11"/>
  </r>
  <r>
    <d v="2022-12-16T20:16:16"/>
    <x v="0"/>
    <x v="75"/>
    <x v="1"/>
    <x v="2"/>
    <x v="1"/>
    <x v="1"/>
    <x v="0"/>
    <x v="0"/>
    <n v="5"/>
    <x v="2"/>
    <x v="1"/>
    <x v="5"/>
    <x v="46"/>
    <x v="0"/>
    <x v="11"/>
  </r>
  <r>
    <d v="2022-12-16T20:26:38"/>
    <x v="0"/>
    <x v="76"/>
    <x v="1"/>
    <x v="2"/>
    <x v="1"/>
    <x v="0"/>
    <x v="0"/>
    <x v="0"/>
    <n v="5"/>
    <x v="1"/>
    <x v="2"/>
    <x v="1"/>
    <x v="47"/>
    <x v="0"/>
    <x v="1"/>
  </r>
  <r>
    <d v="2022-12-16T20:33:48"/>
    <x v="0"/>
    <x v="77"/>
    <x v="1"/>
    <x v="1"/>
    <x v="0"/>
    <x v="0"/>
    <x v="0"/>
    <x v="0"/>
    <n v="1"/>
    <x v="4"/>
    <x v="1"/>
    <x v="1"/>
    <x v="48"/>
    <x v="0"/>
    <x v="4"/>
  </r>
  <r>
    <d v="2022-12-16T20:58:24"/>
    <x v="0"/>
    <x v="59"/>
    <x v="0"/>
    <x v="4"/>
    <x v="0"/>
    <x v="1"/>
    <x v="1"/>
    <x v="1"/>
    <n v="8"/>
    <x v="3"/>
    <x v="2"/>
    <x v="3"/>
    <x v="49"/>
    <x v="1"/>
    <x v="3"/>
  </r>
  <r>
    <d v="2022-12-16T21:00:09"/>
    <x v="0"/>
    <x v="78"/>
    <x v="0"/>
    <x v="0"/>
    <x v="2"/>
    <x v="1"/>
    <x v="0"/>
    <x v="1"/>
    <n v="6"/>
    <x v="5"/>
    <x v="3"/>
    <x v="3"/>
    <x v="37"/>
    <x v="0"/>
    <x v="2"/>
  </r>
  <r>
    <d v="2022-12-16T21:17:22"/>
    <x v="0"/>
    <x v="79"/>
    <x v="0"/>
    <x v="4"/>
    <x v="0"/>
    <x v="1"/>
    <x v="1"/>
    <x v="1"/>
    <n v="9"/>
    <x v="3"/>
    <x v="2"/>
    <x v="5"/>
    <x v="50"/>
    <x v="2"/>
    <x v="7"/>
  </r>
  <r>
    <d v="2022-12-16T21:26:43"/>
    <x v="1"/>
    <x v="80"/>
    <x v="0"/>
    <x v="2"/>
    <x v="0"/>
    <x v="0"/>
    <x v="0"/>
    <x v="0"/>
    <n v="5"/>
    <x v="2"/>
    <x v="2"/>
    <x v="2"/>
    <x v="24"/>
    <x v="0"/>
    <x v="11"/>
  </r>
  <r>
    <d v="2022-12-16T21:55:48"/>
    <x v="0"/>
    <x v="81"/>
    <x v="0"/>
    <x v="2"/>
    <x v="2"/>
    <x v="0"/>
    <x v="0"/>
    <x v="1"/>
    <n v="8"/>
    <x v="2"/>
    <x v="0"/>
    <x v="5"/>
    <x v="51"/>
    <x v="0"/>
    <x v="7"/>
  </r>
  <r>
    <d v="2022-12-16T21:59:33"/>
    <x v="0"/>
    <x v="82"/>
    <x v="0"/>
    <x v="0"/>
    <x v="2"/>
    <x v="2"/>
    <x v="0"/>
    <x v="0"/>
    <n v="1"/>
    <x v="3"/>
    <x v="2"/>
    <x v="2"/>
    <x v="18"/>
    <x v="2"/>
    <x v="3"/>
  </r>
  <r>
    <d v="2022-12-16T22:02:31"/>
    <x v="0"/>
    <x v="81"/>
    <x v="0"/>
    <x v="0"/>
    <x v="2"/>
    <x v="2"/>
    <x v="0"/>
    <x v="1"/>
    <n v="3"/>
    <x v="3"/>
    <x v="1"/>
    <x v="3"/>
    <x v="52"/>
    <x v="4"/>
    <x v="1"/>
  </r>
  <r>
    <d v="2022-12-16T22:08:51"/>
    <x v="0"/>
    <x v="64"/>
    <x v="0"/>
    <x v="3"/>
    <x v="0"/>
    <x v="0"/>
    <x v="0"/>
    <x v="1"/>
    <n v="2"/>
    <x v="3"/>
    <x v="1"/>
    <x v="1"/>
    <x v="1"/>
    <x v="0"/>
    <x v="3"/>
  </r>
  <r>
    <d v="2022-12-16T22:09:16"/>
    <x v="0"/>
    <x v="83"/>
    <x v="1"/>
    <x v="4"/>
    <x v="0"/>
    <x v="1"/>
    <x v="0"/>
    <x v="0"/>
    <n v="2"/>
    <x v="1"/>
    <x v="1"/>
    <x v="5"/>
    <x v="53"/>
    <x v="0"/>
    <x v="1"/>
  </r>
  <r>
    <d v="2022-12-17T00:03:42"/>
    <x v="0"/>
    <x v="84"/>
    <x v="0"/>
    <x v="4"/>
    <x v="1"/>
    <x v="0"/>
    <x v="0"/>
    <x v="0"/>
    <n v="7"/>
    <x v="4"/>
    <x v="1"/>
    <x v="0"/>
    <x v="23"/>
    <x v="0"/>
    <x v="9"/>
  </r>
  <r>
    <d v="2022-12-17T00:11:16"/>
    <x v="0"/>
    <x v="85"/>
    <x v="0"/>
    <x v="3"/>
    <x v="0"/>
    <x v="0"/>
    <x v="0"/>
    <x v="0"/>
    <n v="5"/>
    <x v="2"/>
    <x v="1"/>
    <x v="5"/>
    <x v="1"/>
    <x v="0"/>
    <x v="3"/>
  </r>
  <r>
    <d v="2022-12-17T01:09:06"/>
    <x v="0"/>
    <x v="86"/>
    <x v="0"/>
    <x v="2"/>
    <x v="2"/>
    <x v="0"/>
    <x v="0"/>
    <x v="0"/>
    <n v="8"/>
    <x v="4"/>
    <x v="1"/>
    <x v="4"/>
    <x v="54"/>
    <x v="0"/>
    <x v="3"/>
  </r>
  <r>
    <d v="2022-12-17T01:22:30"/>
    <x v="0"/>
    <x v="44"/>
    <x v="0"/>
    <x v="2"/>
    <x v="2"/>
    <x v="0"/>
    <x v="1"/>
    <x v="0"/>
    <n v="5"/>
    <x v="5"/>
    <x v="2"/>
    <x v="0"/>
    <x v="8"/>
    <x v="0"/>
    <x v="3"/>
  </r>
  <r>
    <d v="2022-12-17T06:40:06"/>
    <x v="0"/>
    <x v="15"/>
    <x v="0"/>
    <x v="3"/>
    <x v="0"/>
    <x v="0"/>
    <x v="1"/>
    <x v="1"/>
    <n v="5"/>
    <x v="4"/>
    <x v="3"/>
    <x v="1"/>
    <x v="16"/>
    <x v="1"/>
    <x v="1"/>
  </r>
  <r>
    <d v="2022-12-17T08:57:33"/>
    <x v="0"/>
    <x v="87"/>
    <x v="0"/>
    <x v="4"/>
    <x v="1"/>
    <x v="0"/>
    <x v="1"/>
    <x v="0"/>
    <n v="4"/>
    <x v="2"/>
    <x v="1"/>
    <x v="5"/>
    <x v="7"/>
    <x v="1"/>
    <x v="3"/>
  </r>
  <r>
    <d v="2022-12-17T09:19:46"/>
    <x v="0"/>
    <x v="88"/>
    <x v="0"/>
    <x v="1"/>
    <x v="2"/>
    <x v="0"/>
    <x v="0"/>
    <x v="1"/>
    <n v="8"/>
    <x v="1"/>
    <x v="1"/>
    <x v="2"/>
    <x v="38"/>
    <x v="0"/>
    <x v="7"/>
  </r>
  <r>
    <d v="2022-12-17T10:47:20"/>
    <x v="0"/>
    <x v="89"/>
    <x v="0"/>
    <x v="2"/>
    <x v="2"/>
    <x v="0"/>
    <x v="0"/>
    <x v="0"/>
    <n v="3"/>
    <x v="4"/>
    <x v="1"/>
    <x v="2"/>
    <x v="55"/>
    <x v="0"/>
    <x v="3"/>
  </r>
  <r>
    <d v="2022-12-17T11:36:55"/>
    <x v="2"/>
    <x v="90"/>
    <x v="0"/>
    <x v="1"/>
    <x v="0"/>
    <x v="1"/>
    <x v="0"/>
    <x v="0"/>
    <n v="6"/>
    <x v="2"/>
    <x v="1"/>
    <x v="0"/>
    <x v="19"/>
    <x v="2"/>
    <x v="0"/>
  </r>
  <r>
    <d v="2022-12-17T12:45:09"/>
    <x v="0"/>
    <x v="91"/>
    <x v="0"/>
    <x v="0"/>
    <x v="1"/>
    <x v="0"/>
    <x v="0"/>
    <x v="0"/>
    <n v="7"/>
    <x v="2"/>
    <x v="1"/>
    <x v="5"/>
    <x v="37"/>
    <x v="0"/>
    <x v="1"/>
  </r>
  <r>
    <d v="2022-12-17T12:51:11"/>
    <x v="0"/>
    <x v="92"/>
    <x v="1"/>
    <x v="4"/>
    <x v="1"/>
    <x v="1"/>
    <x v="0"/>
    <x v="0"/>
    <n v="5"/>
    <x v="4"/>
    <x v="2"/>
    <x v="5"/>
    <x v="56"/>
    <x v="3"/>
    <x v="11"/>
  </r>
  <r>
    <d v="2022-12-17T12:53:16"/>
    <x v="0"/>
    <x v="93"/>
    <x v="1"/>
    <x v="4"/>
    <x v="0"/>
    <x v="1"/>
    <x v="0"/>
    <x v="0"/>
    <n v="4"/>
    <x v="2"/>
    <x v="0"/>
    <x v="0"/>
    <x v="15"/>
    <x v="2"/>
    <x v="1"/>
  </r>
  <r>
    <d v="2022-12-17T13:33:40"/>
    <x v="0"/>
    <x v="94"/>
    <x v="0"/>
    <x v="3"/>
    <x v="2"/>
    <x v="1"/>
    <x v="1"/>
    <x v="1"/>
    <n v="6"/>
    <x v="4"/>
    <x v="1"/>
    <x v="0"/>
    <x v="45"/>
    <x v="0"/>
    <x v="3"/>
  </r>
  <r>
    <d v="2022-12-17T13:52:49"/>
    <x v="0"/>
    <x v="95"/>
    <x v="0"/>
    <x v="4"/>
    <x v="1"/>
    <x v="0"/>
    <x v="0"/>
    <x v="0"/>
    <n v="5"/>
    <x v="2"/>
    <x v="1"/>
    <x v="2"/>
    <x v="57"/>
    <x v="0"/>
    <x v="0"/>
  </r>
  <r>
    <d v="2022-12-17T13:53:32"/>
    <x v="0"/>
    <x v="96"/>
    <x v="1"/>
    <x v="0"/>
    <x v="0"/>
    <x v="1"/>
    <x v="0"/>
    <x v="0"/>
    <n v="8"/>
    <x v="1"/>
    <x v="1"/>
    <x v="4"/>
    <x v="58"/>
    <x v="0"/>
    <x v="1"/>
  </r>
  <r>
    <d v="2022-12-17T14:04:42"/>
    <x v="0"/>
    <x v="97"/>
    <x v="0"/>
    <x v="4"/>
    <x v="1"/>
    <x v="0"/>
    <x v="0"/>
    <x v="0"/>
    <n v="5"/>
    <x v="2"/>
    <x v="1"/>
    <x v="4"/>
    <x v="24"/>
    <x v="2"/>
    <x v="3"/>
  </r>
  <r>
    <d v="2022-12-17T14:18:44"/>
    <x v="0"/>
    <x v="98"/>
    <x v="0"/>
    <x v="4"/>
    <x v="1"/>
    <x v="0"/>
    <x v="1"/>
    <x v="1"/>
    <n v="8"/>
    <x v="1"/>
    <x v="1"/>
    <x v="0"/>
    <x v="5"/>
    <x v="0"/>
    <x v="1"/>
  </r>
  <r>
    <d v="2022-12-17T14:22:30"/>
    <x v="0"/>
    <x v="99"/>
    <x v="0"/>
    <x v="4"/>
    <x v="2"/>
    <x v="1"/>
    <x v="0"/>
    <x v="0"/>
    <n v="8"/>
    <x v="2"/>
    <x v="2"/>
    <x v="4"/>
    <x v="55"/>
    <x v="2"/>
    <x v="1"/>
  </r>
  <r>
    <d v="2022-12-17T14:38:58"/>
    <x v="0"/>
    <x v="100"/>
    <x v="0"/>
    <x v="2"/>
    <x v="1"/>
    <x v="0"/>
    <x v="0"/>
    <x v="0"/>
    <n v="6"/>
    <x v="1"/>
    <x v="1"/>
    <x v="3"/>
    <x v="3"/>
    <x v="0"/>
    <x v="6"/>
  </r>
  <r>
    <d v="2022-12-17T14:55:50"/>
    <x v="0"/>
    <x v="94"/>
    <x v="1"/>
    <x v="4"/>
    <x v="0"/>
    <x v="0"/>
    <x v="1"/>
    <x v="1"/>
    <n v="8"/>
    <x v="5"/>
    <x v="0"/>
    <x v="1"/>
    <x v="58"/>
    <x v="1"/>
    <x v="7"/>
  </r>
  <r>
    <d v="2022-12-17T15:11:27"/>
    <x v="0"/>
    <x v="101"/>
    <x v="1"/>
    <x v="2"/>
    <x v="0"/>
    <x v="0"/>
    <x v="0"/>
    <x v="0"/>
    <n v="8"/>
    <x v="4"/>
    <x v="1"/>
    <x v="4"/>
    <x v="33"/>
    <x v="0"/>
    <x v="2"/>
  </r>
  <r>
    <d v="2022-12-17T16:56:18"/>
    <x v="0"/>
    <x v="102"/>
    <x v="0"/>
    <x v="3"/>
    <x v="0"/>
    <x v="1"/>
    <x v="0"/>
    <x v="0"/>
    <n v="6"/>
    <x v="3"/>
    <x v="2"/>
    <x v="4"/>
    <x v="15"/>
    <x v="2"/>
    <x v="7"/>
  </r>
  <r>
    <d v="2022-12-17T17:03:20"/>
    <x v="0"/>
    <x v="103"/>
    <x v="1"/>
    <x v="4"/>
    <x v="2"/>
    <x v="1"/>
    <x v="0"/>
    <x v="0"/>
    <n v="2"/>
    <x v="0"/>
    <x v="2"/>
    <x v="1"/>
    <x v="27"/>
    <x v="1"/>
    <x v="3"/>
  </r>
  <r>
    <d v="2022-12-17T18:30:57"/>
    <x v="0"/>
    <x v="104"/>
    <x v="1"/>
    <x v="2"/>
    <x v="2"/>
    <x v="1"/>
    <x v="0"/>
    <x v="0"/>
    <n v="10"/>
    <x v="1"/>
    <x v="3"/>
    <x v="5"/>
    <x v="59"/>
    <x v="0"/>
    <x v="3"/>
  </r>
  <r>
    <d v="2022-12-17T19:11:31"/>
    <x v="0"/>
    <x v="105"/>
    <x v="0"/>
    <x v="3"/>
    <x v="2"/>
    <x v="0"/>
    <x v="1"/>
    <x v="0"/>
    <n v="5"/>
    <x v="4"/>
    <x v="2"/>
    <x v="0"/>
    <x v="60"/>
    <x v="0"/>
    <x v="1"/>
  </r>
  <r>
    <d v="2022-12-17T19:28:13"/>
    <x v="0"/>
    <x v="106"/>
    <x v="0"/>
    <x v="0"/>
    <x v="2"/>
    <x v="1"/>
    <x v="0"/>
    <x v="0"/>
    <n v="2"/>
    <x v="1"/>
    <x v="1"/>
    <x v="3"/>
    <x v="61"/>
    <x v="0"/>
    <x v="1"/>
  </r>
  <r>
    <d v="2022-12-17T20:14:15"/>
    <x v="0"/>
    <x v="107"/>
    <x v="0"/>
    <x v="4"/>
    <x v="2"/>
    <x v="1"/>
    <x v="1"/>
    <x v="1"/>
    <n v="9"/>
    <x v="0"/>
    <x v="2"/>
    <x v="4"/>
    <x v="24"/>
    <x v="2"/>
    <x v="1"/>
  </r>
  <r>
    <d v="2022-12-17T20:36:46"/>
    <x v="0"/>
    <x v="101"/>
    <x v="0"/>
    <x v="3"/>
    <x v="0"/>
    <x v="0"/>
    <x v="0"/>
    <x v="1"/>
    <n v="3"/>
    <x v="2"/>
    <x v="1"/>
    <x v="0"/>
    <x v="62"/>
    <x v="0"/>
    <x v="4"/>
  </r>
  <r>
    <d v="2022-12-17T20:44:46"/>
    <x v="2"/>
    <x v="108"/>
    <x v="0"/>
    <x v="0"/>
    <x v="0"/>
    <x v="1"/>
    <x v="1"/>
    <x v="1"/>
    <n v="5"/>
    <x v="1"/>
    <x v="1"/>
    <x v="1"/>
    <x v="42"/>
    <x v="2"/>
    <x v="11"/>
  </r>
  <r>
    <d v="2022-12-17T21:29:33"/>
    <x v="0"/>
    <x v="109"/>
    <x v="0"/>
    <x v="2"/>
    <x v="1"/>
    <x v="0"/>
    <x v="0"/>
    <x v="0"/>
    <n v="5"/>
    <x v="2"/>
    <x v="1"/>
    <x v="3"/>
    <x v="3"/>
    <x v="0"/>
    <x v="3"/>
  </r>
  <r>
    <d v="2022-12-17T22:12:28"/>
    <x v="0"/>
    <x v="110"/>
    <x v="0"/>
    <x v="4"/>
    <x v="2"/>
    <x v="0"/>
    <x v="0"/>
    <x v="0"/>
    <n v="2"/>
    <x v="5"/>
    <x v="1"/>
    <x v="4"/>
    <x v="15"/>
    <x v="1"/>
    <x v="3"/>
  </r>
  <r>
    <d v="2022-12-17T22:19:05"/>
    <x v="0"/>
    <x v="111"/>
    <x v="0"/>
    <x v="4"/>
    <x v="0"/>
    <x v="1"/>
    <x v="1"/>
    <x v="0"/>
    <n v="7"/>
    <x v="4"/>
    <x v="2"/>
    <x v="0"/>
    <x v="23"/>
    <x v="1"/>
    <x v="5"/>
  </r>
  <r>
    <d v="2022-12-18T09:37:08"/>
    <x v="0"/>
    <x v="112"/>
    <x v="0"/>
    <x v="3"/>
    <x v="0"/>
    <x v="0"/>
    <x v="1"/>
    <x v="1"/>
    <n v="7"/>
    <x v="2"/>
    <x v="2"/>
    <x v="1"/>
    <x v="63"/>
    <x v="2"/>
    <x v="3"/>
  </r>
  <r>
    <d v="2022-12-18T11:18:25"/>
    <x v="0"/>
    <x v="113"/>
    <x v="0"/>
    <x v="1"/>
    <x v="0"/>
    <x v="0"/>
    <x v="0"/>
    <x v="0"/>
    <n v="7"/>
    <x v="2"/>
    <x v="2"/>
    <x v="1"/>
    <x v="40"/>
    <x v="1"/>
    <x v="1"/>
  </r>
  <r>
    <d v="2022-12-18T11:58:21"/>
    <x v="0"/>
    <x v="114"/>
    <x v="0"/>
    <x v="0"/>
    <x v="1"/>
    <x v="0"/>
    <x v="0"/>
    <x v="0"/>
    <n v="6"/>
    <x v="5"/>
    <x v="0"/>
    <x v="3"/>
    <x v="38"/>
    <x v="2"/>
    <x v="3"/>
  </r>
  <r>
    <d v="2022-12-18T13:24:07"/>
    <x v="0"/>
    <x v="115"/>
    <x v="0"/>
    <x v="0"/>
    <x v="0"/>
    <x v="0"/>
    <x v="0"/>
    <x v="0"/>
    <n v="4"/>
    <x v="3"/>
    <x v="2"/>
    <x v="0"/>
    <x v="24"/>
    <x v="0"/>
    <x v="1"/>
  </r>
  <r>
    <d v="2022-12-18T15:06:57"/>
    <x v="0"/>
    <x v="116"/>
    <x v="0"/>
    <x v="4"/>
    <x v="2"/>
    <x v="1"/>
    <x v="1"/>
    <x v="0"/>
    <n v="5"/>
    <x v="2"/>
    <x v="1"/>
    <x v="4"/>
    <x v="27"/>
    <x v="0"/>
    <x v="1"/>
  </r>
  <r>
    <d v="2022-12-18T15:41:26"/>
    <x v="0"/>
    <x v="117"/>
    <x v="1"/>
    <x v="4"/>
    <x v="0"/>
    <x v="0"/>
    <x v="0"/>
    <x v="0"/>
    <n v="2"/>
    <x v="4"/>
    <x v="1"/>
    <x v="0"/>
    <x v="64"/>
    <x v="2"/>
    <x v="1"/>
  </r>
  <r>
    <d v="2022-12-18T17:32:01"/>
    <x v="0"/>
    <x v="118"/>
    <x v="0"/>
    <x v="4"/>
    <x v="0"/>
    <x v="1"/>
    <x v="0"/>
    <x v="1"/>
    <n v="1"/>
    <x v="1"/>
    <x v="1"/>
    <x v="1"/>
    <x v="65"/>
    <x v="1"/>
    <x v="3"/>
  </r>
  <r>
    <d v="2022-12-18T17:39:37"/>
    <x v="0"/>
    <x v="119"/>
    <x v="0"/>
    <x v="2"/>
    <x v="2"/>
    <x v="0"/>
    <x v="1"/>
    <x v="0"/>
    <n v="3"/>
    <x v="2"/>
    <x v="1"/>
    <x v="5"/>
    <x v="58"/>
    <x v="0"/>
    <x v="1"/>
  </r>
  <r>
    <d v="2022-12-18T18:03:02"/>
    <x v="0"/>
    <x v="120"/>
    <x v="0"/>
    <x v="4"/>
    <x v="0"/>
    <x v="0"/>
    <x v="0"/>
    <x v="0"/>
    <n v="4"/>
    <x v="3"/>
    <x v="2"/>
    <x v="4"/>
    <x v="63"/>
    <x v="2"/>
    <x v="1"/>
  </r>
  <r>
    <d v="2022-12-18T18:20:17"/>
    <x v="0"/>
    <x v="121"/>
    <x v="1"/>
    <x v="0"/>
    <x v="2"/>
    <x v="1"/>
    <x v="0"/>
    <x v="0"/>
    <n v="2"/>
    <x v="1"/>
    <x v="0"/>
    <x v="5"/>
    <x v="22"/>
    <x v="0"/>
    <x v="12"/>
  </r>
  <r>
    <d v="2022-12-18T20:37:32"/>
    <x v="0"/>
    <x v="122"/>
    <x v="0"/>
    <x v="3"/>
    <x v="1"/>
    <x v="0"/>
    <x v="1"/>
    <x v="1"/>
    <n v="7"/>
    <x v="1"/>
    <x v="0"/>
    <x v="1"/>
    <x v="24"/>
    <x v="0"/>
    <x v="5"/>
  </r>
  <r>
    <d v="2022-12-18T20:57:59"/>
    <x v="0"/>
    <x v="123"/>
    <x v="0"/>
    <x v="2"/>
    <x v="2"/>
    <x v="1"/>
    <x v="0"/>
    <x v="0"/>
    <n v="7"/>
    <x v="5"/>
    <x v="1"/>
    <x v="4"/>
    <x v="66"/>
    <x v="0"/>
    <x v="14"/>
  </r>
  <r>
    <d v="2022-12-18T21:41:55"/>
    <x v="0"/>
    <x v="124"/>
    <x v="0"/>
    <x v="2"/>
    <x v="0"/>
    <x v="0"/>
    <x v="0"/>
    <x v="0"/>
    <n v="9"/>
    <x v="5"/>
    <x v="2"/>
    <x v="5"/>
    <x v="1"/>
    <x v="1"/>
    <x v="3"/>
  </r>
  <r>
    <d v="2022-12-19T00:03:47"/>
    <x v="0"/>
    <x v="125"/>
    <x v="0"/>
    <x v="1"/>
    <x v="0"/>
    <x v="1"/>
    <x v="1"/>
    <x v="1"/>
    <n v="3"/>
    <x v="5"/>
    <x v="2"/>
    <x v="3"/>
    <x v="12"/>
    <x v="2"/>
    <x v="6"/>
  </r>
  <r>
    <d v="2022-12-19T00:22:25"/>
    <x v="0"/>
    <x v="126"/>
    <x v="1"/>
    <x v="0"/>
    <x v="2"/>
    <x v="0"/>
    <x v="1"/>
    <x v="1"/>
    <n v="10"/>
    <x v="1"/>
    <x v="1"/>
    <x v="0"/>
    <x v="67"/>
    <x v="0"/>
    <x v="2"/>
  </r>
  <r>
    <d v="2022-12-19T00:22:47"/>
    <x v="0"/>
    <x v="89"/>
    <x v="0"/>
    <x v="2"/>
    <x v="1"/>
    <x v="0"/>
    <x v="0"/>
    <x v="0"/>
    <n v="7"/>
    <x v="2"/>
    <x v="1"/>
    <x v="0"/>
    <x v="27"/>
    <x v="0"/>
    <x v="3"/>
  </r>
  <r>
    <d v="2022-12-19T00:42:46"/>
    <x v="0"/>
    <x v="127"/>
    <x v="0"/>
    <x v="3"/>
    <x v="1"/>
    <x v="1"/>
    <x v="0"/>
    <x v="1"/>
    <n v="7"/>
    <x v="3"/>
    <x v="2"/>
    <x v="1"/>
    <x v="15"/>
    <x v="2"/>
    <x v="3"/>
  </r>
  <r>
    <d v="2022-12-19T08:27:16"/>
    <x v="0"/>
    <x v="128"/>
    <x v="1"/>
    <x v="1"/>
    <x v="0"/>
    <x v="0"/>
    <x v="0"/>
    <x v="0"/>
    <n v="5"/>
    <x v="1"/>
    <x v="2"/>
    <x v="0"/>
    <x v="11"/>
    <x v="0"/>
    <x v="2"/>
  </r>
  <r>
    <d v="2022-12-19T09:45:28"/>
    <x v="0"/>
    <x v="129"/>
    <x v="1"/>
    <x v="4"/>
    <x v="2"/>
    <x v="1"/>
    <x v="0"/>
    <x v="0"/>
    <n v="6"/>
    <x v="1"/>
    <x v="1"/>
    <x v="1"/>
    <x v="63"/>
    <x v="0"/>
    <x v="1"/>
  </r>
  <r>
    <d v="2022-12-19T10:09:13"/>
    <x v="0"/>
    <x v="130"/>
    <x v="0"/>
    <x v="4"/>
    <x v="2"/>
    <x v="0"/>
    <x v="1"/>
    <x v="1"/>
    <n v="2"/>
    <x v="2"/>
    <x v="1"/>
    <x v="4"/>
    <x v="1"/>
    <x v="0"/>
    <x v="3"/>
  </r>
  <r>
    <d v="2022-12-19T10:09:32"/>
    <x v="0"/>
    <x v="128"/>
    <x v="1"/>
    <x v="1"/>
    <x v="0"/>
    <x v="0"/>
    <x v="0"/>
    <x v="0"/>
    <n v="5"/>
    <x v="5"/>
    <x v="2"/>
    <x v="4"/>
    <x v="31"/>
    <x v="0"/>
    <x v="16"/>
  </r>
  <r>
    <d v="2022-12-19T11:02:43"/>
    <x v="0"/>
    <x v="131"/>
    <x v="0"/>
    <x v="4"/>
    <x v="1"/>
    <x v="0"/>
    <x v="1"/>
    <x v="0"/>
    <n v="3"/>
    <x v="4"/>
    <x v="1"/>
    <x v="1"/>
    <x v="29"/>
    <x v="0"/>
    <x v="3"/>
  </r>
  <r>
    <d v="2022-12-19T12:14:58"/>
    <x v="0"/>
    <x v="132"/>
    <x v="1"/>
    <x v="0"/>
    <x v="2"/>
    <x v="1"/>
    <x v="0"/>
    <x v="0"/>
    <n v="1"/>
    <x v="1"/>
    <x v="1"/>
    <x v="5"/>
    <x v="39"/>
    <x v="2"/>
    <x v="13"/>
  </r>
  <r>
    <d v="2022-12-19T13:02:49"/>
    <x v="0"/>
    <x v="133"/>
    <x v="0"/>
    <x v="3"/>
    <x v="2"/>
    <x v="1"/>
    <x v="1"/>
    <x v="1"/>
    <n v="3"/>
    <x v="4"/>
    <x v="1"/>
    <x v="5"/>
    <x v="15"/>
    <x v="3"/>
    <x v="16"/>
  </r>
  <r>
    <d v="2022-12-19T13:25:41"/>
    <x v="0"/>
    <x v="134"/>
    <x v="0"/>
    <x v="3"/>
    <x v="1"/>
    <x v="0"/>
    <x v="0"/>
    <x v="0"/>
    <n v="5"/>
    <x v="1"/>
    <x v="1"/>
    <x v="2"/>
    <x v="3"/>
    <x v="0"/>
    <x v="3"/>
  </r>
  <r>
    <d v="2022-12-19T14:32:53"/>
    <x v="0"/>
    <x v="135"/>
    <x v="0"/>
    <x v="1"/>
    <x v="1"/>
    <x v="0"/>
    <x v="0"/>
    <x v="0"/>
    <n v="8"/>
    <x v="3"/>
    <x v="1"/>
    <x v="4"/>
    <x v="23"/>
    <x v="0"/>
    <x v="1"/>
  </r>
  <r>
    <d v="2022-12-19T16:47:09"/>
    <x v="0"/>
    <x v="2"/>
    <x v="1"/>
    <x v="3"/>
    <x v="0"/>
    <x v="0"/>
    <x v="0"/>
    <x v="0"/>
    <n v="7"/>
    <x v="1"/>
    <x v="2"/>
    <x v="1"/>
    <x v="38"/>
    <x v="0"/>
    <x v="1"/>
  </r>
  <r>
    <d v="2022-12-19T17:10:12"/>
    <x v="0"/>
    <x v="136"/>
    <x v="1"/>
    <x v="4"/>
    <x v="0"/>
    <x v="1"/>
    <x v="0"/>
    <x v="0"/>
    <n v="5"/>
    <x v="5"/>
    <x v="2"/>
    <x v="0"/>
    <x v="3"/>
    <x v="0"/>
    <x v="4"/>
  </r>
  <r>
    <d v="2022-12-19T17:45:21"/>
    <x v="0"/>
    <x v="137"/>
    <x v="0"/>
    <x v="0"/>
    <x v="2"/>
    <x v="0"/>
    <x v="0"/>
    <x v="0"/>
    <n v="9"/>
    <x v="2"/>
    <x v="3"/>
    <x v="3"/>
    <x v="16"/>
    <x v="0"/>
    <x v="1"/>
  </r>
  <r>
    <d v="2022-12-19T19:34:33"/>
    <x v="0"/>
    <x v="138"/>
    <x v="1"/>
    <x v="0"/>
    <x v="0"/>
    <x v="0"/>
    <x v="0"/>
    <x v="0"/>
    <n v="8"/>
    <x v="1"/>
    <x v="0"/>
    <x v="1"/>
    <x v="65"/>
    <x v="3"/>
    <x v="3"/>
  </r>
  <r>
    <d v="2022-12-19T19:37:35"/>
    <x v="0"/>
    <x v="139"/>
    <x v="0"/>
    <x v="4"/>
    <x v="2"/>
    <x v="2"/>
    <x v="0"/>
    <x v="0"/>
    <n v="6"/>
    <x v="5"/>
    <x v="1"/>
    <x v="2"/>
    <x v="42"/>
    <x v="1"/>
    <x v="3"/>
  </r>
  <r>
    <d v="2022-12-19T20:25:30"/>
    <x v="0"/>
    <x v="140"/>
    <x v="0"/>
    <x v="4"/>
    <x v="0"/>
    <x v="0"/>
    <x v="0"/>
    <x v="1"/>
    <n v="4"/>
    <x v="3"/>
    <x v="2"/>
    <x v="5"/>
    <x v="68"/>
    <x v="2"/>
    <x v="1"/>
  </r>
  <r>
    <d v="2022-12-19T21:32:20"/>
    <x v="0"/>
    <x v="141"/>
    <x v="0"/>
    <x v="2"/>
    <x v="1"/>
    <x v="2"/>
    <x v="0"/>
    <x v="0"/>
    <n v="9"/>
    <x v="2"/>
    <x v="4"/>
    <x v="0"/>
    <x v="69"/>
    <x v="2"/>
    <x v="7"/>
  </r>
  <r>
    <d v="2022-12-19T22:13:07"/>
    <x v="0"/>
    <x v="142"/>
    <x v="0"/>
    <x v="4"/>
    <x v="0"/>
    <x v="1"/>
    <x v="0"/>
    <x v="0"/>
    <n v="5"/>
    <x v="0"/>
    <x v="3"/>
    <x v="3"/>
    <x v="64"/>
    <x v="3"/>
    <x v="6"/>
  </r>
  <r>
    <d v="2022-12-19T22:21:26"/>
    <x v="0"/>
    <x v="143"/>
    <x v="0"/>
    <x v="4"/>
    <x v="0"/>
    <x v="0"/>
    <x v="1"/>
    <x v="1"/>
    <n v="8"/>
    <x v="5"/>
    <x v="1"/>
    <x v="1"/>
    <x v="45"/>
    <x v="0"/>
    <x v="0"/>
  </r>
  <r>
    <d v="2022-12-20T09:50:02"/>
    <x v="0"/>
    <x v="144"/>
    <x v="1"/>
    <x v="2"/>
    <x v="1"/>
    <x v="1"/>
    <x v="0"/>
    <x v="0"/>
    <n v="1"/>
    <x v="3"/>
    <x v="2"/>
    <x v="1"/>
    <x v="70"/>
    <x v="2"/>
    <x v="3"/>
  </r>
  <r>
    <d v="2022-12-20T12:22:18"/>
    <x v="0"/>
    <x v="145"/>
    <x v="1"/>
    <x v="3"/>
    <x v="2"/>
    <x v="0"/>
    <x v="0"/>
    <x v="0"/>
    <n v="2"/>
    <x v="5"/>
    <x v="2"/>
    <x v="3"/>
    <x v="23"/>
    <x v="0"/>
    <x v="3"/>
  </r>
  <r>
    <d v="2022-12-20T15:57:13"/>
    <x v="0"/>
    <x v="146"/>
    <x v="0"/>
    <x v="3"/>
    <x v="1"/>
    <x v="1"/>
    <x v="0"/>
    <x v="0"/>
    <n v="6"/>
    <x v="1"/>
    <x v="1"/>
    <x v="2"/>
    <x v="39"/>
    <x v="0"/>
    <x v="11"/>
  </r>
  <r>
    <d v="2022-12-20T16:02:03"/>
    <x v="0"/>
    <x v="147"/>
    <x v="1"/>
    <x v="0"/>
    <x v="2"/>
    <x v="0"/>
    <x v="1"/>
    <x v="1"/>
    <n v="7"/>
    <x v="2"/>
    <x v="1"/>
    <x v="0"/>
    <x v="5"/>
    <x v="0"/>
    <x v="1"/>
  </r>
  <r>
    <d v="2022-12-20T16:12:11"/>
    <x v="0"/>
    <x v="148"/>
    <x v="1"/>
    <x v="0"/>
    <x v="1"/>
    <x v="2"/>
    <x v="0"/>
    <x v="1"/>
    <n v="4"/>
    <x v="5"/>
    <x v="0"/>
    <x v="2"/>
    <x v="71"/>
    <x v="1"/>
    <x v="17"/>
  </r>
  <r>
    <d v="2022-12-20T16:27:06"/>
    <x v="0"/>
    <x v="149"/>
    <x v="1"/>
    <x v="3"/>
    <x v="0"/>
    <x v="0"/>
    <x v="0"/>
    <x v="0"/>
    <n v="5"/>
    <x v="3"/>
    <x v="4"/>
    <x v="1"/>
    <x v="72"/>
    <x v="1"/>
    <x v="1"/>
  </r>
  <r>
    <d v="2022-12-20T16:38:32"/>
    <x v="0"/>
    <x v="150"/>
    <x v="0"/>
    <x v="4"/>
    <x v="2"/>
    <x v="0"/>
    <x v="1"/>
    <x v="1"/>
    <n v="6"/>
    <x v="3"/>
    <x v="1"/>
    <x v="1"/>
    <x v="40"/>
    <x v="0"/>
    <x v="3"/>
  </r>
  <r>
    <d v="2022-12-20T16:46:09"/>
    <x v="0"/>
    <x v="151"/>
    <x v="0"/>
    <x v="4"/>
    <x v="1"/>
    <x v="0"/>
    <x v="0"/>
    <x v="0"/>
    <n v="4"/>
    <x v="2"/>
    <x v="1"/>
    <x v="5"/>
    <x v="15"/>
    <x v="0"/>
    <x v="1"/>
  </r>
  <r>
    <d v="2022-12-20T16:46:49"/>
    <x v="0"/>
    <x v="148"/>
    <x v="1"/>
    <x v="4"/>
    <x v="0"/>
    <x v="1"/>
    <x v="0"/>
    <x v="0"/>
    <n v="7"/>
    <x v="3"/>
    <x v="1"/>
    <x v="4"/>
    <x v="14"/>
    <x v="0"/>
    <x v="1"/>
  </r>
  <r>
    <d v="2022-12-20T17:05:27"/>
    <x v="0"/>
    <x v="152"/>
    <x v="0"/>
    <x v="4"/>
    <x v="2"/>
    <x v="0"/>
    <x v="1"/>
    <x v="1"/>
    <n v="8"/>
    <x v="3"/>
    <x v="0"/>
    <x v="1"/>
    <x v="38"/>
    <x v="1"/>
    <x v="1"/>
  </r>
  <r>
    <d v="2022-12-20T17:18:25"/>
    <x v="0"/>
    <x v="2"/>
    <x v="0"/>
    <x v="3"/>
    <x v="1"/>
    <x v="1"/>
    <x v="0"/>
    <x v="0"/>
    <n v="3"/>
    <x v="2"/>
    <x v="1"/>
    <x v="3"/>
    <x v="20"/>
    <x v="0"/>
    <x v="1"/>
  </r>
  <r>
    <d v="2022-12-20T17:32:31"/>
    <x v="0"/>
    <x v="153"/>
    <x v="1"/>
    <x v="1"/>
    <x v="0"/>
    <x v="1"/>
    <x v="0"/>
    <x v="0"/>
    <n v="5"/>
    <x v="1"/>
    <x v="2"/>
    <x v="2"/>
    <x v="39"/>
    <x v="2"/>
    <x v="6"/>
  </r>
  <r>
    <d v="2022-12-20T17:51:01"/>
    <x v="0"/>
    <x v="64"/>
    <x v="0"/>
    <x v="0"/>
    <x v="0"/>
    <x v="0"/>
    <x v="0"/>
    <x v="0"/>
    <n v="4"/>
    <x v="2"/>
    <x v="0"/>
    <x v="4"/>
    <x v="15"/>
    <x v="3"/>
    <x v="4"/>
  </r>
  <r>
    <d v="2022-12-20T17:55:22"/>
    <x v="0"/>
    <x v="64"/>
    <x v="0"/>
    <x v="4"/>
    <x v="0"/>
    <x v="0"/>
    <x v="0"/>
    <x v="0"/>
    <n v="3"/>
    <x v="1"/>
    <x v="2"/>
    <x v="3"/>
    <x v="28"/>
    <x v="1"/>
    <x v="6"/>
  </r>
  <r>
    <d v="2022-12-20T17:56:03"/>
    <x v="0"/>
    <x v="154"/>
    <x v="0"/>
    <x v="4"/>
    <x v="2"/>
    <x v="1"/>
    <x v="0"/>
    <x v="0"/>
    <n v="7"/>
    <x v="1"/>
    <x v="1"/>
    <x v="2"/>
    <x v="55"/>
    <x v="0"/>
    <x v="7"/>
  </r>
  <r>
    <d v="2022-12-20T17:58:17"/>
    <x v="0"/>
    <x v="155"/>
    <x v="0"/>
    <x v="1"/>
    <x v="1"/>
    <x v="0"/>
    <x v="1"/>
    <x v="0"/>
    <n v="3"/>
    <x v="2"/>
    <x v="1"/>
    <x v="0"/>
    <x v="73"/>
    <x v="0"/>
    <x v="5"/>
  </r>
  <r>
    <d v="2022-12-20T18:13:02"/>
    <x v="0"/>
    <x v="77"/>
    <x v="1"/>
    <x v="4"/>
    <x v="0"/>
    <x v="0"/>
    <x v="0"/>
    <x v="0"/>
    <n v="5"/>
    <x v="2"/>
    <x v="1"/>
    <x v="1"/>
    <x v="3"/>
    <x v="0"/>
    <x v="3"/>
  </r>
  <r>
    <d v="2022-12-20T18:31:23"/>
    <x v="0"/>
    <x v="156"/>
    <x v="0"/>
    <x v="0"/>
    <x v="2"/>
    <x v="1"/>
    <x v="0"/>
    <x v="0"/>
    <n v="1"/>
    <x v="3"/>
    <x v="1"/>
    <x v="1"/>
    <x v="15"/>
    <x v="1"/>
    <x v="7"/>
  </r>
  <r>
    <d v="2022-12-20T18:32:20"/>
    <x v="0"/>
    <x v="50"/>
    <x v="1"/>
    <x v="1"/>
    <x v="1"/>
    <x v="1"/>
    <x v="0"/>
    <x v="1"/>
    <n v="5"/>
    <x v="4"/>
    <x v="2"/>
    <x v="4"/>
    <x v="8"/>
    <x v="2"/>
    <x v="1"/>
  </r>
  <r>
    <d v="2022-12-20T19:36:56"/>
    <x v="0"/>
    <x v="157"/>
    <x v="1"/>
    <x v="0"/>
    <x v="1"/>
    <x v="0"/>
    <x v="0"/>
    <x v="0"/>
    <n v="3"/>
    <x v="1"/>
    <x v="0"/>
    <x v="3"/>
    <x v="64"/>
    <x v="2"/>
    <x v="3"/>
  </r>
  <r>
    <d v="2022-12-20T19:40:07"/>
    <x v="0"/>
    <x v="158"/>
    <x v="1"/>
    <x v="2"/>
    <x v="0"/>
    <x v="1"/>
    <x v="0"/>
    <x v="0"/>
    <n v="1"/>
    <x v="2"/>
    <x v="0"/>
    <x v="0"/>
    <x v="18"/>
    <x v="2"/>
    <x v="3"/>
  </r>
  <r>
    <d v="2022-12-20T19:49:43"/>
    <x v="0"/>
    <x v="159"/>
    <x v="1"/>
    <x v="4"/>
    <x v="1"/>
    <x v="0"/>
    <x v="1"/>
    <x v="0"/>
    <n v="8"/>
    <x v="1"/>
    <x v="1"/>
    <x v="0"/>
    <x v="48"/>
    <x v="2"/>
    <x v="1"/>
  </r>
  <r>
    <d v="2022-12-20T20:53:40"/>
    <x v="0"/>
    <x v="160"/>
    <x v="1"/>
    <x v="0"/>
    <x v="0"/>
    <x v="1"/>
    <x v="0"/>
    <x v="0"/>
    <n v="1"/>
    <x v="1"/>
    <x v="1"/>
    <x v="4"/>
    <x v="3"/>
    <x v="2"/>
    <x v="3"/>
  </r>
  <r>
    <d v="2022-12-20T21:15:18"/>
    <x v="0"/>
    <x v="161"/>
    <x v="0"/>
    <x v="4"/>
    <x v="0"/>
    <x v="1"/>
    <x v="1"/>
    <x v="1"/>
    <n v="6"/>
    <x v="3"/>
    <x v="2"/>
    <x v="3"/>
    <x v="23"/>
    <x v="4"/>
    <x v="1"/>
  </r>
  <r>
    <d v="2022-12-20T21:22:27"/>
    <x v="0"/>
    <x v="146"/>
    <x v="0"/>
    <x v="1"/>
    <x v="0"/>
    <x v="2"/>
    <x v="1"/>
    <x v="1"/>
    <n v="5"/>
    <x v="5"/>
    <x v="1"/>
    <x v="4"/>
    <x v="28"/>
    <x v="0"/>
    <x v="6"/>
  </r>
  <r>
    <d v="2022-12-20T21:31:59"/>
    <x v="0"/>
    <x v="162"/>
    <x v="1"/>
    <x v="3"/>
    <x v="0"/>
    <x v="1"/>
    <x v="0"/>
    <x v="0"/>
    <n v="5"/>
    <x v="1"/>
    <x v="1"/>
    <x v="0"/>
    <x v="3"/>
    <x v="0"/>
    <x v="18"/>
  </r>
  <r>
    <d v="2022-12-20T21:49:57"/>
    <x v="0"/>
    <x v="163"/>
    <x v="0"/>
    <x v="3"/>
    <x v="0"/>
    <x v="0"/>
    <x v="0"/>
    <x v="0"/>
    <n v="5"/>
    <x v="5"/>
    <x v="1"/>
    <x v="1"/>
    <x v="72"/>
    <x v="2"/>
    <x v="11"/>
  </r>
  <r>
    <d v="2022-12-20T22:07:55"/>
    <x v="0"/>
    <x v="164"/>
    <x v="0"/>
    <x v="0"/>
    <x v="0"/>
    <x v="0"/>
    <x v="0"/>
    <x v="0"/>
    <n v="1"/>
    <x v="2"/>
    <x v="1"/>
    <x v="3"/>
    <x v="74"/>
    <x v="3"/>
    <x v="0"/>
  </r>
  <r>
    <d v="2022-12-20T22:21:56"/>
    <x v="0"/>
    <x v="165"/>
    <x v="0"/>
    <x v="3"/>
    <x v="0"/>
    <x v="0"/>
    <x v="0"/>
    <x v="0"/>
    <n v="7"/>
    <x v="3"/>
    <x v="1"/>
    <x v="1"/>
    <x v="9"/>
    <x v="0"/>
    <x v="1"/>
  </r>
  <r>
    <d v="2022-12-20T22:39:10"/>
    <x v="0"/>
    <x v="166"/>
    <x v="1"/>
    <x v="0"/>
    <x v="0"/>
    <x v="0"/>
    <x v="0"/>
    <x v="0"/>
    <n v="8"/>
    <x v="2"/>
    <x v="1"/>
    <x v="5"/>
    <x v="18"/>
    <x v="0"/>
    <x v="5"/>
  </r>
  <r>
    <d v="2022-12-20T22:50:30"/>
    <x v="0"/>
    <x v="163"/>
    <x v="1"/>
    <x v="3"/>
    <x v="1"/>
    <x v="1"/>
    <x v="1"/>
    <x v="1"/>
    <n v="6"/>
    <x v="5"/>
    <x v="0"/>
    <x v="3"/>
    <x v="75"/>
    <x v="0"/>
    <x v="1"/>
  </r>
  <r>
    <d v="2022-12-20T23:32:48"/>
    <x v="0"/>
    <x v="64"/>
    <x v="0"/>
    <x v="3"/>
    <x v="0"/>
    <x v="0"/>
    <x v="1"/>
    <x v="0"/>
    <n v="9"/>
    <x v="4"/>
    <x v="1"/>
    <x v="0"/>
    <x v="55"/>
    <x v="0"/>
    <x v="19"/>
  </r>
  <r>
    <d v="2022-12-21T06:32:38"/>
    <x v="0"/>
    <x v="167"/>
    <x v="0"/>
    <x v="2"/>
    <x v="0"/>
    <x v="2"/>
    <x v="1"/>
    <x v="1"/>
    <n v="8"/>
    <x v="1"/>
    <x v="0"/>
    <x v="0"/>
    <x v="29"/>
    <x v="3"/>
    <x v="3"/>
  </r>
  <r>
    <d v="2022-12-21T07:21:10"/>
    <x v="0"/>
    <x v="168"/>
    <x v="0"/>
    <x v="4"/>
    <x v="0"/>
    <x v="1"/>
    <x v="1"/>
    <x v="1"/>
    <n v="7"/>
    <x v="5"/>
    <x v="2"/>
    <x v="3"/>
    <x v="36"/>
    <x v="3"/>
    <x v="6"/>
  </r>
  <r>
    <d v="2022-12-21T11:59:25"/>
    <x v="0"/>
    <x v="169"/>
    <x v="0"/>
    <x v="2"/>
    <x v="1"/>
    <x v="0"/>
    <x v="1"/>
    <x v="1"/>
    <n v="8"/>
    <x v="2"/>
    <x v="0"/>
    <x v="1"/>
    <x v="76"/>
    <x v="0"/>
    <x v="1"/>
  </r>
  <r>
    <d v="2022-12-21T12:02:05"/>
    <x v="0"/>
    <x v="146"/>
    <x v="0"/>
    <x v="4"/>
    <x v="2"/>
    <x v="0"/>
    <x v="0"/>
    <x v="0"/>
    <n v="5"/>
    <x v="2"/>
    <x v="2"/>
    <x v="1"/>
    <x v="0"/>
    <x v="1"/>
    <x v="1"/>
  </r>
  <r>
    <d v="2022-12-21T12:55:05"/>
    <x v="0"/>
    <x v="170"/>
    <x v="1"/>
    <x v="2"/>
    <x v="2"/>
    <x v="2"/>
    <x v="0"/>
    <x v="0"/>
    <n v="1"/>
    <x v="4"/>
    <x v="0"/>
    <x v="5"/>
    <x v="8"/>
    <x v="2"/>
    <x v="4"/>
  </r>
  <r>
    <d v="2022-12-21T13:42:01"/>
    <x v="0"/>
    <x v="171"/>
    <x v="1"/>
    <x v="0"/>
    <x v="1"/>
    <x v="0"/>
    <x v="0"/>
    <x v="0"/>
    <n v="3"/>
    <x v="2"/>
    <x v="0"/>
    <x v="0"/>
    <x v="22"/>
    <x v="0"/>
    <x v="1"/>
  </r>
  <r>
    <d v="2022-12-21T14:26:41"/>
    <x v="0"/>
    <x v="172"/>
    <x v="0"/>
    <x v="4"/>
    <x v="0"/>
    <x v="1"/>
    <x v="1"/>
    <x v="1"/>
    <n v="1"/>
    <x v="3"/>
    <x v="2"/>
    <x v="3"/>
    <x v="18"/>
    <x v="2"/>
    <x v="3"/>
  </r>
  <r>
    <d v="2022-12-21T14:30:07"/>
    <x v="0"/>
    <x v="146"/>
    <x v="0"/>
    <x v="0"/>
    <x v="0"/>
    <x v="0"/>
    <x v="1"/>
    <x v="0"/>
    <n v="3"/>
    <x v="2"/>
    <x v="2"/>
    <x v="0"/>
    <x v="77"/>
    <x v="1"/>
    <x v="7"/>
  </r>
  <r>
    <d v="2022-12-21T14:33:09"/>
    <x v="0"/>
    <x v="173"/>
    <x v="0"/>
    <x v="1"/>
    <x v="2"/>
    <x v="1"/>
    <x v="1"/>
    <x v="1"/>
    <n v="8"/>
    <x v="3"/>
    <x v="2"/>
    <x v="5"/>
    <x v="4"/>
    <x v="3"/>
    <x v="7"/>
  </r>
  <r>
    <d v="2022-12-21T14:33:21"/>
    <x v="0"/>
    <x v="174"/>
    <x v="1"/>
    <x v="1"/>
    <x v="1"/>
    <x v="0"/>
    <x v="0"/>
    <x v="0"/>
    <n v="7"/>
    <x v="3"/>
    <x v="0"/>
    <x v="3"/>
    <x v="13"/>
    <x v="0"/>
    <x v="3"/>
  </r>
  <r>
    <d v="2022-12-21T14:34:03"/>
    <x v="0"/>
    <x v="175"/>
    <x v="0"/>
    <x v="4"/>
    <x v="0"/>
    <x v="0"/>
    <x v="1"/>
    <x v="0"/>
    <n v="2"/>
    <x v="3"/>
    <x v="2"/>
    <x v="1"/>
    <x v="15"/>
    <x v="3"/>
    <x v="3"/>
  </r>
  <r>
    <d v="2022-12-21T14:34:09"/>
    <x v="0"/>
    <x v="176"/>
    <x v="0"/>
    <x v="0"/>
    <x v="2"/>
    <x v="0"/>
    <x v="0"/>
    <x v="0"/>
    <n v="4"/>
    <x v="1"/>
    <x v="2"/>
    <x v="4"/>
    <x v="19"/>
    <x v="0"/>
    <x v="7"/>
  </r>
  <r>
    <d v="2022-12-21T14:35:25"/>
    <x v="0"/>
    <x v="177"/>
    <x v="0"/>
    <x v="4"/>
    <x v="0"/>
    <x v="2"/>
    <x v="1"/>
    <x v="1"/>
    <n v="2"/>
    <x v="3"/>
    <x v="2"/>
    <x v="4"/>
    <x v="78"/>
    <x v="3"/>
    <x v="4"/>
  </r>
  <r>
    <d v="2022-12-21T14:35:43"/>
    <x v="0"/>
    <x v="178"/>
    <x v="0"/>
    <x v="0"/>
    <x v="0"/>
    <x v="0"/>
    <x v="1"/>
    <x v="1"/>
    <n v="5"/>
    <x v="1"/>
    <x v="1"/>
    <x v="3"/>
    <x v="72"/>
    <x v="0"/>
    <x v="1"/>
  </r>
  <r>
    <d v="2022-12-21T14:37:45"/>
    <x v="0"/>
    <x v="146"/>
    <x v="1"/>
    <x v="4"/>
    <x v="2"/>
    <x v="1"/>
    <x v="1"/>
    <x v="1"/>
    <n v="10"/>
    <x v="3"/>
    <x v="2"/>
    <x v="4"/>
    <x v="79"/>
    <x v="1"/>
    <x v="7"/>
  </r>
  <r>
    <d v="2022-12-21T14:39:50"/>
    <x v="0"/>
    <x v="179"/>
    <x v="0"/>
    <x v="4"/>
    <x v="0"/>
    <x v="0"/>
    <x v="1"/>
    <x v="1"/>
    <n v="10"/>
    <x v="3"/>
    <x v="0"/>
    <x v="2"/>
    <x v="25"/>
    <x v="2"/>
    <x v="4"/>
  </r>
  <r>
    <d v="2022-12-21T14:40:59"/>
    <x v="0"/>
    <x v="146"/>
    <x v="1"/>
    <x v="4"/>
    <x v="2"/>
    <x v="0"/>
    <x v="0"/>
    <x v="1"/>
    <n v="5"/>
    <x v="1"/>
    <x v="2"/>
    <x v="0"/>
    <x v="10"/>
    <x v="0"/>
    <x v="1"/>
  </r>
  <r>
    <d v="2022-12-21T14:45:55"/>
    <x v="0"/>
    <x v="146"/>
    <x v="0"/>
    <x v="3"/>
    <x v="0"/>
    <x v="0"/>
    <x v="1"/>
    <x v="1"/>
    <n v="3"/>
    <x v="1"/>
    <x v="0"/>
    <x v="1"/>
    <x v="63"/>
    <x v="2"/>
    <x v="1"/>
  </r>
  <r>
    <d v="2022-12-21T14:46:28"/>
    <x v="0"/>
    <x v="175"/>
    <x v="0"/>
    <x v="4"/>
    <x v="0"/>
    <x v="1"/>
    <x v="1"/>
    <x v="1"/>
    <n v="10"/>
    <x v="3"/>
    <x v="2"/>
    <x v="3"/>
    <x v="80"/>
    <x v="3"/>
    <x v="3"/>
  </r>
  <r>
    <d v="2022-12-21T14:47:07"/>
    <x v="0"/>
    <x v="180"/>
    <x v="0"/>
    <x v="4"/>
    <x v="1"/>
    <x v="2"/>
    <x v="1"/>
    <x v="1"/>
    <n v="5"/>
    <x v="2"/>
    <x v="3"/>
    <x v="1"/>
    <x v="64"/>
    <x v="1"/>
    <x v="18"/>
  </r>
  <r>
    <d v="2022-12-21T14:53:35"/>
    <x v="0"/>
    <x v="181"/>
    <x v="1"/>
    <x v="0"/>
    <x v="2"/>
    <x v="0"/>
    <x v="1"/>
    <x v="0"/>
    <n v="5"/>
    <x v="1"/>
    <x v="2"/>
    <x v="3"/>
    <x v="73"/>
    <x v="0"/>
    <x v="1"/>
  </r>
  <r>
    <d v="2022-12-21T14:54:49"/>
    <x v="0"/>
    <x v="182"/>
    <x v="0"/>
    <x v="4"/>
    <x v="0"/>
    <x v="2"/>
    <x v="1"/>
    <x v="1"/>
    <n v="4"/>
    <x v="3"/>
    <x v="0"/>
    <x v="4"/>
    <x v="27"/>
    <x v="3"/>
    <x v="2"/>
  </r>
  <r>
    <d v="2022-12-21T15:00:58"/>
    <x v="0"/>
    <x v="183"/>
    <x v="1"/>
    <x v="1"/>
    <x v="2"/>
    <x v="0"/>
    <x v="0"/>
    <x v="1"/>
    <n v="10"/>
    <x v="3"/>
    <x v="2"/>
    <x v="3"/>
    <x v="17"/>
    <x v="2"/>
    <x v="6"/>
  </r>
  <r>
    <d v="2022-12-21T15:03:38"/>
    <x v="0"/>
    <x v="182"/>
    <x v="0"/>
    <x v="0"/>
    <x v="2"/>
    <x v="0"/>
    <x v="0"/>
    <x v="0"/>
    <n v="8"/>
    <x v="3"/>
    <x v="2"/>
    <x v="3"/>
    <x v="72"/>
    <x v="2"/>
    <x v="6"/>
  </r>
  <r>
    <d v="2022-12-21T15:09:08"/>
    <x v="0"/>
    <x v="184"/>
    <x v="0"/>
    <x v="4"/>
    <x v="0"/>
    <x v="0"/>
    <x v="1"/>
    <x v="0"/>
    <n v="8"/>
    <x v="1"/>
    <x v="2"/>
    <x v="1"/>
    <x v="35"/>
    <x v="4"/>
    <x v="7"/>
  </r>
  <r>
    <d v="2022-12-21T15:20:56"/>
    <x v="0"/>
    <x v="185"/>
    <x v="0"/>
    <x v="0"/>
    <x v="2"/>
    <x v="0"/>
    <x v="0"/>
    <x v="0"/>
    <n v="3"/>
    <x v="3"/>
    <x v="2"/>
    <x v="0"/>
    <x v="70"/>
    <x v="2"/>
    <x v="6"/>
  </r>
  <r>
    <d v="2022-12-21T15:33:44"/>
    <x v="0"/>
    <x v="183"/>
    <x v="1"/>
    <x v="0"/>
    <x v="2"/>
    <x v="0"/>
    <x v="0"/>
    <x v="0"/>
    <n v="2"/>
    <x v="4"/>
    <x v="2"/>
    <x v="0"/>
    <x v="16"/>
    <x v="0"/>
    <x v="4"/>
  </r>
  <r>
    <d v="2022-12-21T15:34:19"/>
    <x v="0"/>
    <x v="186"/>
    <x v="1"/>
    <x v="1"/>
    <x v="0"/>
    <x v="2"/>
    <x v="1"/>
    <x v="1"/>
    <n v="8"/>
    <x v="2"/>
    <x v="4"/>
    <x v="5"/>
    <x v="81"/>
    <x v="2"/>
    <x v="6"/>
  </r>
  <r>
    <d v="2022-12-21T15:44:50"/>
    <x v="0"/>
    <x v="146"/>
    <x v="1"/>
    <x v="4"/>
    <x v="1"/>
    <x v="0"/>
    <x v="1"/>
    <x v="1"/>
    <n v="3"/>
    <x v="3"/>
    <x v="2"/>
    <x v="2"/>
    <x v="12"/>
    <x v="3"/>
    <x v="6"/>
  </r>
  <r>
    <d v="2022-12-21T16:12:35"/>
    <x v="0"/>
    <x v="187"/>
    <x v="0"/>
    <x v="4"/>
    <x v="1"/>
    <x v="0"/>
    <x v="0"/>
    <x v="0"/>
    <n v="7"/>
    <x v="0"/>
    <x v="1"/>
    <x v="2"/>
    <x v="37"/>
    <x v="0"/>
    <x v="1"/>
  </r>
  <r>
    <d v="2022-12-21T16:51:36"/>
    <x v="0"/>
    <x v="188"/>
    <x v="0"/>
    <x v="4"/>
    <x v="0"/>
    <x v="0"/>
    <x v="1"/>
    <x v="1"/>
    <n v="10"/>
    <x v="1"/>
    <x v="2"/>
    <x v="1"/>
    <x v="35"/>
    <x v="3"/>
    <x v="1"/>
  </r>
  <r>
    <d v="2022-12-21T17:10:18"/>
    <x v="0"/>
    <x v="179"/>
    <x v="0"/>
    <x v="2"/>
    <x v="0"/>
    <x v="1"/>
    <x v="0"/>
    <x v="0"/>
    <n v="7"/>
    <x v="1"/>
    <x v="1"/>
    <x v="3"/>
    <x v="72"/>
    <x v="1"/>
    <x v="7"/>
  </r>
  <r>
    <d v="2022-12-21T17:26:05"/>
    <x v="0"/>
    <x v="6"/>
    <x v="0"/>
    <x v="2"/>
    <x v="2"/>
    <x v="0"/>
    <x v="1"/>
    <x v="1"/>
    <n v="5"/>
    <x v="5"/>
    <x v="0"/>
    <x v="5"/>
    <x v="30"/>
    <x v="0"/>
    <x v="3"/>
  </r>
  <r>
    <d v="2022-12-21T17:43:42"/>
    <x v="0"/>
    <x v="174"/>
    <x v="1"/>
    <x v="0"/>
    <x v="0"/>
    <x v="1"/>
    <x v="1"/>
    <x v="1"/>
    <n v="4"/>
    <x v="4"/>
    <x v="2"/>
    <x v="3"/>
    <x v="5"/>
    <x v="1"/>
    <x v="7"/>
  </r>
  <r>
    <d v="2022-12-21T18:07:47"/>
    <x v="0"/>
    <x v="189"/>
    <x v="0"/>
    <x v="0"/>
    <x v="0"/>
    <x v="2"/>
    <x v="0"/>
    <x v="0"/>
    <n v="7"/>
    <x v="2"/>
    <x v="0"/>
    <x v="1"/>
    <x v="82"/>
    <x v="0"/>
    <x v="1"/>
  </r>
  <r>
    <d v="2022-12-21T18:12:42"/>
    <x v="0"/>
    <x v="175"/>
    <x v="1"/>
    <x v="4"/>
    <x v="0"/>
    <x v="0"/>
    <x v="1"/>
    <x v="1"/>
    <n v="5"/>
    <x v="3"/>
    <x v="2"/>
    <x v="1"/>
    <x v="83"/>
    <x v="3"/>
    <x v="4"/>
  </r>
  <r>
    <d v="2022-12-21T21:23:38"/>
    <x v="0"/>
    <x v="190"/>
    <x v="0"/>
    <x v="1"/>
    <x v="1"/>
    <x v="0"/>
    <x v="1"/>
    <x v="1"/>
    <n v="5"/>
    <x v="2"/>
    <x v="1"/>
    <x v="3"/>
    <x v="15"/>
    <x v="0"/>
    <x v="3"/>
  </r>
  <r>
    <d v="2022-12-21T21:40:05"/>
    <x v="0"/>
    <x v="175"/>
    <x v="1"/>
    <x v="4"/>
    <x v="0"/>
    <x v="1"/>
    <x v="1"/>
    <x v="1"/>
    <n v="1"/>
    <x v="3"/>
    <x v="2"/>
    <x v="3"/>
    <x v="84"/>
    <x v="1"/>
    <x v="4"/>
  </r>
  <r>
    <d v="2022-12-22T07:31:57"/>
    <x v="0"/>
    <x v="191"/>
    <x v="1"/>
    <x v="0"/>
    <x v="2"/>
    <x v="0"/>
    <x v="0"/>
    <x v="0"/>
    <n v="7"/>
    <x v="4"/>
    <x v="1"/>
    <x v="1"/>
    <x v="22"/>
    <x v="0"/>
    <x v="1"/>
  </r>
  <r>
    <d v="2022-12-22T08:48:49"/>
    <x v="0"/>
    <x v="192"/>
    <x v="1"/>
    <x v="1"/>
    <x v="0"/>
    <x v="0"/>
    <x v="0"/>
    <x v="0"/>
    <n v="5"/>
    <x v="3"/>
    <x v="2"/>
    <x v="4"/>
    <x v="25"/>
    <x v="0"/>
    <x v="4"/>
  </r>
  <r>
    <d v="2022-12-22T10:47:53"/>
    <x v="0"/>
    <x v="193"/>
    <x v="1"/>
    <x v="0"/>
    <x v="0"/>
    <x v="0"/>
    <x v="0"/>
    <x v="0"/>
    <n v="8"/>
    <x v="3"/>
    <x v="1"/>
    <x v="0"/>
    <x v="24"/>
    <x v="1"/>
    <x v="5"/>
  </r>
  <r>
    <d v="2022-12-22T11:41:05"/>
    <x v="0"/>
    <x v="120"/>
    <x v="0"/>
    <x v="2"/>
    <x v="1"/>
    <x v="0"/>
    <x v="0"/>
    <x v="1"/>
    <n v="9"/>
    <x v="2"/>
    <x v="1"/>
    <x v="0"/>
    <x v="39"/>
    <x v="0"/>
    <x v="4"/>
  </r>
  <r>
    <d v="2022-12-22T12:27:18"/>
    <x v="0"/>
    <x v="194"/>
    <x v="0"/>
    <x v="3"/>
    <x v="0"/>
    <x v="0"/>
    <x v="0"/>
    <x v="0"/>
    <n v="3"/>
    <x v="2"/>
    <x v="1"/>
    <x v="0"/>
    <x v="15"/>
    <x v="0"/>
    <x v="9"/>
  </r>
  <r>
    <d v="2022-12-22T12:40:31"/>
    <x v="0"/>
    <x v="195"/>
    <x v="0"/>
    <x v="0"/>
    <x v="2"/>
    <x v="0"/>
    <x v="0"/>
    <x v="0"/>
    <n v="3"/>
    <x v="1"/>
    <x v="1"/>
    <x v="0"/>
    <x v="18"/>
    <x v="0"/>
    <x v="3"/>
  </r>
  <r>
    <d v="2022-12-22T12:47:00"/>
    <x v="0"/>
    <x v="195"/>
    <x v="1"/>
    <x v="4"/>
    <x v="2"/>
    <x v="0"/>
    <x v="0"/>
    <x v="0"/>
    <n v="9"/>
    <x v="1"/>
    <x v="2"/>
    <x v="0"/>
    <x v="18"/>
    <x v="1"/>
    <x v="11"/>
  </r>
  <r>
    <d v="2022-12-22T14:58:34"/>
    <x v="0"/>
    <x v="196"/>
    <x v="0"/>
    <x v="3"/>
    <x v="0"/>
    <x v="0"/>
    <x v="0"/>
    <x v="0"/>
    <n v="7"/>
    <x v="2"/>
    <x v="1"/>
    <x v="1"/>
    <x v="42"/>
    <x v="1"/>
    <x v="1"/>
  </r>
  <r>
    <d v="2022-12-22T15:34:47"/>
    <x v="2"/>
    <x v="197"/>
    <x v="1"/>
    <x v="0"/>
    <x v="0"/>
    <x v="0"/>
    <x v="0"/>
    <x v="0"/>
    <n v="5"/>
    <x v="1"/>
    <x v="2"/>
    <x v="1"/>
    <x v="57"/>
    <x v="2"/>
    <x v="3"/>
  </r>
  <r>
    <d v="2022-12-22T15:37:31"/>
    <x v="2"/>
    <x v="198"/>
    <x v="1"/>
    <x v="4"/>
    <x v="0"/>
    <x v="0"/>
    <x v="1"/>
    <x v="1"/>
    <n v="10"/>
    <x v="4"/>
    <x v="0"/>
    <x v="2"/>
    <x v="79"/>
    <x v="0"/>
    <x v="3"/>
  </r>
  <r>
    <d v="2022-12-22T17:06:52"/>
    <x v="0"/>
    <x v="199"/>
    <x v="0"/>
    <x v="0"/>
    <x v="0"/>
    <x v="0"/>
    <x v="0"/>
    <x v="0"/>
    <n v="5"/>
    <x v="2"/>
    <x v="1"/>
    <x v="0"/>
    <x v="13"/>
    <x v="0"/>
    <x v="1"/>
  </r>
  <r>
    <d v="2022-12-22T17:19:50"/>
    <x v="0"/>
    <x v="200"/>
    <x v="0"/>
    <x v="1"/>
    <x v="0"/>
    <x v="1"/>
    <x v="0"/>
    <x v="1"/>
    <n v="7"/>
    <x v="4"/>
    <x v="0"/>
    <x v="3"/>
    <x v="41"/>
    <x v="3"/>
    <x v="1"/>
  </r>
  <r>
    <d v="2022-12-22T21:30:17"/>
    <x v="3"/>
    <x v="201"/>
    <x v="0"/>
    <x v="0"/>
    <x v="0"/>
    <x v="0"/>
    <x v="0"/>
    <x v="0"/>
    <n v="5"/>
    <x v="2"/>
    <x v="1"/>
    <x v="0"/>
    <x v="15"/>
    <x v="0"/>
    <x v="7"/>
  </r>
  <r>
    <d v="2022-12-22T22:59:12"/>
    <x v="0"/>
    <x v="202"/>
    <x v="0"/>
    <x v="4"/>
    <x v="1"/>
    <x v="0"/>
    <x v="1"/>
    <x v="1"/>
    <n v="8"/>
    <x v="2"/>
    <x v="0"/>
    <x v="3"/>
    <x v="85"/>
    <x v="0"/>
    <x v="2"/>
  </r>
  <r>
    <d v="2022-12-23T01:32:49"/>
    <x v="2"/>
    <x v="199"/>
    <x v="0"/>
    <x v="4"/>
    <x v="0"/>
    <x v="0"/>
    <x v="0"/>
    <x v="0"/>
    <n v="3"/>
    <x v="2"/>
    <x v="0"/>
    <x v="1"/>
    <x v="15"/>
    <x v="1"/>
    <x v="3"/>
  </r>
  <r>
    <d v="2022-12-23T17:15:29"/>
    <x v="0"/>
    <x v="203"/>
    <x v="0"/>
    <x v="2"/>
    <x v="0"/>
    <x v="0"/>
    <x v="0"/>
    <x v="0"/>
    <n v="6"/>
    <x v="2"/>
    <x v="1"/>
    <x v="4"/>
    <x v="11"/>
    <x v="0"/>
    <x v="1"/>
  </r>
  <r>
    <d v="2022-12-23T18:15:23"/>
    <x v="0"/>
    <x v="204"/>
    <x v="1"/>
    <x v="4"/>
    <x v="2"/>
    <x v="0"/>
    <x v="1"/>
    <x v="1"/>
    <n v="10"/>
    <x v="1"/>
    <x v="2"/>
    <x v="5"/>
    <x v="86"/>
    <x v="2"/>
    <x v="6"/>
  </r>
  <r>
    <d v="2022-12-23T18:16:37"/>
    <x v="0"/>
    <x v="204"/>
    <x v="1"/>
    <x v="4"/>
    <x v="2"/>
    <x v="0"/>
    <x v="1"/>
    <x v="1"/>
    <n v="4"/>
    <x v="3"/>
    <x v="2"/>
    <x v="1"/>
    <x v="70"/>
    <x v="0"/>
    <x v="1"/>
  </r>
  <r>
    <d v="2022-12-23T18:17:13"/>
    <x v="0"/>
    <x v="205"/>
    <x v="1"/>
    <x v="4"/>
    <x v="0"/>
    <x v="1"/>
    <x v="1"/>
    <x v="0"/>
    <n v="10"/>
    <x v="5"/>
    <x v="1"/>
    <x v="4"/>
    <x v="72"/>
    <x v="0"/>
    <x v="3"/>
  </r>
  <r>
    <d v="2022-12-23T18:49:14"/>
    <x v="0"/>
    <x v="206"/>
    <x v="0"/>
    <x v="0"/>
    <x v="1"/>
    <x v="1"/>
    <x v="0"/>
    <x v="1"/>
    <n v="3"/>
    <x v="4"/>
    <x v="2"/>
    <x v="3"/>
    <x v="32"/>
    <x v="0"/>
    <x v="1"/>
  </r>
  <r>
    <d v="2022-12-23T18:52:23"/>
    <x v="0"/>
    <x v="206"/>
    <x v="1"/>
    <x v="3"/>
    <x v="1"/>
    <x v="0"/>
    <x v="1"/>
    <x v="0"/>
    <n v="5"/>
    <x v="2"/>
    <x v="1"/>
    <x v="0"/>
    <x v="3"/>
    <x v="2"/>
    <x v="4"/>
  </r>
  <r>
    <d v="2022-12-23T18:58:21"/>
    <x v="0"/>
    <x v="207"/>
    <x v="0"/>
    <x v="3"/>
    <x v="2"/>
    <x v="1"/>
    <x v="1"/>
    <x v="1"/>
    <n v="10"/>
    <x v="1"/>
    <x v="1"/>
    <x v="3"/>
    <x v="13"/>
    <x v="3"/>
    <x v="3"/>
  </r>
  <r>
    <d v="2022-12-23T19:00:31"/>
    <x v="0"/>
    <x v="208"/>
    <x v="1"/>
    <x v="4"/>
    <x v="2"/>
    <x v="0"/>
    <x v="0"/>
    <x v="0"/>
    <n v="5"/>
    <x v="2"/>
    <x v="1"/>
    <x v="0"/>
    <x v="87"/>
    <x v="0"/>
    <x v="3"/>
  </r>
  <r>
    <d v="2022-12-23T19:05:40"/>
    <x v="0"/>
    <x v="204"/>
    <x v="1"/>
    <x v="4"/>
    <x v="0"/>
    <x v="1"/>
    <x v="1"/>
    <x v="1"/>
    <n v="1"/>
    <x v="3"/>
    <x v="2"/>
    <x v="1"/>
    <x v="27"/>
    <x v="2"/>
    <x v="7"/>
  </r>
  <r>
    <d v="2022-12-23T19:05:43"/>
    <x v="0"/>
    <x v="209"/>
    <x v="1"/>
    <x v="4"/>
    <x v="2"/>
    <x v="1"/>
    <x v="0"/>
    <x v="0"/>
    <n v="5"/>
    <x v="3"/>
    <x v="1"/>
    <x v="4"/>
    <x v="72"/>
    <x v="0"/>
    <x v="3"/>
  </r>
  <r>
    <d v="2022-12-23T19:06:54"/>
    <x v="0"/>
    <x v="204"/>
    <x v="0"/>
    <x v="4"/>
    <x v="0"/>
    <x v="1"/>
    <x v="1"/>
    <x v="1"/>
    <n v="4"/>
    <x v="3"/>
    <x v="1"/>
    <x v="5"/>
    <x v="48"/>
    <x v="1"/>
    <x v="0"/>
  </r>
  <r>
    <d v="2022-12-23T19:07:56"/>
    <x v="0"/>
    <x v="210"/>
    <x v="1"/>
    <x v="0"/>
    <x v="2"/>
    <x v="0"/>
    <x v="0"/>
    <x v="0"/>
    <n v="3"/>
    <x v="3"/>
    <x v="2"/>
    <x v="0"/>
    <x v="16"/>
    <x v="0"/>
    <x v="4"/>
  </r>
  <r>
    <d v="2022-12-23T19:09:40"/>
    <x v="0"/>
    <x v="204"/>
    <x v="0"/>
    <x v="0"/>
    <x v="0"/>
    <x v="0"/>
    <x v="0"/>
    <x v="0"/>
    <n v="10"/>
    <x v="3"/>
    <x v="1"/>
    <x v="0"/>
    <x v="66"/>
    <x v="0"/>
    <x v="3"/>
  </r>
  <r>
    <d v="2022-12-23T19:10:38"/>
    <x v="0"/>
    <x v="211"/>
    <x v="0"/>
    <x v="4"/>
    <x v="1"/>
    <x v="0"/>
    <x v="1"/>
    <x v="0"/>
    <n v="2"/>
    <x v="1"/>
    <x v="1"/>
    <x v="0"/>
    <x v="7"/>
    <x v="1"/>
    <x v="8"/>
  </r>
  <r>
    <d v="2022-12-23T19:14:15"/>
    <x v="0"/>
    <x v="204"/>
    <x v="1"/>
    <x v="4"/>
    <x v="0"/>
    <x v="0"/>
    <x v="0"/>
    <x v="0"/>
    <n v="5"/>
    <x v="1"/>
    <x v="1"/>
    <x v="5"/>
    <x v="65"/>
    <x v="0"/>
    <x v="1"/>
  </r>
  <r>
    <d v="2022-12-23T19:18:08"/>
    <x v="0"/>
    <x v="212"/>
    <x v="0"/>
    <x v="4"/>
    <x v="2"/>
    <x v="1"/>
    <x v="0"/>
    <x v="0"/>
    <n v="1"/>
    <x v="1"/>
    <x v="2"/>
    <x v="3"/>
    <x v="57"/>
    <x v="1"/>
    <x v="7"/>
  </r>
  <r>
    <d v="2022-12-23T19:18:21"/>
    <x v="1"/>
    <x v="213"/>
    <x v="1"/>
    <x v="0"/>
    <x v="2"/>
    <x v="2"/>
    <x v="0"/>
    <x v="0"/>
    <n v="1"/>
    <x v="0"/>
    <x v="4"/>
    <x v="5"/>
    <x v="88"/>
    <x v="4"/>
    <x v="6"/>
  </r>
  <r>
    <d v="2022-12-23T19:25:52"/>
    <x v="0"/>
    <x v="206"/>
    <x v="1"/>
    <x v="2"/>
    <x v="2"/>
    <x v="0"/>
    <x v="1"/>
    <x v="0"/>
    <n v="8"/>
    <x v="4"/>
    <x v="2"/>
    <x v="0"/>
    <x v="63"/>
    <x v="0"/>
    <x v="4"/>
  </r>
  <r>
    <d v="2022-12-23T19:34:41"/>
    <x v="0"/>
    <x v="214"/>
    <x v="1"/>
    <x v="4"/>
    <x v="0"/>
    <x v="1"/>
    <x v="0"/>
    <x v="0"/>
    <n v="5"/>
    <x v="3"/>
    <x v="2"/>
    <x v="1"/>
    <x v="1"/>
    <x v="2"/>
    <x v="7"/>
  </r>
  <r>
    <d v="2022-12-23T19:37:33"/>
    <x v="0"/>
    <x v="204"/>
    <x v="1"/>
    <x v="4"/>
    <x v="2"/>
    <x v="0"/>
    <x v="0"/>
    <x v="0"/>
    <n v="3"/>
    <x v="3"/>
    <x v="2"/>
    <x v="3"/>
    <x v="89"/>
    <x v="2"/>
    <x v="7"/>
  </r>
  <r>
    <d v="2022-12-23T19:44:41"/>
    <x v="0"/>
    <x v="204"/>
    <x v="1"/>
    <x v="4"/>
    <x v="2"/>
    <x v="0"/>
    <x v="1"/>
    <x v="1"/>
    <n v="9"/>
    <x v="3"/>
    <x v="3"/>
    <x v="2"/>
    <x v="35"/>
    <x v="0"/>
    <x v="4"/>
  </r>
  <r>
    <d v="2022-12-23T19:57:32"/>
    <x v="0"/>
    <x v="215"/>
    <x v="0"/>
    <x v="2"/>
    <x v="0"/>
    <x v="1"/>
    <x v="1"/>
    <x v="0"/>
    <n v="9"/>
    <x v="1"/>
    <x v="0"/>
    <x v="0"/>
    <x v="15"/>
    <x v="0"/>
    <x v="1"/>
  </r>
  <r>
    <d v="2022-12-23T20:13:18"/>
    <x v="0"/>
    <x v="210"/>
    <x v="1"/>
    <x v="4"/>
    <x v="2"/>
    <x v="0"/>
    <x v="1"/>
    <x v="0"/>
    <n v="4"/>
    <x v="3"/>
    <x v="0"/>
    <x v="4"/>
    <x v="63"/>
    <x v="1"/>
    <x v="1"/>
  </r>
  <r>
    <d v="2022-12-23T21:36:47"/>
    <x v="0"/>
    <x v="179"/>
    <x v="1"/>
    <x v="1"/>
    <x v="0"/>
    <x v="1"/>
    <x v="1"/>
    <x v="1"/>
    <n v="5"/>
    <x v="3"/>
    <x v="0"/>
    <x v="3"/>
    <x v="33"/>
    <x v="0"/>
    <x v="1"/>
  </r>
  <r>
    <d v="2022-12-23T21:39:28"/>
    <x v="0"/>
    <x v="216"/>
    <x v="0"/>
    <x v="4"/>
    <x v="2"/>
    <x v="1"/>
    <x v="0"/>
    <x v="0"/>
    <n v="1"/>
    <x v="3"/>
    <x v="2"/>
    <x v="4"/>
    <x v="33"/>
    <x v="0"/>
    <x v="1"/>
  </r>
  <r>
    <d v="2022-12-23T21:41:13"/>
    <x v="0"/>
    <x v="217"/>
    <x v="0"/>
    <x v="4"/>
    <x v="2"/>
    <x v="1"/>
    <x v="1"/>
    <x v="1"/>
    <n v="1"/>
    <x v="5"/>
    <x v="0"/>
    <x v="2"/>
    <x v="89"/>
    <x v="0"/>
    <x v="6"/>
  </r>
  <r>
    <d v="2022-12-23T21:54:00"/>
    <x v="0"/>
    <x v="204"/>
    <x v="1"/>
    <x v="4"/>
    <x v="1"/>
    <x v="0"/>
    <x v="0"/>
    <x v="0"/>
    <n v="5"/>
    <x v="3"/>
    <x v="0"/>
    <x v="3"/>
    <x v="27"/>
    <x v="0"/>
    <x v="3"/>
  </r>
  <r>
    <d v="2022-12-23T21:54:31"/>
    <x v="0"/>
    <x v="218"/>
    <x v="0"/>
    <x v="4"/>
    <x v="0"/>
    <x v="1"/>
    <x v="0"/>
    <x v="0"/>
    <n v="5"/>
    <x v="1"/>
    <x v="2"/>
    <x v="3"/>
    <x v="0"/>
    <x v="1"/>
    <x v="6"/>
  </r>
  <r>
    <d v="2022-12-23T22:08:51"/>
    <x v="0"/>
    <x v="219"/>
    <x v="1"/>
    <x v="4"/>
    <x v="2"/>
    <x v="0"/>
    <x v="0"/>
    <x v="0"/>
    <n v="3"/>
    <x v="2"/>
    <x v="1"/>
    <x v="0"/>
    <x v="54"/>
    <x v="0"/>
    <x v="1"/>
  </r>
  <r>
    <d v="2022-12-23T22:59:43"/>
    <x v="0"/>
    <x v="204"/>
    <x v="0"/>
    <x v="4"/>
    <x v="0"/>
    <x v="0"/>
    <x v="0"/>
    <x v="0"/>
    <n v="7"/>
    <x v="1"/>
    <x v="1"/>
    <x v="4"/>
    <x v="15"/>
    <x v="0"/>
    <x v="7"/>
  </r>
  <r>
    <d v="2022-12-23T23:28:32"/>
    <x v="0"/>
    <x v="204"/>
    <x v="1"/>
    <x v="0"/>
    <x v="2"/>
    <x v="0"/>
    <x v="0"/>
    <x v="0"/>
    <n v="1"/>
    <x v="1"/>
    <x v="1"/>
    <x v="4"/>
    <x v="22"/>
    <x v="2"/>
    <x v="3"/>
  </r>
  <r>
    <d v="2022-12-24T06:23:12"/>
    <x v="0"/>
    <x v="207"/>
    <x v="0"/>
    <x v="4"/>
    <x v="1"/>
    <x v="0"/>
    <x v="1"/>
    <x v="1"/>
    <n v="4"/>
    <x v="2"/>
    <x v="1"/>
    <x v="4"/>
    <x v="4"/>
    <x v="2"/>
    <x v="6"/>
  </r>
  <r>
    <d v="2022-12-24T09:15:26"/>
    <x v="0"/>
    <x v="220"/>
    <x v="1"/>
    <x v="3"/>
    <x v="2"/>
    <x v="1"/>
    <x v="0"/>
    <x v="0"/>
    <n v="6"/>
    <x v="3"/>
    <x v="2"/>
    <x v="4"/>
    <x v="72"/>
    <x v="2"/>
    <x v="1"/>
  </r>
  <r>
    <d v="2022-12-24T09:39:47"/>
    <x v="0"/>
    <x v="221"/>
    <x v="0"/>
    <x v="0"/>
    <x v="0"/>
    <x v="1"/>
    <x v="1"/>
    <x v="0"/>
    <n v="7"/>
    <x v="4"/>
    <x v="1"/>
    <x v="4"/>
    <x v="27"/>
    <x v="0"/>
    <x v="16"/>
  </r>
  <r>
    <d v="2022-12-24T09:45:50"/>
    <x v="0"/>
    <x v="75"/>
    <x v="1"/>
    <x v="3"/>
    <x v="1"/>
    <x v="0"/>
    <x v="0"/>
    <x v="0"/>
    <n v="8"/>
    <x v="1"/>
    <x v="1"/>
    <x v="4"/>
    <x v="32"/>
    <x v="0"/>
    <x v="11"/>
  </r>
  <r>
    <d v="2022-12-24T11:02:44"/>
    <x v="0"/>
    <x v="222"/>
    <x v="0"/>
    <x v="0"/>
    <x v="2"/>
    <x v="1"/>
    <x v="0"/>
    <x v="0"/>
    <n v="3"/>
    <x v="1"/>
    <x v="1"/>
    <x v="2"/>
    <x v="63"/>
    <x v="0"/>
    <x v="3"/>
  </r>
  <r>
    <d v="2022-12-24T11:09:59"/>
    <x v="0"/>
    <x v="206"/>
    <x v="1"/>
    <x v="0"/>
    <x v="0"/>
    <x v="0"/>
    <x v="0"/>
    <x v="0"/>
    <n v="3"/>
    <x v="1"/>
    <x v="2"/>
    <x v="0"/>
    <x v="24"/>
    <x v="1"/>
    <x v="3"/>
  </r>
  <r>
    <d v="2022-12-24T14:25:49"/>
    <x v="0"/>
    <x v="222"/>
    <x v="1"/>
    <x v="3"/>
    <x v="0"/>
    <x v="0"/>
    <x v="1"/>
    <x v="1"/>
    <n v="5"/>
    <x v="4"/>
    <x v="2"/>
    <x v="0"/>
    <x v="9"/>
    <x v="0"/>
    <x v="1"/>
  </r>
  <r>
    <d v="2022-12-24T14:46:17"/>
    <x v="0"/>
    <x v="223"/>
    <x v="0"/>
    <x v="4"/>
    <x v="1"/>
    <x v="0"/>
    <x v="0"/>
    <x v="0"/>
    <n v="7"/>
    <x v="1"/>
    <x v="0"/>
    <x v="0"/>
    <x v="90"/>
    <x v="0"/>
    <x v="1"/>
  </r>
  <r>
    <d v="2022-12-24T14:49:19"/>
    <x v="0"/>
    <x v="224"/>
    <x v="1"/>
    <x v="4"/>
    <x v="2"/>
    <x v="0"/>
    <x v="0"/>
    <x v="0"/>
    <n v="4"/>
    <x v="2"/>
    <x v="2"/>
    <x v="5"/>
    <x v="12"/>
    <x v="0"/>
    <x v="1"/>
  </r>
  <r>
    <d v="2022-12-24T15:09:08"/>
    <x v="0"/>
    <x v="225"/>
    <x v="1"/>
    <x v="1"/>
    <x v="0"/>
    <x v="1"/>
    <x v="0"/>
    <x v="0"/>
    <n v="9"/>
    <x v="5"/>
    <x v="0"/>
    <x v="1"/>
    <x v="91"/>
    <x v="2"/>
    <x v="10"/>
  </r>
  <r>
    <d v="2022-12-24T15:35:54"/>
    <x v="0"/>
    <x v="92"/>
    <x v="0"/>
    <x v="2"/>
    <x v="2"/>
    <x v="0"/>
    <x v="1"/>
    <x v="0"/>
    <n v="3"/>
    <x v="1"/>
    <x v="1"/>
    <x v="2"/>
    <x v="33"/>
    <x v="0"/>
    <x v="11"/>
  </r>
  <r>
    <d v="2022-12-24T15:35:59"/>
    <x v="0"/>
    <x v="92"/>
    <x v="0"/>
    <x v="4"/>
    <x v="1"/>
    <x v="1"/>
    <x v="1"/>
    <x v="1"/>
    <n v="1"/>
    <x v="3"/>
    <x v="2"/>
    <x v="1"/>
    <x v="41"/>
    <x v="2"/>
    <x v="6"/>
  </r>
  <r>
    <d v="2022-12-24T15:54:33"/>
    <x v="0"/>
    <x v="204"/>
    <x v="1"/>
    <x v="4"/>
    <x v="0"/>
    <x v="2"/>
    <x v="1"/>
    <x v="1"/>
    <n v="2"/>
    <x v="3"/>
    <x v="0"/>
    <x v="2"/>
    <x v="21"/>
    <x v="3"/>
    <x v="3"/>
  </r>
  <r>
    <d v="2022-12-24T15:57:06"/>
    <x v="0"/>
    <x v="206"/>
    <x v="1"/>
    <x v="4"/>
    <x v="1"/>
    <x v="0"/>
    <x v="0"/>
    <x v="0"/>
    <n v="5"/>
    <x v="1"/>
    <x v="0"/>
    <x v="1"/>
    <x v="37"/>
    <x v="2"/>
    <x v="4"/>
  </r>
  <r>
    <d v="2022-12-24T16:07:09"/>
    <x v="0"/>
    <x v="92"/>
    <x v="0"/>
    <x v="2"/>
    <x v="2"/>
    <x v="0"/>
    <x v="0"/>
    <x v="0"/>
    <n v="1"/>
    <x v="2"/>
    <x v="0"/>
    <x v="5"/>
    <x v="27"/>
    <x v="2"/>
    <x v="6"/>
  </r>
  <r>
    <d v="2022-12-24T16:08:53"/>
    <x v="0"/>
    <x v="226"/>
    <x v="1"/>
    <x v="0"/>
    <x v="0"/>
    <x v="0"/>
    <x v="1"/>
    <x v="0"/>
    <n v="8"/>
    <x v="0"/>
    <x v="2"/>
    <x v="3"/>
    <x v="5"/>
    <x v="3"/>
    <x v="6"/>
  </r>
  <r>
    <d v="2022-12-24T16:59:39"/>
    <x v="0"/>
    <x v="227"/>
    <x v="1"/>
    <x v="4"/>
    <x v="1"/>
    <x v="0"/>
    <x v="0"/>
    <x v="0"/>
    <n v="5"/>
    <x v="1"/>
    <x v="0"/>
    <x v="1"/>
    <x v="63"/>
    <x v="0"/>
    <x v="3"/>
  </r>
  <r>
    <d v="2022-12-24T17:26:00"/>
    <x v="0"/>
    <x v="228"/>
    <x v="1"/>
    <x v="3"/>
    <x v="1"/>
    <x v="0"/>
    <x v="0"/>
    <x v="0"/>
    <n v="2"/>
    <x v="2"/>
    <x v="1"/>
    <x v="1"/>
    <x v="7"/>
    <x v="0"/>
    <x v="9"/>
  </r>
  <r>
    <d v="2022-12-24T17:44:34"/>
    <x v="0"/>
    <x v="204"/>
    <x v="1"/>
    <x v="1"/>
    <x v="0"/>
    <x v="2"/>
    <x v="1"/>
    <x v="0"/>
    <n v="10"/>
    <x v="0"/>
    <x v="0"/>
    <x v="5"/>
    <x v="16"/>
    <x v="3"/>
    <x v="7"/>
  </r>
  <r>
    <d v="2022-12-24T23:15:49"/>
    <x v="0"/>
    <x v="211"/>
    <x v="1"/>
    <x v="3"/>
    <x v="2"/>
    <x v="1"/>
    <x v="0"/>
    <x v="0"/>
    <n v="5"/>
    <x v="4"/>
    <x v="1"/>
    <x v="0"/>
    <x v="5"/>
    <x v="0"/>
    <x v="4"/>
  </r>
  <r>
    <d v="2022-12-25T16:06:35"/>
    <x v="0"/>
    <x v="229"/>
    <x v="0"/>
    <x v="2"/>
    <x v="2"/>
    <x v="1"/>
    <x v="0"/>
    <x v="0"/>
    <n v="5"/>
    <x v="4"/>
    <x v="2"/>
    <x v="4"/>
    <x v="63"/>
    <x v="1"/>
    <x v="3"/>
  </r>
  <r>
    <d v="2022-12-25T16:07:50"/>
    <x v="0"/>
    <x v="230"/>
    <x v="1"/>
    <x v="4"/>
    <x v="1"/>
    <x v="0"/>
    <x v="0"/>
    <x v="0"/>
    <n v="9"/>
    <x v="2"/>
    <x v="1"/>
    <x v="1"/>
    <x v="72"/>
    <x v="2"/>
    <x v="1"/>
  </r>
  <r>
    <d v="2022-12-25T16:16:59"/>
    <x v="0"/>
    <x v="231"/>
    <x v="0"/>
    <x v="1"/>
    <x v="0"/>
    <x v="0"/>
    <x v="0"/>
    <x v="0"/>
    <n v="8"/>
    <x v="5"/>
    <x v="1"/>
    <x v="2"/>
    <x v="30"/>
    <x v="0"/>
    <x v="6"/>
  </r>
  <r>
    <d v="2022-12-25T17:27:36"/>
    <x v="0"/>
    <x v="229"/>
    <x v="0"/>
    <x v="4"/>
    <x v="2"/>
    <x v="0"/>
    <x v="0"/>
    <x v="0"/>
    <n v="5"/>
    <x v="1"/>
    <x v="2"/>
    <x v="1"/>
    <x v="72"/>
    <x v="1"/>
    <x v="6"/>
  </r>
  <r>
    <d v="2022-12-26T05:45:33"/>
    <x v="0"/>
    <x v="232"/>
    <x v="1"/>
    <x v="0"/>
    <x v="2"/>
    <x v="0"/>
    <x v="0"/>
    <x v="0"/>
    <n v="5"/>
    <x v="0"/>
    <x v="2"/>
    <x v="4"/>
    <x v="11"/>
    <x v="1"/>
    <x v="1"/>
  </r>
  <r>
    <d v="2022-12-27T09:50:41"/>
    <x v="0"/>
    <x v="233"/>
    <x v="0"/>
    <x v="0"/>
    <x v="0"/>
    <x v="1"/>
    <x v="0"/>
    <x v="0"/>
    <n v="2"/>
    <x v="1"/>
    <x v="1"/>
    <x v="2"/>
    <x v="0"/>
    <x v="0"/>
    <x v="7"/>
  </r>
  <r>
    <d v="2022-12-30T05:21:49"/>
    <x v="3"/>
    <x v="234"/>
    <x v="0"/>
    <x v="1"/>
    <x v="0"/>
    <x v="1"/>
    <x v="0"/>
    <x v="0"/>
    <n v="5"/>
    <x v="1"/>
    <x v="2"/>
    <x v="2"/>
    <x v="1"/>
    <x v="1"/>
    <x v="7"/>
  </r>
  <r>
    <d v="2022-12-30T08:11:59"/>
    <x v="0"/>
    <x v="14"/>
    <x v="1"/>
    <x v="4"/>
    <x v="0"/>
    <x v="1"/>
    <x v="0"/>
    <x v="0"/>
    <n v="5"/>
    <x v="3"/>
    <x v="1"/>
    <x v="1"/>
    <x v="3"/>
    <x v="0"/>
    <x v="3"/>
  </r>
  <r>
    <d v="2022-12-30T11:41:06"/>
    <x v="0"/>
    <x v="235"/>
    <x v="0"/>
    <x v="0"/>
    <x v="1"/>
    <x v="0"/>
    <x v="0"/>
    <x v="0"/>
    <n v="8"/>
    <x v="1"/>
    <x v="0"/>
    <x v="4"/>
    <x v="63"/>
    <x v="0"/>
    <x v="3"/>
  </r>
  <r>
    <d v="2022-12-31T14:07:53"/>
    <x v="0"/>
    <x v="236"/>
    <x v="1"/>
    <x v="0"/>
    <x v="1"/>
    <x v="0"/>
    <x v="1"/>
    <x v="0"/>
    <n v="7"/>
    <x v="1"/>
    <x v="1"/>
    <x v="5"/>
    <x v="24"/>
    <x v="0"/>
    <x v="3"/>
  </r>
  <r>
    <d v="2022-12-31T15:34:58"/>
    <x v="3"/>
    <x v="237"/>
    <x v="1"/>
    <x v="3"/>
    <x v="0"/>
    <x v="0"/>
    <x v="0"/>
    <x v="0"/>
    <n v="1"/>
    <x v="1"/>
    <x v="1"/>
    <x v="3"/>
    <x v="1"/>
    <x v="0"/>
    <x v="7"/>
  </r>
  <r>
    <d v="2022-12-31T18:00:52"/>
    <x v="0"/>
    <x v="238"/>
    <x v="0"/>
    <x v="3"/>
    <x v="0"/>
    <x v="1"/>
    <x v="1"/>
    <x v="1"/>
    <n v="4"/>
    <x v="4"/>
    <x v="1"/>
    <x v="4"/>
    <x v="1"/>
    <x v="3"/>
    <x v="1"/>
  </r>
  <r>
    <d v="2022-12-31T19:59:55"/>
    <x v="0"/>
    <x v="236"/>
    <x v="1"/>
    <x v="4"/>
    <x v="2"/>
    <x v="1"/>
    <x v="0"/>
    <x v="0"/>
    <n v="1"/>
    <x v="0"/>
    <x v="1"/>
    <x v="0"/>
    <x v="92"/>
    <x v="1"/>
    <x v="1"/>
  </r>
  <r>
    <d v="2022-12-31T21:05:54"/>
    <x v="0"/>
    <x v="156"/>
    <x v="0"/>
    <x v="4"/>
    <x v="2"/>
    <x v="2"/>
    <x v="1"/>
    <x v="1"/>
    <n v="5"/>
    <x v="5"/>
    <x v="1"/>
    <x v="2"/>
    <x v="27"/>
    <x v="0"/>
    <x v="1"/>
  </r>
  <r>
    <d v="2023-01-02T23:16:50"/>
    <x v="0"/>
    <x v="239"/>
    <x v="0"/>
    <x v="3"/>
    <x v="2"/>
    <x v="1"/>
    <x v="1"/>
    <x v="0"/>
    <n v="3"/>
    <x v="2"/>
    <x v="2"/>
    <x v="0"/>
    <x v="5"/>
    <x v="1"/>
    <x v="1"/>
  </r>
  <r>
    <d v="2023-01-03T21:46:43"/>
    <x v="0"/>
    <x v="61"/>
    <x v="1"/>
    <x v="3"/>
    <x v="0"/>
    <x v="1"/>
    <x v="0"/>
    <x v="1"/>
    <n v="3"/>
    <x v="4"/>
    <x v="2"/>
    <x v="1"/>
    <x v="93"/>
    <x v="2"/>
    <x v="3"/>
  </r>
  <r>
    <d v="2023-01-08T12:31:37"/>
    <x v="0"/>
    <x v="240"/>
    <x v="0"/>
    <x v="4"/>
    <x v="0"/>
    <x v="0"/>
    <x v="0"/>
    <x v="0"/>
    <n v="7"/>
    <x v="4"/>
    <x v="2"/>
    <x v="2"/>
    <x v="30"/>
    <x v="0"/>
    <x v="3"/>
  </r>
  <r>
    <d v="2023-01-08T18:38:30"/>
    <x v="0"/>
    <x v="241"/>
    <x v="0"/>
    <x v="0"/>
    <x v="0"/>
    <x v="0"/>
    <x v="1"/>
    <x v="1"/>
    <n v="6"/>
    <x v="2"/>
    <x v="2"/>
    <x v="5"/>
    <x v="1"/>
    <x v="0"/>
    <x v="1"/>
  </r>
  <r>
    <d v="2023-01-08T20:39:10"/>
    <x v="0"/>
    <x v="242"/>
    <x v="0"/>
    <x v="1"/>
    <x v="2"/>
    <x v="0"/>
    <x v="0"/>
    <x v="0"/>
    <n v="6"/>
    <x v="1"/>
    <x v="1"/>
    <x v="0"/>
    <x v="3"/>
    <x v="0"/>
    <x v="1"/>
  </r>
  <r>
    <d v="2023-01-09T00:39:37"/>
    <x v="0"/>
    <x v="65"/>
    <x v="0"/>
    <x v="0"/>
    <x v="0"/>
    <x v="0"/>
    <x v="1"/>
    <x v="1"/>
    <n v="7"/>
    <x v="2"/>
    <x v="1"/>
    <x v="0"/>
    <x v="38"/>
    <x v="0"/>
    <x v="1"/>
  </r>
  <r>
    <d v="2023-01-09T07:23:41"/>
    <x v="0"/>
    <x v="243"/>
    <x v="0"/>
    <x v="3"/>
    <x v="2"/>
    <x v="0"/>
    <x v="0"/>
    <x v="0"/>
    <n v="5"/>
    <x v="4"/>
    <x v="1"/>
    <x v="3"/>
    <x v="30"/>
    <x v="1"/>
    <x v="1"/>
  </r>
  <r>
    <d v="2023-01-09T11:33:46"/>
    <x v="0"/>
    <x v="244"/>
    <x v="0"/>
    <x v="0"/>
    <x v="0"/>
    <x v="1"/>
    <x v="0"/>
    <x v="1"/>
    <n v="8"/>
    <x v="2"/>
    <x v="1"/>
    <x v="1"/>
    <x v="18"/>
    <x v="0"/>
    <x v="13"/>
  </r>
  <r>
    <d v="2023-01-09T12:43:08"/>
    <x v="0"/>
    <x v="245"/>
    <x v="0"/>
    <x v="3"/>
    <x v="0"/>
    <x v="0"/>
    <x v="0"/>
    <x v="0"/>
    <n v="10"/>
    <x v="4"/>
    <x v="2"/>
    <x v="0"/>
    <x v="41"/>
    <x v="1"/>
    <x v="4"/>
  </r>
  <r>
    <d v="2023-01-09T13:32:01"/>
    <x v="0"/>
    <x v="246"/>
    <x v="0"/>
    <x v="1"/>
    <x v="2"/>
    <x v="0"/>
    <x v="0"/>
    <x v="0"/>
    <n v="5"/>
    <x v="1"/>
    <x v="1"/>
    <x v="1"/>
    <x v="42"/>
    <x v="0"/>
    <x v="2"/>
  </r>
  <r>
    <d v="2023-01-09T16:55:27"/>
    <x v="0"/>
    <x v="247"/>
    <x v="1"/>
    <x v="4"/>
    <x v="2"/>
    <x v="0"/>
    <x v="0"/>
    <x v="0"/>
    <n v="5"/>
    <x v="3"/>
    <x v="1"/>
    <x v="1"/>
    <x v="63"/>
    <x v="0"/>
    <x v="3"/>
  </r>
  <r>
    <d v="2023-01-09T18:20:12"/>
    <x v="0"/>
    <x v="248"/>
    <x v="1"/>
    <x v="3"/>
    <x v="2"/>
    <x v="0"/>
    <x v="1"/>
    <x v="0"/>
    <n v="5"/>
    <x v="0"/>
    <x v="1"/>
    <x v="0"/>
    <x v="30"/>
    <x v="0"/>
    <x v="1"/>
  </r>
  <r>
    <d v="2023-01-09T20:06:46"/>
    <x v="0"/>
    <x v="29"/>
    <x v="1"/>
    <x v="4"/>
    <x v="0"/>
    <x v="1"/>
    <x v="0"/>
    <x v="0"/>
    <n v="1"/>
    <x v="2"/>
    <x v="2"/>
    <x v="1"/>
    <x v="25"/>
    <x v="0"/>
    <x v="4"/>
  </r>
  <r>
    <d v="2023-01-10T00:44:37"/>
    <x v="0"/>
    <x v="249"/>
    <x v="0"/>
    <x v="2"/>
    <x v="2"/>
    <x v="1"/>
    <x v="0"/>
    <x v="0"/>
    <n v="6"/>
    <x v="2"/>
    <x v="1"/>
    <x v="0"/>
    <x v="30"/>
    <x v="0"/>
    <x v="5"/>
  </r>
  <r>
    <d v="2023-01-10T12:16:20"/>
    <x v="0"/>
    <x v="250"/>
    <x v="0"/>
    <x v="3"/>
    <x v="1"/>
    <x v="0"/>
    <x v="0"/>
    <x v="0"/>
    <n v="1"/>
    <x v="1"/>
    <x v="1"/>
    <x v="4"/>
    <x v="38"/>
    <x v="0"/>
    <x v="3"/>
  </r>
  <r>
    <d v="2023-01-10T16:19:14"/>
    <x v="0"/>
    <x v="163"/>
    <x v="0"/>
    <x v="3"/>
    <x v="0"/>
    <x v="0"/>
    <x v="0"/>
    <x v="0"/>
    <n v="5"/>
    <x v="2"/>
    <x v="1"/>
    <x v="2"/>
    <x v="3"/>
    <x v="0"/>
    <x v="4"/>
  </r>
  <r>
    <d v="2023-01-10T16:54:41"/>
    <x v="0"/>
    <x v="61"/>
    <x v="1"/>
    <x v="3"/>
    <x v="2"/>
    <x v="0"/>
    <x v="0"/>
    <x v="0"/>
    <n v="5"/>
    <x v="5"/>
    <x v="0"/>
    <x v="1"/>
    <x v="64"/>
    <x v="2"/>
    <x v="5"/>
  </r>
  <r>
    <d v="2023-01-11T09:22:48"/>
    <x v="0"/>
    <x v="251"/>
    <x v="1"/>
    <x v="2"/>
    <x v="1"/>
    <x v="2"/>
    <x v="0"/>
    <x v="0"/>
    <n v="5"/>
    <x v="5"/>
    <x v="1"/>
    <x v="0"/>
    <x v="51"/>
    <x v="0"/>
    <x v="7"/>
  </r>
  <r>
    <d v="2023-01-11T12:01:32"/>
    <x v="4"/>
    <x v="252"/>
    <x v="0"/>
    <x v="3"/>
    <x v="0"/>
    <x v="0"/>
    <x v="0"/>
    <x v="0"/>
    <n v="1"/>
    <x v="1"/>
    <x v="1"/>
    <x v="4"/>
    <x v="24"/>
    <x v="0"/>
    <x v="7"/>
  </r>
  <r>
    <d v="2023-01-11T15:55:00"/>
    <x v="0"/>
    <x v="253"/>
    <x v="1"/>
    <x v="3"/>
    <x v="2"/>
    <x v="0"/>
    <x v="0"/>
    <x v="0"/>
    <n v="2"/>
    <x v="2"/>
    <x v="1"/>
    <x v="0"/>
    <x v="11"/>
    <x v="2"/>
    <x v="1"/>
  </r>
  <r>
    <d v="2023-01-11T17:13:47"/>
    <x v="0"/>
    <x v="254"/>
    <x v="0"/>
    <x v="2"/>
    <x v="1"/>
    <x v="0"/>
    <x v="0"/>
    <x v="0"/>
    <n v="8"/>
    <x v="4"/>
    <x v="1"/>
    <x v="5"/>
    <x v="5"/>
    <x v="1"/>
    <x v="3"/>
  </r>
  <r>
    <d v="2023-01-11T18:05:24"/>
    <x v="0"/>
    <x v="255"/>
    <x v="0"/>
    <x v="3"/>
    <x v="0"/>
    <x v="0"/>
    <x v="0"/>
    <x v="0"/>
    <n v="5"/>
    <x v="2"/>
    <x v="1"/>
    <x v="1"/>
    <x v="3"/>
    <x v="0"/>
    <x v="1"/>
  </r>
  <r>
    <d v="2023-01-11T18:11:36"/>
    <x v="0"/>
    <x v="61"/>
    <x v="0"/>
    <x v="0"/>
    <x v="0"/>
    <x v="1"/>
    <x v="1"/>
    <x v="1"/>
    <n v="5"/>
    <x v="1"/>
    <x v="2"/>
    <x v="3"/>
    <x v="72"/>
    <x v="1"/>
    <x v="7"/>
  </r>
  <r>
    <d v="2023-01-11T21:23:22"/>
    <x v="0"/>
    <x v="256"/>
    <x v="1"/>
    <x v="4"/>
    <x v="2"/>
    <x v="0"/>
    <x v="0"/>
    <x v="0"/>
    <n v="8"/>
    <x v="3"/>
    <x v="2"/>
    <x v="4"/>
    <x v="3"/>
    <x v="1"/>
    <x v="1"/>
  </r>
  <r>
    <d v="2023-01-11T21:24:28"/>
    <x v="0"/>
    <x v="257"/>
    <x v="0"/>
    <x v="1"/>
    <x v="1"/>
    <x v="0"/>
    <x v="0"/>
    <x v="0"/>
    <n v="7"/>
    <x v="5"/>
    <x v="1"/>
    <x v="4"/>
    <x v="24"/>
    <x v="0"/>
    <x v="7"/>
  </r>
  <r>
    <d v="2023-01-12T01:17:31"/>
    <x v="0"/>
    <x v="258"/>
    <x v="1"/>
    <x v="4"/>
    <x v="0"/>
    <x v="0"/>
    <x v="1"/>
    <x v="0"/>
    <n v="8"/>
    <x v="4"/>
    <x v="1"/>
    <x v="0"/>
    <x v="24"/>
    <x v="0"/>
    <x v="1"/>
  </r>
  <r>
    <d v="2023-01-12T09:43:23"/>
    <x v="0"/>
    <x v="259"/>
    <x v="0"/>
    <x v="3"/>
    <x v="0"/>
    <x v="0"/>
    <x v="0"/>
    <x v="0"/>
    <n v="6"/>
    <x v="1"/>
    <x v="1"/>
    <x v="0"/>
    <x v="5"/>
    <x v="0"/>
    <x v="1"/>
  </r>
  <r>
    <d v="2023-01-12T19:44:39"/>
    <x v="0"/>
    <x v="156"/>
    <x v="0"/>
    <x v="3"/>
    <x v="0"/>
    <x v="1"/>
    <x v="0"/>
    <x v="0"/>
    <n v="10"/>
    <x v="4"/>
    <x v="1"/>
    <x v="1"/>
    <x v="20"/>
    <x v="0"/>
    <x v="1"/>
  </r>
  <r>
    <d v="2023-01-12T20:00:55"/>
    <x v="0"/>
    <x v="61"/>
    <x v="1"/>
    <x v="3"/>
    <x v="2"/>
    <x v="0"/>
    <x v="0"/>
    <x v="0"/>
    <n v="4"/>
    <x v="4"/>
    <x v="1"/>
    <x v="3"/>
    <x v="16"/>
    <x v="0"/>
    <x v="3"/>
  </r>
  <r>
    <d v="2023-01-12T20:28:40"/>
    <x v="0"/>
    <x v="260"/>
    <x v="0"/>
    <x v="2"/>
    <x v="2"/>
    <x v="1"/>
    <x v="0"/>
    <x v="0"/>
    <n v="5"/>
    <x v="1"/>
    <x v="1"/>
    <x v="1"/>
    <x v="30"/>
    <x v="0"/>
    <x v="12"/>
  </r>
  <r>
    <d v="2023-01-12T21:39:58"/>
    <x v="0"/>
    <x v="256"/>
    <x v="0"/>
    <x v="4"/>
    <x v="1"/>
    <x v="1"/>
    <x v="0"/>
    <x v="1"/>
    <n v="6"/>
    <x v="5"/>
    <x v="2"/>
    <x v="1"/>
    <x v="15"/>
    <x v="1"/>
    <x v="1"/>
  </r>
  <r>
    <d v="2023-01-13T09:15:33"/>
    <x v="0"/>
    <x v="261"/>
    <x v="0"/>
    <x v="0"/>
    <x v="2"/>
    <x v="0"/>
    <x v="0"/>
    <x v="0"/>
    <n v="8"/>
    <x v="2"/>
    <x v="0"/>
    <x v="3"/>
    <x v="10"/>
    <x v="1"/>
    <x v="15"/>
  </r>
  <r>
    <d v="2023-01-13T09:57:45"/>
    <x v="0"/>
    <x v="61"/>
    <x v="0"/>
    <x v="1"/>
    <x v="0"/>
    <x v="0"/>
    <x v="0"/>
    <x v="0"/>
    <n v="4"/>
    <x v="2"/>
    <x v="1"/>
    <x v="0"/>
    <x v="18"/>
    <x v="0"/>
    <x v="2"/>
  </r>
  <r>
    <d v="2023-01-13T10:50:10"/>
    <x v="0"/>
    <x v="262"/>
    <x v="0"/>
    <x v="1"/>
    <x v="0"/>
    <x v="0"/>
    <x v="0"/>
    <x v="0"/>
    <n v="1"/>
    <x v="1"/>
    <x v="2"/>
    <x v="1"/>
    <x v="0"/>
    <x v="2"/>
    <x v="7"/>
  </r>
  <r>
    <d v="2023-01-13T10:56:12"/>
    <x v="0"/>
    <x v="256"/>
    <x v="0"/>
    <x v="0"/>
    <x v="2"/>
    <x v="0"/>
    <x v="0"/>
    <x v="0"/>
    <n v="7"/>
    <x v="2"/>
    <x v="1"/>
    <x v="4"/>
    <x v="56"/>
    <x v="0"/>
    <x v="15"/>
  </r>
  <r>
    <d v="2023-01-13T12:32:46"/>
    <x v="0"/>
    <x v="263"/>
    <x v="0"/>
    <x v="2"/>
    <x v="2"/>
    <x v="0"/>
    <x v="0"/>
    <x v="0"/>
    <n v="1"/>
    <x v="4"/>
    <x v="0"/>
    <x v="3"/>
    <x v="81"/>
    <x v="0"/>
    <x v="3"/>
  </r>
  <r>
    <d v="2023-01-13T13:44:01"/>
    <x v="0"/>
    <x v="106"/>
    <x v="0"/>
    <x v="4"/>
    <x v="1"/>
    <x v="1"/>
    <x v="1"/>
    <x v="1"/>
    <n v="4"/>
    <x v="2"/>
    <x v="0"/>
    <x v="5"/>
    <x v="7"/>
    <x v="0"/>
    <x v="15"/>
  </r>
  <r>
    <d v="2023-01-13T19:27:50"/>
    <x v="0"/>
    <x v="264"/>
    <x v="0"/>
    <x v="0"/>
    <x v="1"/>
    <x v="0"/>
    <x v="0"/>
    <x v="0"/>
    <n v="5"/>
    <x v="4"/>
    <x v="1"/>
    <x v="5"/>
    <x v="33"/>
    <x v="0"/>
    <x v="1"/>
  </r>
  <r>
    <d v="2023-01-13T22:57:06"/>
    <x v="0"/>
    <x v="265"/>
    <x v="0"/>
    <x v="1"/>
    <x v="2"/>
    <x v="0"/>
    <x v="1"/>
    <x v="1"/>
    <n v="6"/>
    <x v="3"/>
    <x v="1"/>
    <x v="0"/>
    <x v="38"/>
    <x v="0"/>
    <x v="2"/>
  </r>
  <r>
    <d v="2023-01-14T12:07:12"/>
    <x v="0"/>
    <x v="266"/>
    <x v="1"/>
    <x v="3"/>
    <x v="2"/>
    <x v="0"/>
    <x v="0"/>
    <x v="0"/>
    <n v="5"/>
    <x v="0"/>
    <x v="1"/>
    <x v="0"/>
    <x v="9"/>
    <x v="1"/>
    <x v="1"/>
  </r>
  <r>
    <d v="2023-01-14T12:09:07"/>
    <x v="0"/>
    <x v="267"/>
    <x v="0"/>
    <x v="3"/>
    <x v="2"/>
    <x v="0"/>
    <x v="0"/>
    <x v="0"/>
    <n v="6"/>
    <x v="0"/>
    <x v="2"/>
    <x v="3"/>
    <x v="18"/>
    <x v="0"/>
    <x v="2"/>
  </r>
  <r>
    <d v="2023-01-14T12:19:13"/>
    <x v="0"/>
    <x v="268"/>
    <x v="1"/>
    <x v="4"/>
    <x v="0"/>
    <x v="0"/>
    <x v="0"/>
    <x v="1"/>
    <n v="8"/>
    <x v="5"/>
    <x v="0"/>
    <x v="3"/>
    <x v="70"/>
    <x v="2"/>
    <x v="3"/>
  </r>
  <r>
    <d v="2023-01-14T12:21:51"/>
    <x v="0"/>
    <x v="269"/>
    <x v="1"/>
    <x v="0"/>
    <x v="0"/>
    <x v="0"/>
    <x v="0"/>
    <x v="0"/>
    <n v="4"/>
    <x v="3"/>
    <x v="1"/>
    <x v="1"/>
    <x v="10"/>
    <x v="0"/>
    <x v="7"/>
  </r>
  <r>
    <d v="2023-01-14T12:32:53"/>
    <x v="0"/>
    <x v="267"/>
    <x v="0"/>
    <x v="0"/>
    <x v="2"/>
    <x v="0"/>
    <x v="0"/>
    <x v="0"/>
    <n v="8"/>
    <x v="2"/>
    <x v="1"/>
    <x v="4"/>
    <x v="71"/>
    <x v="1"/>
    <x v="2"/>
  </r>
  <r>
    <d v="2023-01-14T12:35:43"/>
    <x v="0"/>
    <x v="270"/>
    <x v="0"/>
    <x v="3"/>
    <x v="0"/>
    <x v="1"/>
    <x v="0"/>
    <x v="0"/>
    <n v="10"/>
    <x v="3"/>
    <x v="1"/>
    <x v="4"/>
    <x v="17"/>
    <x v="0"/>
    <x v="1"/>
  </r>
  <r>
    <d v="2023-01-14T12:44:51"/>
    <x v="0"/>
    <x v="271"/>
    <x v="0"/>
    <x v="4"/>
    <x v="2"/>
    <x v="0"/>
    <x v="1"/>
    <x v="0"/>
    <n v="5"/>
    <x v="1"/>
    <x v="2"/>
    <x v="0"/>
    <x v="5"/>
    <x v="0"/>
    <x v="18"/>
  </r>
  <r>
    <d v="2023-01-14T14:54:35"/>
    <x v="0"/>
    <x v="272"/>
    <x v="1"/>
    <x v="2"/>
    <x v="0"/>
    <x v="0"/>
    <x v="1"/>
    <x v="1"/>
    <n v="2"/>
    <x v="5"/>
    <x v="2"/>
    <x v="2"/>
    <x v="21"/>
    <x v="2"/>
    <x v="2"/>
  </r>
  <r>
    <d v="2023-01-14T14:57:29"/>
    <x v="0"/>
    <x v="273"/>
    <x v="1"/>
    <x v="2"/>
    <x v="0"/>
    <x v="0"/>
    <x v="0"/>
    <x v="1"/>
    <n v="9"/>
    <x v="5"/>
    <x v="0"/>
    <x v="3"/>
    <x v="1"/>
    <x v="0"/>
    <x v="2"/>
  </r>
  <r>
    <d v="2023-01-14T16:55:53"/>
    <x v="0"/>
    <x v="274"/>
    <x v="1"/>
    <x v="3"/>
    <x v="2"/>
    <x v="0"/>
    <x v="0"/>
    <x v="0"/>
    <n v="6"/>
    <x v="1"/>
    <x v="1"/>
    <x v="0"/>
    <x v="7"/>
    <x v="0"/>
    <x v="3"/>
  </r>
  <r>
    <d v="2023-01-14T23:19:00"/>
    <x v="0"/>
    <x v="275"/>
    <x v="0"/>
    <x v="1"/>
    <x v="0"/>
    <x v="1"/>
    <x v="0"/>
    <x v="0"/>
    <n v="5"/>
    <x v="5"/>
    <x v="0"/>
    <x v="3"/>
    <x v="5"/>
    <x v="3"/>
    <x v="15"/>
  </r>
  <r>
    <d v="2023-01-18T09:23:16"/>
    <x v="0"/>
    <x v="276"/>
    <x v="0"/>
    <x v="0"/>
    <x v="2"/>
    <x v="0"/>
    <x v="0"/>
    <x v="1"/>
    <n v="5"/>
    <x v="2"/>
    <x v="2"/>
    <x v="0"/>
    <x v="5"/>
    <x v="0"/>
    <x v="7"/>
  </r>
  <r>
    <d v="2023-01-18T10:18:58"/>
    <x v="0"/>
    <x v="277"/>
    <x v="1"/>
    <x v="4"/>
    <x v="0"/>
    <x v="1"/>
    <x v="0"/>
    <x v="0"/>
    <n v="5"/>
    <x v="3"/>
    <x v="2"/>
    <x v="1"/>
    <x v="35"/>
    <x v="1"/>
    <x v="1"/>
  </r>
  <r>
    <d v="2023-01-18T21:38:53"/>
    <x v="0"/>
    <x v="278"/>
    <x v="1"/>
    <x v="0"/>
    <x v="0"/>
    <x v="0"/>
    <x v="1"/>
    <x v="0"/>
    <n v="6"/>
    <x v="4"/>
    <x v="1"/>
    <x v="0"/>
    <x v="23"/>
    <x v="0"/>
    <x v="1"/>
  </r>
  <r>
    <d v="2023-01-19T16:57:49"/>
    <x v="0"/>
    <x v="279"/>
    <x v="1"/>
    <x v="4"/>
    <x v="2"/>
    <x v="0"/>
    <x v="0"/>
    <x v="0"/>
    <n v="7"/>
    <x v="2"/>
    <x v="1"/>
    <x v="0"/>
    <x v="5"/>
    <x v="2"/>
    <x v="1"/>
  </r>
  <r>
    <d v="2023-01-20T20:43:49"/>
    <x v="0"/>
    <x v="280"/>
    <x v="0"/>
    <x v="3"/>
    <x v="1"/>
    <x v="0"/>
    <x v="1"/>
    <x v="0"/>
    <n v="7"/>
    <x v="2"/>
    <x v="1"/>
    <x v="0"/>
    <x v="7"/>
    <x v="0"/>
    <x v="1"/>
  </r>
  <r>
    <d v="2023-01-25T15:02:52"/>
    <x v="0"/>
    <x v="281"/>
    <x v="1"/>
    <x v="3"/>
    <x v="0"/>
    <x v="0"/>
    <x v="0"/>
    <x v="0"/>
    <n v="1"/>
    <x v="3"/>
    <x v="1"/>
    <x v="0"/>
    <x v="3"/>
    <x v="0"/>
    <x v="7"/>
  </r>
  <r>
    <d v="2023-01-26T17:15:36"/>
    <x v="0"/>
    <x v="282"/>
    <x v="1"/>
    <x v="4"/>
    <x v="0"/>
    <x v="0"/>
    <x v="0"/>
    <x v="0"/>
    <n v="2"/>
    <x v="2"/>
    <x v="2"/>
    <x v="1"/>
    <x v="9"/>
    <x v="0"/>
    <x v="4"/>
  </r>
  <r>
    <d v="2023-01-26T22:41:51"/>
    <x v="0"/>
    <x v="283"/>
    <x v="1"/>
    <x v="4"/>
    <x v="2"/>
    <x v="1"/>
    <x v="1"/>
    <x v="1"/>
    <n v="2"/>
    <x v="1"/>
    <x v="1"/>
    <x v="5"/>
    <x v="1"/>
    <x v="0"/>
    <x v="1"/>
  </r>
  <r>
    <d v="2023-01-28T11:37:20"/>
    <x v="0"/>
    <x v="278"/>
    <x v="0"/>
    <x v="3"/>
    <x v="2"/>
    <x v="1"/>
    <x v="0"/>
    <x v="0"/>
    <n v="10"/>
    <x v="3"/>
    <x v="2"/>
    <x v="4"/>
    <x v="28"/>
    <x v="1"/>
    <x v="7"/>
  </r>
  <r>
    <d v="2023-01-28T11:37:23"/>
    <x v="0"/>
    <x v="284"/>
    <x v="1"/>
    <x v="3"/>
    <x v="2"/>
    <x v="0"/>
    <x v="1"/>
    <x v="1"/>
    <n v="5"/>
    <x v="3"/>
    <x v="2"/>
    <x v="3"/>
    <x v="13"/>
    <x v="0"/>
    <x v="1"/>
  </r>
  <r>
    <d v="2023-02-20T21:04:17"/>
    <x v="0"/>
    <x v="285"/>
    <x v="0"/>
    <x v="0"/>
    <x v="0"/>
    <x v="0"/>
    <x v="1"/>
    <x v="0"/>
    <n v="6"/>
    <x v="3"/>
    <x v="2"/>
    <x v="4"/>
    <x v="72"/>
    <x v="0"/>
    <x v="16"/>
  </r>
  <r>
    <d v="2023-02-22T12:15:03"/>
    <x v="0"/>
    <x v="286"/>
    <x v="0"/>
    <x v="4"/>
    <x v="1"/>
    <x v="0"/>
    <x v="1"/>
    <x v="1"/>
    <n v="10"/>
    <x v="3"/>
    <x v="1"/>
    <x v="0"/>
    <x v="83"/>
    <x v="0"/>
    <x v="1"/>
  </r>
  <r>
    <d v="2023-02-28T19:40:43"/>
    <x v="0"/>
    <x v="287"/>
    <x v="0"/>
    <x v="4"/>
    <x v="2"/>
    <x v="0"/>
    <x v="1"/>
    <x v="1"/>
    <n v="5"/>
    <x v="4"/>
    <x v="0"/>
    <x v="4"/>
    <x v="42"/>
    <x v="1"/>
    <x v="7"/>
  </r>
  <r>
    <d v="2023-03-27T15:56:38"/>
    <x v="0"/>
    <x v="288"/>
    <x v="1"/>
    <x v="0"/>
    <x v="1"/>
    <x v="1"/>
    <x v="0"/>
    <x v="0"/>
    <n v="5"/>
    <x v="2"/>
    <x v="2"/>
    <x v="1"/>
    <x v="24"/>
    <x v="0"/>
    <x v="12"/>
  </r>
  <r>
    <d v="2023-04-04T21:03:24"/>
    <x v="0"/>
    <x v="289"/>
    <x v="0"/>
    <x v="0"/>
    <x v="2"/>
    <x v="1"/>
    <x v="0"/>
    <x v="0"/>
    <n v="5"/>
    <x v="1"/>
    <x v="1"/>
    <x v="0"/>
    <x v="58"/>
    <x v="0"/>
    <x v="19"/>
  </r>
  <r>
    <d v="2023-04-04T21:04:46"/>
    <x v="0"/>
    <x v="290"/>
    <x v="1"/>
    <x v="2"/>
    <x v="0"/>
    <x v="2"/>
    <x v="0"/>
    <x v="0"/>
    <n v="3"/>
    <x v="1"/>
    <x v="1"/>
    <x v="3"/>
    <x v="5"/>
    <x v="0"/>
    <x v="11"/>
  </r>
  <r>
    <d v="2023-04-04T21:13:36"/>
    <x v="0"/>
    <x v="291"/>
    <x v="0"/>
    <x v="3"/>
    <x v="1"/>
    <x v="0"/>
    <x v="0"/>
    <x v="1"/>
    <n v="5"/>
    <x v="1"/>
    <x v="2"/>
    <x v="0"/>
    <x v="94"/>
    <x v="0"/>
    <x v="7"/>
  </r>
  <r>
    <d v="2023-04-04T21:14:17"/>
    <x v="0"/>
    <x v="292"/>
    <x v="0"/>
    <x v="2"/>
    <x v="2"/>
    <x v="1"/>
    <x v="0"/>
    <x v="0"/>
    <n v="1"/>
    <x v="5"/>
    <x v="1"/>
    <x v="1"/>
    <x v="95"/>
    <x v="0"/>
    <x v="1"/>
  </r>
  <r>
    <d v="2023-04-04T21:15:02"/>
    <x v="0"/>
    <x v="293"/>
    <x v="0"/>
    <x v="0"/>
    <x v="0"/>
    <x v="0"/>
    <x v="0"/>
    <x v="0"/>
    <n v="6"/>
    <x v="5"/>
    <x v="0"/>
    <x v="2"/>
    <x v="96"/>
    <x v="1"/>
    <x v="3"/>
  </r>
  <r>
    <d v="2023-04-04T21:20:22"/>
    <x v="0"/>
    <x v="294"/>
    <x v="0"/>
    <x v="0"/>
    <x v="0"/>
    <x v="0"/>
    <x v="0"/>
    <x v="0"/>
    <n v="1"/>
    <x v="1"/>
    <x v="1"/>
    <x v="6"/>
    <x v="97"/>
    <x v="0"/>
    <x v="5"/>
  </r>
  <r>
    <d v="2023-04-04T21:30:33"/>
    <x v="0"/>
    <x v="295"/>
    <x v="0"/>
    <x v="1"/>
    <x v="0"/>
    <x v="1"/>
    <x v="1"/>
    <x v="0"/>
    <n v="8"/>
    <x v="0"/>
    <x v="2"/>
    <x v="7"/>
    <x v="98"/>
    <x v="1"/>
    <x v="2"/>
  </r>
  <r>
    <d v="2023-04-04T21:41:58"/>
    <x v="0"/>
    <x v="296"/>
    <x v="0"/>
    <x v="0"/>
    <x v="0"/>
    <x v="0"/>
    <x v="0"/>
    <x v="0"/>
    <n v="4"/>
    <x v="1"/>
    <x v="1"/>
    <x v="6"/>
    <x v="99"/>
    <x v="3"/>
    <x v="3"/>
  </r>
  <r>
    <d v="2023-04-04T21:45:32"/>
    <x v="0"/>
    <x v="297"/>
    <x v="0"/>
    <x v="4"/>
    <x v="0"/>
    <x v="0"/>
    <x v="0"/>
    <x v="0"/>
    <n v="6"/>
    <x v="6"/>
    <x v="1"/>
    <x v="8"/>
    <x v="100"/>
    <x v="0"/>
    <x v="2"/>
  </r>
  <r>
    <d v="2023-04-04T22:44:43"/>
    <x v="0"/>
    <x v="298"/>
    <x v="1"/>
    <x v="0"/>
    <x v="0"/>
    <x v="0"/>
    <x v="0"/>
    <x v="0"/>
    <n v="5"/>
    <x v="1"/>
    <x v="2"/>
    <x v="6"/>
    <x v="101"/>
    <x v="1"/>
    <x v="4"/>
  </r>
  <r>
    <d v="2023-04-04T22:49:42"/>
    <x v="0"/>
    <x v="299"/>
    <x v="1"/>
    <x v="3"/>
    <x v="0"/>
    <x v="1"/>
    <x v="1"/>
    <x v="0"/>
    <n v="5"/>
    <x v="1"/>
    <x v="0"/>
    <x v="9"/>
    <x v="102"/>
    <x v="0"/>
    <x v="4"/>
  </r>
  <r>
    <d v="2023-04-05T00:08:44"/>
    <x v="0"/>
    <x v="300"/>
    <x v="0"/>
    <x v="0"/>
    <x v="0"/>
    <x v="3"/>
    <x v="1"/>
    <x v="0"/>
    <n v="7"/>
    <x v="5"/>
    <x v="1"/>
    <x v="9"/>
    <x v="103"/>
    <x v="0"/>
    <x v="7"/>
  </r>
  <r>
    <d v="2023-04-05T00:12:34"/>
    <x v="0"/>
    <x v="301"/>
    <x v="0"/>
    <x v="0"/>
    <x v="0"/>
    <x v="0"/>
    <x v="1"/>
    <x v="0"/>
    <n v="7"/>
    <x v="1"/>
    <x v="1"/>
    <x v="10"/>
    <x v="104"/>
    <x v="0"/>
    <x v="7"/>
  </r>
  <r>
    <d v="2023-04-05T00:19:17"/>
    <x v="3"/>
    <x v="302"/>
    <x v="1"/>
    <x v="0"/>
    <x v="0"/>
    <x v="0"/>
    <x v="0"/>
    <x v="0"/>
    <n v="5"/>
    <x v="1"/>
    <x v="1"/>
    <x v="11"/>
    <x v="105"/>
    <x v="0"/>
    <x v="1"/>
  </r>
  <r>
    <d v="2023-04-05T00:30:25"/>
    <x v="0"/>
    <x v="28"/>
    <x v="0"/>
    <x v="4"/>
    <x v="1"/>
    <x v="0"/>
    <x v="0"/>
    <x v="0"/>
    <n v="4"/>
    <x v="6"/>
    <x v="0"/>
    <x v="7"/>
    <x v="106"/>
    <x v="1"/>
    <x v="7"/>
  </r>
  <r>
    <d v="2023-04-05T00:36:02"/>
    <x v="0"/>
    <x v="303"/>
    <x v="1"/>
    <x v="0"/>
    <x v="2"/>
    <x v="1"/>
    <x v="0"/>
    <x v="0"/>
    <n v="1"/>
    <x v="6"/>
    <x v="2"/>
    <x v="12"/>
    <x v="107"/>
    <x v="0"/>
    <x v="1"/>
  </r>
  <r>
    <d v="2023-04-05T00:47:54"/>
    <x v="0"/>
    <x v="304"/>
    <x v="0"/>
    <x v="2"/>
    <x v="2"/>
    <x v="1"/>
    <x v="0"/>
    <x v="0"/>
    <n v="6"/>
    <x v="1"/>
    <x v="1"/>
    <x v="6"/>
    <x v="108"/>
    <x v="4"/>
    <x v="1"/>
  </r>
  <r>
    <d v="2023-04-05T00:48:27"/>
    <x v="3"/>
    <x v="305"/>
    <x v="1"/>
    <x v="2"/>
    <x v="1"/>
    <x v="1"/>
    <x v="0"/>
    <x v="0"/>
    <n v="8"/>
    <x v="5"/>
    <x v="2"/>
    <x v="9"/>
    <x v="109"/>
    <x v="1"/>
    <x v="3"/>
  </r>
  <r>
    <d v="2023-04-05T00:50:50"/>
    <x v="0"/>
    <x v="306"/>
    <x v="0"/>
    <x v="0"/>
    <x v="2"/>
    <x v="0"/>
    <x v="0"/>
    <x v="0"/>
    <n v="5"/>
    <x v="6"/>
    <x v="1"/>
    <x v="6"/>
    <x v="110"/>
    <x v="0"/>
    <x v="9"/>
  </r>
  <r>
    <d v="2023-04-05T01:00:42"/>
    <x v="0"/>
    <x v="307"/>
    <x v="0"/>
    <x v="3"/>
    <x v="0"/>
    <x v="0"/>
    <x v="0"/>
    <x v="0"/>
    <n v="5"/>
    <x v="6"/>
    <x v="1"/>
    <x v="7"/>
    <x v="105"/>
    <x v="0"/>
    <x v="19"/>
  </r>
  <r>
    <d v="2023-04-05T01:08:58"/>
    <x v="0"/>
    <x v="308"/>
    <x v="0"/>
    <x v="2"/>
    <x v="2"/>
    <x v="0"/>
    <x v="0"/>
    <x v="1"/>
    <n v="8"/>
    <x v="1"/>
    <x v="0"/>
    <x v="13"/>
    <x v="111"/>
    <x v="2"/>
    <x v="11"/>
  </r>
  <r>
    <d v="2023-04-05T01:46:02"/>
    <x v="0"/>
    <x v="309"/>
    <x v="0"/>
    <x v="0"/>
    <x v="2"/>
    <x v="0"/>
    <x v="1"/>
    <x v="0"/>
    <n v="4"/>
    <x v="3"/>
    <x v="2"/>
    <x v="14"/>
    <x v="112"/>
    <x v="0"/>
    <x v="1"/>
  </r>
  <r>
    <d v="2023-04-05T07:18:30"/>
    <x v="0"/>
    <x v="63"/>
    <x v="0"/>
    <x v="4"/>
    <x v="0"/>
    <x v="0"/>
    <x v="0"/>
    <x v="0"/>
    <n v="8"/>
    <x v="6"/>
    <x v="2"/>
    <x v="6"/>
    <x v="113"/>
    <x v="1"/>
    <x v="4"/>
  </r>
  <r>
    <d v="2023-04-05T07:27:27"/>
    <x v="0"/>
    <x v="310"/>
    <x v="0"/>
    <x v="4"/>
    <x v="1"/>
    <x v="1"/>
    <x v="0"/>
    <x v="0"/>
    <n v="6"/>
    <x v="6"/>
    <x v="1"/>
    <x v="9"/>
    <x v="111"/>
    <x v="0"/>
    <x v="1"/>
  </r>
  <r>
    <d v="2023-04-05T07:37:24"/>
    <x v="0"/>
    <x v="293"/>
    <x v="0"/>
    <x v="2"/>
    <x v="0"/>
    <x v="0"/>
    <x v="0"/>
    <x v="0"/>
    <n v="6"/>
    <x v="1"/>
    <x v="1"/>
    <x v="9"/>
    <x v="114"/>
    <x v="2"/>
    <x v="11"/>
  </r>
  <r>
    <d v="2023-04-05T09:06:13"/>
    <x v="0"/>
    <x v="311"/>
    <x v="1"/>
    <x v="3"/>
    <x v="0"/>
    <x v="1"/>
    <x v="1"/>
    <x v="0"/>
    <n v="9"/>
    <x v="3"/>
    <x v="1"/>
    <x v="9"/>
    <x v="111"/>
    <x v="0"/>
    <x v="15"/>
  </r>
  <r>
    <d v="2023-04-05T09:17:37"/>
    <x v="0"/>
    <x v="312"/>
    <x v="0"/>
    <x v="3"/>
    <x v="0"/>
    <x v="0"/>
    <x v="0"/>
    <x v="0"/>
    <n v="3"/>
    <x v="1"/>
    <x v="2"/>
    <x v="14"/>
    <x v="115"/>
    <x v="0"/>
    <x v="4"/>
  </r>
  <r>
    <d v="2023-04-05T09:31:12"/>
    <x v="0"/>
    <x v="41"/>
    <x v="0"/>
    <x v="4"/>
    <x v="2"/>
    <x v="1"/>
    <x v="0"/>
    <x v="1"/>
    <n v="7"/>
    <x v="3"/>
    <x v="2"/>
    <x v="15"/>
    <x v="116"/>
    <x v="0"/>
    <x v="1"/>
  </r>
  <r>
    <d v="2023-04-05T09:33:56"/>
    <x v="0"/>
    <x v="280"/>
    <x v="1"/>
    <x v="1"/>
    <x v="0"/>
    <x v="0"/>
    <x v="0"/>
    <x v="0"/>
    <n v="2"/>
    <x v="6"/>
    <x v="1"/>
    <x v="10"/>
    <x v="117"/>
    <x v="0"/>
    <x v="16"/>
  </r>
  <r>
    <d v="2023-04-05T09:36:45"/>
    <x v="0"/>
    <x v="313"/>
    <x v="0"/>
    <x v="0"/>
    <x v="0"/>
    <x v="0"/>
    <x v="1"/>
    <x v="1"/>
    <n v="6"/>
    <x v="6"/>
    <x v="1"/>
    <x v="11"/>
    <x v="118"/>
    <x v="0"/>
    <x v="5"/>
  </r>
  <r>
    <d v="2023-04-05T09:45:29"/>
    <x v="0"/>
    <x v="314"/>
    <x v="0"/>
    <x v="1"/>
    <x v="0"/>
    <x v="1"/>
    <x v="1"/>
    <x v="0"/>
    <n v="8"/>
    <x v="6"/>
    <x v="1"/>
    <x v="16"/>
    <x v="119"/>
    <x v="2"/>
    <x v="7"/>
  </r>
  <r>
    <d v="2023-04-05T10:00:10"/>
    <x v="0"/>
    <x v="315"/>
    <x v="0"/>
    <x v="1"/>
    <x v="2"/>
    <x v="0"/>
    <x v="0"/>
    <x v="0"/>
    <n v="5"/>
    <x v="5"/>
    <x v="2"/>
    <x v="11"/>
    <x v="109"/>
    <x v="0"/>
    <x v="3"/>
  </r>
  <r>
    <d v="2023-04-05T10:12:37"/>
    <x v="0"/>
    <x v="316"/>
    <x v="0"/>
    <x v="1"/>
    <x v="1"/>
    <x v="0"/>
    <x v="1"/>
    <x v="1"/>
    <n v="4"/>
    <x v="5"/>
    <x v="1"/>
    <x v="11"/>
    <x v="120"/>
    <x v="0"/>
    <x v="2"/>
  </r>
  <r>
    <d v="2023-04-05T10:29:08"/>
    <x v="0"/>
    <x v="317"/>
    <x v="0"/>
    <x v="3"/>
    <x v="0"/>
    <x v="0"/>
    <x v="0"/>
    <x v="0"/>
    <n v="4"/>
    <x v="1"/>
    <x v="2"/>
    <x v="6"/>
    <x v="98"/>
    <x v="0"/>
    <x v="1"/>
  </r>
  <r>
    <d v="2023-04-05T10:29:15"/>
    <x v="5"/>
    <x v="318"/>
    <x v="0"/>
    <x v="2"/>
    <x v="0"/>
    <x v="1"/>
    <x v="1"/>
    <x v="1"/>
    <n v="10"/>
    <x v="3"/>
    <x v="2"/>
    <x v="15"/>
    <x v="121"/>
    <x v="0"/>
    <x v="7"/>
  </r>
  <r>
    <d v="2023-04-05T10:30:56"/>
    <x v="0"/>
    <x v="319"/>
    <x v="0"/>
    <x v="2"/>
    <x v="0"/>
    <x v="1"/>
    <x v="1"/>
    <x v="1"/>
    <n v="6"/>
    <x v="6"/>
    <x v="1"/>
    <x v="9"/>
    <x v="122"/>
    <x v="0"/>
    <x v="1"/>
  </r>
  <r>
    <d v="2023-04-05T10:33:20"/>
    <x v="0"/>
    <x v="320"/>
    <x v="0"/>
    <x v="3"/>
    <x v="0"/>
    <x v="0"/>
    <x v="0"/>
    <x v="0"/>
    <n v="1"/>
    <x v="3"/>
    <x v="1"/>
    <x v="8"/>
    <x v="118"/>
    <x v="0"/>
    <x v="7"/>
  </r>
  <r>
    <d v="2023-04-05T10:37:24"/>
    <x v="0"/>
    <x v="317"/>
    <x v="0"/>
    <x v="3"/>
    <x v="0"/>
    <x v="0"/>
    <x v="0"/>
    <x v="0"/>
    <n v="2"/>
    <x v="6"/>
    <x v="1"/>
    <x v="11"/>
    <x v="123"/>
    <x v="0"/>
    <x v="1"/>
  </r>
  <r>
    <d v="2023-04-05T10:37:42"/>
    <x v="0"/>
    <x v="321"/>
    <x v="0"/>
    <x v="0"/>
    <x v="0"/>
    <x v="1"/>
    <x v="1"/>
    <x v="0"/>
    <n v="7"/>
    <x v="6"/>
    <x v="1"/>
    <x v="17"/>
    <x v="124"/>
    <x v="0"/>
    <x v="9"/>
  </r>
  <r>
    <d v="2023-04-05T10:37:58"/>
    <x v="0"/>
    <x v="322"/>
    <x v="0"/>
    <x v="0"/>
    <x v="2"/>
    <x v="1"/>
    <x v="1"/>
    <x v="0"/>
    <n v="5"/>
    <x v="1"/>
    <x v="1"/>
    <x v="7"/>
    <x v="125"/>
    <x v="2"/>
    <x v="4"/>
  </r>
  <r>
    <d v="2023-04-05T10:39:37"/>
    <x v="5"/>
    <x v="323"/>
    <x v="0"/>
    <x v="2"/>
    <x v="0"/>
    <x v="0"/>
    <x v="1"/>
    <x v="1"/>
    <n v="6"/>
    <x v="5"/>
    <x v="1"/>
    <x v="11"/>
    <x v="126"/>
    <x v="0"/>
    <x v="2"/>
  </r>
  <r>
    <d v="2023-04-05T10:40:25"/>
    <x v="0"/>
    <x v="324"/>
    <x v="0"/>
    <x v="0"/>
    <x v="1"/>
    <x v="0"/>
    <x v="1"/>
    <x v="1"/>
    <n v="5"/>
    <x v="1"/>
    <x v="2"/>
    <x v="7"/>
    <x v="124"/>
    <x v="1"/>
    <x v="6"/>
  </r>
  <r>
    <d v="2023-04-05T10:42:07"/>
    <x v="0"/>
    <x v="325"/>
    <x v="0"/>
    <x v="1"/>
    <x v="2"/>
    <x v="0"/>
    <x v="1"/>
    <x v="1"/>
    <n v="10"/>
    <x v="5"/>
    <x v="2"/>
    <x v="8"/>
    <x v="97"/>
    <x v="2"/>
    <x v="3"/>
  </r>
  <r>
    <d v="2023-04-05T10:46:43"/>
    <x v="0"/>
    <x v="326"/>
    <x v="0"/>
    <x v="0"/>
    <x v="0"/>
    <x v="0"/>
    <x v="1"/>
    <x v="1"/>
    <n v="8"/>
    <x v="3"/>
    <x v="1"/>
    <x v="6"/>
    <x v="127"/>
    <x v="0"/>
    <x v="1"/>
  </r>
  <r>
    <d v="2023-04-05T10:48:14"/>
    <x v="0"/>
    <x v="327"/>
    <x v="0"/>
    <x v="4"/>
    <x v="0"/>
    <x v="0"/>
    <x v="0"/>
    <x v="0"/>
    <n v="3"/>
    <x v="6"/>
    <x v="2"/>
    <x v="17"/>
    <x v="128"/>
    <x v="2"/>
    <x v="3"/>
  </r>
  <r>
    <d v="2023-04-05T10:48:18"/>
    <x v="0"/>
    <x v="317"/>
    <x v="1"/>
    <x v="0"/>
    <x v="1"/>
    <x v="0"/>
    <x v="0"/>
    <x v="0"/>
    <n v="7"/>
    <x v="1"/>
    <x v="1"/>
    <x v="6"/>
    <x v="129"/>
    <x v="0"/>
    <x v="4"/>
  </r>
  <r>
    <d v="2023-04-05T10:49:53"/>
    <x v="0"/>
    <x v="328"/>
    <x v="1"/>
    <x v="4"/>
    <x v="0"/>
    <x v="0"/>
    <x v="1"/>
    <x v="0"/>
    <n v="3"/>
    <x v="1"/>
    <x v="1"/>
    <x v="8"/>
    <x v="130"/>
    <x v="0"/>
    <x v="3"/>
  </r>
  <r>
    <d v="2023-04-05T10:51:08"/>
    <x v="0"/>
    <x v="329"/>
    <x v="0"/>
    <x v="0"/>
    <x v="2"/>
    <x v="3"/>
    <x v="0"/>
    <x v="0"/>
    <n v="1"/>
    <x v="5"/>
    <x v="3"/>
    <x v="6"/>
    <x v="131"/>
    <x v="2"/>
    <x v="1"/>
  </r>
  <r>
    <d v="2023-04-05T10:53:16"/>
    <x v="0"/>
    <x v="330"/>
    <x v="0"/>
    <x v="3"/>
    <x v="0"/>
    <x v="0"/>
    <x v="0"/>
    <x v="0"/>
    <n v="2"/>
    <x v="5"/>
    <x v="1"/>
    <x v="10"/>
    <x v="113"/>
    <x v="0"/>
    <x v="11"/>
  </r>
  <r>
    <d v="2023-04-05T10:55:51"/>
    <x v="0"/>
    <x v="317"/>
    <x v="1"/>
    <x v="3"/>
    <x v="2"/>
    <x v="1"/>
    <x v="0"/>
    <x v="0"/>
    <n v="5"/>
    <x v="6"/>
    <x v="1"/>
    <x v="9"/>
    <x v="132"/>
    <x v="1"/>
    <x v="1"/>
  </r>
  <r>
    <d v="2023-04-05T10:56:07"/>
    <x v="0"/>
    <x v="331"/>
    <x v="1"/>
    <x v="0"/>
    <x v="2"/>
    <x v="1"/>
    <x v="0"/>
    <x v="0"/>
    <n v="3"/>
    <x v="5"/>
    <x v="1"/>
    <x v="18"/>
    <x v="113"/>
    <x v="0"/>
    <x v="1"/>
  </r>
  <r>
    <d v="2023-04-05T10:57:04"/>
    <x v="0"/>
    <x v="278"/>
    <x v="0"/>
    <x v="0"/>
    <x v="1"/>
    <x v="0"/>
    <x v="0"/>
    <x v="0"/>
    <n v="5"/>
    <x v="1"/>
    <x v="2"/>
    <x v="7"/>
    <x v="133"/>
    <x v="2"/>
    <x v="3"/>
  </r>
  <r>
    <d v="2023-04-05T10:58:16"/>
    <x v="0"/>
    <x v="332"/>
    <x v="0"/>
    <x v="3"/>
    <x v="0"/>
    <x v="0"/>
    <x v="0"/>
    <x v="0"/>
    <n v="1"/>
    <x v="3"/>
    <x v="0"/>
    <x v="8"/>
    <x v="134"/>
    <x v="0"/>
    <x v="14"/>
  </r>
  <r>
    <d v="2023-04-05T11:06:59"/>
    <x v="0"/>
    <x v="317"/>
    <x v="0"/>
    <x v="3"/>
    <x v="0"/>
    <x v="0"/>
    <x v="0"/>
    <x v="0"/>
    <n v="6"/>
    <x v="6"/>
    <x v="1"/>
    <x v="17"/>
    <x v="135"/>
    <x v="1"/>
    <x v="7"/>
  </r>
  <r>
    <d v="2023-04-05T11:08:22"/>
    <x v="0"/>
    <x v="333"/>
    <x v="1"/>
    <x v="2"/>
    <x v="2"/>
    <x v="0"/>
    <x v="0"/>
    <x v="0"/>
    <n v="4"/>
    <x v="0"/>
    <x v="0"/>
    <x v="6"/>
    <x v="136"/>
    <x v="0"/>
    <x v="3"/>
  </r>
  <r>
    <d v="2023-04-05T11:11:10"/>
    <x v="0"/>
    <x v="334"/>
    <x v="1"/>
    <x v="4"/>
    <x v="0"/>
    <x v="1"/>
    <x v="0"/>
    <x v="0"/>
    <n v="1"/>
    <x v="3"/>
    <x v="1"/>
    <x v="19"/>
    <x v="137"/>
    <x v="2"/>
    <x v="7"/>
  </r>
  <r>
    <d v="2023-04-05T11:13:59"/>
    <x v="0"/>
    <x v="335"/>
    <x v="1"/>
    <x v="4"/>
    <x v="0"/>
    <x v="0"/>
    <x v="0"/>
    <x v="0"/>
    <n v="1"/>
    <x v="1"/>
    <x v="2"/>
    <x v="15"/>
    <x v="138"/>
    <x v="2"/>
    <x v="3"/>
  </r>
  <r>
    <d v="2023-04-05T11:16:38"/>
    <x v="0"/>
    <x v="336"/>
    <x v="0"/>
    <x v="4"/>
    <x v="0"/>
    <x v="1"/>
    <x v="0"/>
    <x v="0"/>
    <n v="5"/>
    <x v="6"/>
    <x v="1"/>
    <x v="19"/>
    <x v="139"/>
    <x v="1"/>
    <x v="1"/>
  </r>
  <r>
    <d v="2023-04-05T11:20:43"/>
    <x v="0"/>
    <x v="337"/>
    <x v="0"/>
    <x v="2"/>
    <x v="1"/>
    <x v="1"/>
    <x v="1"/>
    <x v="1"/>
    <n v="4"/>
    <x v="6"/>
    <x v="1"/>
    <x v="20"/>
    <x v="140"/>
    <x v="0"/>
    <x v="1"/>
  </r>
  <r>
    <d v="2023-04-05T11:21:00"/>
    <x v="3"/>
    <x v="338"/>
    <x v="0"/>
    <x v="3"/>
    <x v="0"/>
    <x v="1"/>
    <x v="1"/>
    <x v="1"/>
    <n v="3"/>
    <x v="1"/>
    <x v="1"/>
    <x v="9"/>
    <x v="132"/>
    <x v="0"/>
    <x v="16"/>
  </r>
  <r>
    <d v="2023-04-05T11:21:05"/>
    <x v="0"/>
    <x v="317"/>
    <x v="1"/>
    <x v="0"/>
    <x v="2"/>
    <x v="1"/>
    <x v="0"/>
    <x v="0"/>
    <n v="1"/>
    <x v="5"/>
    <x v="2"/>
    <x v="9"/>
    <x v="141"/>
    <x v="0"/>
    <x v="6"/>
  </r>
  <r>
    <d v="2023-04-05T11:21:24"/>
    <x v="0"/>
    <x v="339"/>
    <x v="1"/>
    <x v="4"/>
    <x v="1"/>
    <x v="0"/>
    <x v="0"/>
    <x v="0"/>
    <n v="2"/>
    <x v="1"/>
    <x v="2"/>
    <x v="6"/>
    <x v="142"/>
    <x v="0"/>
    <x v="3"/>
  </r>
  <r>
    <d v="2023-04-05T11:22:28"/>
    <x v="0"/>
    <x v="335"/>
    <x v="1"/>
    <x v="4"/>
    <x v="2"/>
    <x v="0"/>
    <x v="0"/>
    <x v="0"/>
    <n v="6"/>
    <x v="1"/>
    <x v="1"/>
    <x v="9"/>
    <x v="143"/>
    <x v="0"/>
    <x v="2"/>
  </r>
  <r>
    <d v="2023-04-05T11:23:10"/>
    <x v="0"/>
    <x v="340"/>
    <x v="0"/>
    <x v="4"/>
    <x v="2"/>
    <x v="1"/>
    <x v="0"/>
    <x v="0"/>
    <n v="9"/>
    <x v="6"/>
    <x v="0"/>
    <x v="14"/>
    <x v="144"/>
    <x v="2"/>
    <x v="3"/>
  </r>
  <r>
    <d v="2023-04-05T11:24:52"/>
    <x v="5"/>
    <x v="341"/>
    <x v="0"/>
    <x v="0"/>
    <x v="1"/>
    <x v="0"/>
    <x v="0"/>
    <x v="0"/>
    <n v="5"/>
    <x v="5"/>
    <x v="1"/>
    <x v="7"/>
    <x v="145"/>
    <x v="1"/>
    <x v="7"/>
  </r>
  <r>
    <d v="2023-04-05T11:25:17"/>
    <x v="0"/>
    <x v="202"/>
    <x v="0"/>
    <x v="2"/>
    <x v="1"/>
    <x v="0"/>
    <x v="0"/>
    <x v="0"/>
    <n v="1"/>
    <x v="6"/>
    <x v="2"/>
    <x v="19"/>
    <x v="116"/>
    <x v="1"/>
    <x v="3"/>
  </r>
  <r>
    <d v="2023-04-05T11:25:51"/>
    <x v="0"/>
    <x v="342"/>
    <x v="0"/>
    <x v="4"/>
    <x v="0"/>
    <x v="0"/>
    <x v="0"/>
    <x v="1"/>
    <n v="4"/>
    <x v="1"/>
    <x v="1"/>
    <x v="15"/>
    <x v="146"/>
    <x v="0"/>
    <x v="3"/>
  </r>
  <r>
    <d v="2023-04-05T11:27:38"/>
    <x v="0"/>
    <x v="343"/>
    <x v="1"/>
    <x v="1"/>
    <x v="2"/>
    <x v="1"/>
    <x v="1"/>
    <x v="0"/>
    <n v="9"/>
    <x v="3"/>
    <x v="1"/>
    <x v="7"/>
    <x v="147"/>
    <x v="0"/>
    <x v="1"/>
  </r>
  <r>
    <d v="2023-04-05T11:32:00"/>
    <x v="0"/>
    <x v="344"/>
    <x v="1"/>
    <x v="3"/>
    <x v="0"/>
    <x v="0"/>
    <x v="0"/>
    <x v="0"/>
    <n v="8"/>
    <x v="6"/>
    <x v="0"/>
    <x v="9"/>
    <x v="148"/>
    <x v="0"/>
    <x v="3"/>
  </r>
  <r>
    <d v="2023-04-05T11:32:36"/>
    <x v="0"/>
    <x v="345"/>
    <x v="1"/>
    <x v="0"/>
    <x v="0"/>
    <x v="1"/>
    <x v="0"/>
    <x v="0"/>
    <n v="5"/>
    <x v="3"/>
    <x v="2"/>
    <x v="9"/>
    <x v="139"/>
    <x v="0"/>
    <x v="12"/>
  </r>
  <r>
    <d v="2023-04-05T11:34:20"/>
    <x v="0"/>
    <x v="346"/>
    <x v="0"/>
    <x v="0"/>
    <x v="2"/>
    <x v="1"/>
    <x v="0"/>
    <x v="1"/>
    <n v="9"/>
    <x v="5"/>
    <x v="1"/>
    <x v="9"/>
    <x v="149"/>
    <x v="2"/>
    <x v="3"/>
  </r>
  <r>
    <d v="2023-04-05T11:34:31"/>
    <x v="0"/>
    <x v="347"/>
    <x v="1"/>
    <x v="0"/>
    <x v="2"/>
    <x v="1"/>
    <x v="0"/>
    <x v="0"/>
    <n v="8"/>
    <x v="6"/>
    <x v="1"/>
    <x v="9"/>
    <x v="150"/>
    <x v="2"/>
    <x v="1"/>
  </r>
  <r>
    <d v="2023-04-05T11:36:48"/>
    <x v="0"/>
    <x v="348"/>
    <x v="0"/>
    <x v="0"/>
    <x v="0"/>
    <x v="0"/>
    <x v="0"/>
    <x v="0"/>
    <n v="5"/>
    <x v="5"/>
    <x v="1"/>
    <x v="15"/>
    <x v="151"/>
    <x v="1"/>
    <x v="7"/>
  </r>
  <r>
    <d v="2023-04-05T11:37:14"/>
    <x v="0"/>
    <x v="327"/>
    <x v="1"/>
    <x v="3"/>
    <x v="0"/>
    <x v="1"/>
    <x v="1"/>
    <x v="0"/>
    <n v="2"/>
    <x v="1"/>
    <x v="2"/>
    <x v="13"/>
    <x v="152"/>
    <x v="3"/>
    <x v="3"/>
  </r>
  <r>
    <d v="2023-04-05T11:38:14"/>
    <x v="0"/>
    <x v="349"/>
    <x v="0"/>
    <x v="0"/>
    <x v="0"/>
    <x v="0"/>
    <x v="1"/>
    <x v="0"/>
    <n v="3"/>
    <x v="5"/>
    <x v="1"/>
    <x v="21"/>
    <x v="153"/>
    <x v="2"/>
    <x v="7"/>
  </r>
  <r>
    <d v="2023-04-05T11:38:57"/>
    <x v="0"/>
    <x v="317"/>
    <x v="0"/>
    <x v="0"/>
    <x v="1"/>
    <x v="1"/>
    <x v="0"/>
    <x v="0"/>
    <n v="5"/>
    <x v="5"/>
    <x v="1"/>
    <x v="9"/>
    <x v="154"/>
    <x v="2"/>
    <x v="8"/>
  </r>
  <r>
    <d v="2023-04-05T11:39:27"/>
    <x v="0"/>
    <x v="350"/>
    <x v="0"/>
    <x v="4"/>
    <x v="1"/>
    <x v="1"/>
    <x v="0"/>
    <x v="0"/>
    <n v="5"/>
    <x v="6"/>
    <x v="0"/>
    <x v="9"/>
    <x v="155"/>
    <x v="1"/>
    <x v="3"/>
  </r>
  <r>
    <d v="2023-04-05T11:40:45"/>
    <x v="0"/>
    <x v="351"/>
    <x v="1"/>
    <x v="1"/>
    <x v="2"/>
    <x v="0"/>
    <x v="0"/>
    <x v="0"/>
    <n v="3"/>
    <x v="6"/>
    <x v="2"/>
    <x v="17"/>
    <x v="156"/>
    <x v="0"/>
    <x v="4"/>
  </r>
  <r>
    <d v="2023-04-05T11:40:47"/>
    <x v="0"/>
    <x v="344"/>
    <x v="1"/>
    <x v="3"/>
    <x v="0"/>
    <x v="3"/>
    <x v="0"/>
    <x v="0"/>
    <n v="7"/>
    <x v="1"/>
    <x v="1"/>
    <x v="15"/>
    <x v="148"/>
    <x v="0"/>
    <x v="11"/>
  </r>
  <r>
    <d v="2023-04-05T11:41:39"/>
    <x v="0"/>
    <x v="352"/>
    <x v="0"/>
    <x v="0"/>
    <x v="2"/>
    <x v="3"/>
    <x v="0"/>
    <x v="0"/>
    <n v="1"/>
    <x v="1"/>
    <x v="2"/>
    <x v="7"/>
    <x v="157"/>
    <x v="4"/>
    <x v="3"/>
  </r>
  <r>
    <d v="2023-04-05T11:42:52"/>
    <x v="0"/>
    <x v="353"/>
    <x v="0"/>
    <x v="2"/>
    <x v="2"/>
    <x v="1"/>
    <x v="1"/>
    <x v="1"/>
    <n v="8"/>
    <x v="1"/>
    <x v="2"/>
    <x v="9"/>
    <x v="158"/>
    <x v="2"/>
    <x v="7"/>
  </r>
  <r>
    <d v="2023-04-05T11:43:08"/>
    <x v="0"/>
    <x v="340"/>
    <x v="0"/>
    <x v="4"/>
    <x v="2"/>
    <x v="1"/>
    <x v="1"/>
    <x v="1"/>
    <n v="3"/>
    <x v="3"/>
    <x v="2"/>
    <x v="9"/>
    <x v="159"/>
    <x v="2"/>
    <x v="6"/>
  </r>
  <r>
    <d v="2023-04-05T11:43:21"/>
    <x v="0"/>
    <x v="354"/>
    <x v="0"/>
    <x v="3"/>
    <x v="1"/>
    <x v="0"/>
    <x v="0"/>
    <x v="0"/>
    <n v="7"/>
    <x v="1"/>
    <x v="1"/>
    <x v="19"/>
    <x v="122"/>
    <x v="0"/>
    <x v="1"/>
  </r>
  <r>
    <d v="2023-04-05T11:45:22"/>
    <x v="0"/>
    <x v="307"/>
    <x v="1"/>
    <x v="4"/>
    <x v="1"/>
    <x v="0"/>
    <x v="0"/>
    <x v="0"/>
    <n v="4"/>
    <x v="6"/>
    <x v="1"/>
    <x v="6"/>
    <x v="160"/>
    <x v="0"/>
    <x v="3"/>
  </r>
  <r>
    <d v="2023-04-05T11:46:53"/>
    <x v="0"/>
    <x v="202"/>
    <x v="1"/>
    <x v="3"/>
    <x v="0"/>
    <x v="0"/>
    <x v="1"/>
    <x v="1"/>
    <n v="8"/>
    <x v="3"/>
    <x v="2"/>
    <x v="22"/>
    <x v="161"/>
    <x v="1"/>
    <x v="4"/>
  </r>
  <r>
    <d v="2023-04-05T11:49:29"/>
    <x v="0"/>
    <x v="355"/>
    <x v="1"/>
    <x v="4"/>
    <x v="1"/>
    <x v="1"/>
    <x v="0"/>
    <x v="0"/>
    <n v="5"/>
    <x v="6"/>
    <x v="1"/>
    <x v="14"/>
    <x v="132"/>
    <x v="0"/>
    <x v="0"/>
  </r>
  <r>
    <d v="2023-04-05T11:50:16"/>
    <x v="0"/>
    <x v="339"/>
    <x v="1"/>
    <x v="4"/>
    <x v="0"/>
    <x v="0"/>
    <x v="1"/>
    <x v="0"/>
    <n v="5"/>
    <x v="6"/>
    <x v="2"/>
    <x v="10"/>
    <x v="162"/>
    <x v="0"/>
    <x v="2"/>
  </r>
  <r>
    <d v="2023-04-05T11:52:27"/>
    <x v="0"/>
    <x v="339"/>
    <x v="1"/>
    <x v="4"/>
    <x v="2"/>
    <x v="0"/>
    <x v="0"/>
    <x v="0"/>
    <n v="6"/>
    <x v="0"/>
    <x v="2"/>
    <x v="9"/>
    <x v="134"/>
    <x v="0"/>
    <x v="1"/>
  </r>
  <r>
    <d v="2023-04-05T11:52:28"/>
    <x v="0"/>
    <x v="339"/>
    <x v="1"/>
    <x v="4"/>
    <x v="2"/>
    <x v="0"/>
    <x v="0"/>
    <x v="0"/>
    <n v="6"/>
    <x v="0"/>
    <x v="2"/>
    <x v="9"/>
    <x v="134"/>
    <x v="0"/>
    <x v="1"/>
  </r>
  <r>
    <d v="2023-04-05T11:53:39"/>
    <x v="0"/>
    <x v="356"/>
    <x v="0"/>
    <x v="2"/>
    <x v="1"/>
    <x v="1"/>
    <x v="1"/>
    <x v="1"/>
    <n v="6"/>
    <x v="0"/>
    <x v="4"/>
    <x v="10"/>
    <x v="163"/>
    <x v="2"/>
    <x v="11"/>
  </r>
  <r>
    <d v="2023-04-05T11:54:14"/>
    <x v="0"/>
    <x v="357"/>
    <x v="1"/>
    <x v="4"/>
    <x v="2"/>
    <x v="1"/>
    <x v="1"/>
    <x v="1"/>
    <n v="4"/>
    <x v="5"/>
    <x v="1"/>
    <x v="23"/>
    <x v="164"/>
    <x v="3"/>
    <x v="3"/>
  </r>
  <r>
    <d v="2023-04-05T11:56:11"/>
    <x v="0"/>
    <x v="358"/>
    <x v="0"/>
    <x v="0"/>
    <x v="0"/>
    <x v="1"/>
    <x v="0"/>
    <x v="0"/>
    <n v="5"/>
    <x v="6"/>
    <x v="0"/>
    <x v="11"/>
    <x v="134"/>
    <x v="0"/>
    <x v="4"/>
  </r>
  <r>
    <d v="2023-04-05T11:56:51"/>
    <x v="0"/>
    <x v="357"/>
    <x v="1"/>
    <x v="4"/>
    <x v="0"/>
    <x v="1"/>
    <x v="1"/>
    <x v="0"/>
    <n v="2"/>
    <x v="3"/>
    <x v="0"/>
    <x v="17"/>
    <x v="165"/>
    <x v="3"/>
    <x v="1"/>
  </r>
  <r>
    <d v="2023-04-05T12:01:14"/>
    <x v="0"/>
    <x v="359"/>
    <x v="1"/>
    <x v="4"/>
    <x v="2"/>
    <x v="1"/>
    <x v="1"/>
    <x v="0"/>
    <n v="5"/>
    <x v="3"/>
    <x v="2"/>
    <x v="9"/>
    <x v="166"/>
    <x v="2"/>
    <x v="2"/>
  </r>
  <r>
    <d v="2023-04-05T12:01:46"/>
    <x v="0"/>
    <x v="14"/>
    <x v="0"/>
    <x v="4"/>
    <x v="0"/>
    <x v="1"/>
    <x v="1"/>
    <x v="1"/>
    <n v="8"/>
    <x v="6"/>
    <x v="0"/>
    <x v="18"/>
    <x v="98"/>
    <x v="0"/>
    <x v="3"/>
  </r>
  <r>
    <d v="2023-04-05T12:08:22"/>
    <x v="0"/>
    <x v="315"/>
    <x v="0"/>
    <x v="4"/>
    <x v="0"/>
    <x v="0"/>
    <x v="1"/>
    <x v="1"/>
    <n v="7"/>
    <x v="1"/>
    <x v="3"/>
    <x v="21"/>
    <x v="161"/>
    <x v="4"/>
    <x v="3"/>
  </r>
  <r>
    <d v="2023-04-05T12:13:24"/>
    <x v="0"/>
    <x v="14"/>
    <x v="0"/>
    <x v="4"/>
    <x v="0"/>
    <x v="0"/>
    <x v="0"/>
    <x v="1"/>
    <n v="8"/>
    <x v="6"/>
    <x v="1"/>
    <x v="8"/>
    <x v="147"/>
    <x v="3"/>
    <x v="5"/>
  </r>
  <r>
    <d v="2023-04-05T12:14:10"/>
    <x v="0"/>
    <x v="357"/>
    <x v="0"/>
    <x v="3"/>
    <x v="0"/>
    <x v="1"/>
    <x v="1"/>
    <x v="1"/>
    <n v="2"/>
    <x v="3"/>
    <x v="2"/>
    <x v="14"/>
    <x v="167"/>
    <x v="1"/>
    <x v="3"/>
  </r>
  <r>
    <d v="2023-04-05T12:15:45"/>
    <x v="0"/>
    <x v="339"/>
    <x v="1"/>
    <x v="4"/>
    <x v="0"/>
    <x v="0"/>
    <x v="0"/>
    <x v="0"/>
    <n v="5"/>
    <x v="1"/>
    <x v="2"/>
    <x v="9"/>
    <x v="168"/>
    <x v="0"/>
    <x v="2"/>
  </r>
  <r>
    <d v="2023-04-05T12:19:04"/>
    <x v="0"/>
    <x v="360"/>
    <x v="0"/>
    <x v="4"/>
    <x v="2"/>
    <x v="0"/>
    <x v="0"/>
    <x v="0"/>
    <n v="10"/>
    <x v="6"/>
    <x v="0"/>
    <x v="22"/>
    <x v="169"/>
    <x v="0"/>
    <x v="15"/>
  </r>
  <r>
    <d v="2023-04-05T12:21:36"/>
    <x v="0"/>
    <x v="361"/>
    <x v="1"/>
    <x v="2"/>
    <x v="0"/>
    <x v="0"/>
    <x v="1"/>
    <x v="1"/>
    <n v="7"/>
    <x v="5"/>
    <x v="1"/>
    <x v="6"/>
    <x v="149"/>
    <x v="3"/>
    <x v="1"/>
  </r>
  <r>
    <d v="2023-04-05T12:25:04"/>
    <x v="0"/>
    <x v="362"/>
    <x v="1"/>
    <x v="3"/>
    <x v="1"/>
    <x v="0"/>
    <x v="1"/>
    <x v="0"/>
    <n v="6"/>
    <x v="1"/>
    <x v="2"/>
    <x v="7"/>
    <x v="170"/>
    <x v="1"/>
    <x v="0"/>
  </r>
  <r>
    <d v="2023-04-05T12:26:52"/>
    <x v="0"/>
    <x v="363"/>
    <x v="0"/>
    <x v="3"/>
    <x v="1"/>
    <x v="3"/>
    <x v="0"/>
    <x v="0"/>
    <n v="3"/>
    <x v="1"/>
    <x v="1"/>
    <x v="11"/>
    <x v="171"/>
    <x v="0"/>
    <x v="20"/>
  </r>
  <r>
    <d v="2023-04-05T12:26:56"/>
    <x v="0"/>
    <x v="364"/>
    <x v="1"/>
    <x v="4"/>
    <x v="2"/>
    <x v="1"/>
    <x v="0"/>
    <x v="0"/>
    <n v="1"/>
    <x v="1"/>
    <x v="1"/>
    <x v="19"/>
    <x v="172"/>
    <x v="3"/>
    <x v="1"/>
  </r>
  <r>
    <d v="2023-04-05T12:28:44"/>
    <x v="0"/>
    <x v="365"/>
    <x v="1"/>
    <x v="0"/>
    <x v="1"/>
    <x v="0"/>
    <x v="0"/>
    <x v="0"/>
    <n v="1"/>
    <x v="6"/>
    <x v="1"/>
    <x v="9"/>
    <x v="173"/>
    <x v="0"/>
    <x v="1"/>
  </r>
  <r>
    <d v="2023-04-05T12:31:11"/>
    <x v="0"/>
    <x v="366"/>
    <x v="0"/>
    <x v="4"/>
    <x v="2"/>
    <x v="0"/>
    <x v="0"/>
    <x v="0"/>
    <n v="5"/>
    <x v="3"/>
    <x v="1"/>
    <x v="21"/>
    <x v="174"/>
    <x v="1"/>
    <x v="3"/>
  </r>
  <r>
    <d v="2023-04-05T12:31:56"/>
    <x v="0"/>
    <x v="367"/>
    <x v="0"/>
    <x v="2"/>
    <x v="2"/>
    <x v="1"/>
    <x v="1"/>
    <x v="1"/>
    <n v="7"/>
    <x v="3"/>
    <x v="1"/>
    <x v="22"/>
    <x v="175"/>
    <x v="3"/>
    <x v="6"/>
  </r>
  <r>
    <d v="2023-04-05T12:34:17"/>
    <x v="0"/>
    <x v="339"/>
    <x v="1"/>
    <x v="3"/>
    <x v="2"/>
    <x v="0"/>
    <x v="1"/>
    <x v="1"/>
    <n v="9"/>
    <x v="0"/>
    <x v="0"/>
    <x v="14"/>
    <x v="176"/>
    <x v="2"/>
    <x v="1"/>
  </r>
  <r>
    <d v="2023-04-05T12:34:36"/>
    <x v="0"/>
    <x v="368"/>
    <x v="0"/>
    <x v="4"/>
    <x v="2"/>
    <x v="0"/>
    <x v="1"/>
    <x v="1"/>
    <n v="5"/>
    <x v="5"/>
    <x v="1"/>
    <x v="17"/>
    <x v="177"/>
    <x v="0"/>
    <x v="3"/>
  </r>
  <r>
    <d v="2023-04-05T12:39:44"/>
    <x v="0"/>
    <x v="360"/>
    <x v="1"/>
    <x v="4"/>
    <x v="2"/>
    <x v="0"/>
    <x v="0"/>
    <x v="0"/>
    <n v="7"/>
    <x v="5"/>
    <x v="1"/>
    <x v="9"/>
    <x v="178"/>
    <x v="0"/>
    <x v="15"/>
  </r>
  <r>
    <d v="2023-04-05T12:41:10"/>
    <x v="0"/>
    <x v="369"/>
    <x v="1"/>
    <x v="4"/>
    <x v="1"/>
    <x v="0"/>
    <x v="0"/>
    <x v="1"/>
    <n v="7"/>
    <x v="6"/>
    <x v="1"/>
    <x v="9"/>
    <x v="174"/>
    <x v="3"/>
    <x v="4"/>
  </r>
  <r>
    <d v="2023-04-05T12:47:44"/>
    <x v="0"/>
    <x v="370"/>
    <x v="0"/>
    <x v="4"/>
    <x v="1"/>
    <x v="1"/>
    <x v="1"/>
    <x v="1"/>
    <n v="7"/>
    <x v="5"/>
    <x v="2"/>
    <x v="23"/>
    <x v="179"/>
    <x v="2"/>
    <x v="3"/>
  </r>
  <r>
    <d v="2023-04-05T12:48:55"/>
    <x v="0"/>
    <x v="371"/>
    <x v="1"/>
    <x v="4"/>
    <x v="0"/>
    <x v="0"/>
    <x v="0"/>
    <x v="0"/>
    <n v="1"/>
    <x v="1"/>
    <x v="2"/>
    <x v="7"/>
    <x v="180"/>
    <x v="1"/>
    <x v="3"/>
  </r>
  <r>
    <d v="2023-04-05T12:52:49"/>
    <x v="0"/>
    <x v="372"/>
    <x v="1"/>
    <x v="3"/>
    <x v="0"/>
    <x v="0"/>
    <x v="0"/>
    <x v="0"/>
    <n v="3"/>
    <x v="6"/>
    <x v="1"/>
    <x v="6"/>
    <x v="181"/>
    <x v="0"/>
    <x v="1"/>
  </r>
  <r>
    <d v="2023-04-05T12:53:45"/>
    <x v="0"/>
    <x v="373"/>
    <x v="0"/>
    <x v="4"/>
    <x v="1"/>
    <x v="1"/>
    <x v="1"/>
    <x v="0"/>
    <n v="8"/>
    <x v="1"/>
    <x v="1"/>
    <x v="15"/>
    <x v="182"/>
    <x v="0"/>
    <x v="14"/>
  </r>
  <r>
    <d v="2023-04-05T12:58:21"/>
    <x v="0"/>
    <x v="374"/>
    <x v="0"/>
    <x v="4"/>
    <x v="2"/>
    <x v="0"/>
    <x v="0"/>
    <x v="0"/>
    <n v="5"/>
    <x v="1"/>
    <x v="2"/>
    <x v="24"/>
    <x v="183"/>
    <x v="2"/>
    <x v="6"/>
  </r>
  <r>
    <d v="2023-04-05T12:59:28"/>
    <x v="0"/>
    <x v="375"/>
    <x v="1"/>
    <x v="0"/>
    <x v="0"/>
    <x v="1"/>
    <x v="0"/>
    <x v="0"/>
    <n v="7"/>
    <x v="6"/>
    <x v="1"/>
    <x v="14"/>
    <x v="184"/>
    <x v="1"/>
    <x v="1"/>
  </r>
  <r>
    <d v="2023-04-05T13:01:18"/>
    <x v="0"/>
    <x v="360"/>
    <x v="0"/>
    <x v="3"/>
    <x v="2"/>
    <x v="0"/>
    <x v="0"/>
    <x v="0"/>
    <n v="7"/>
    <x v="6"/>
    <x v="1"/>
    <x v="25"/>
    <x v="185"/>
    <x v="0"/>
    <x v="4"/>
  </r>
  <r>
    <d v="2023-04-05T13:04:47"/>
    <x v="0"/>
    <x v="365"/>
    <x v="1"/>
    <x v="3"/>
    <x v="0"/>
    <x v="1"/>
    <x v="0"/>
    <x v="0"/>
    <n v="4"/>
    <x v="3"/>
    <x v="1"/>
    <x v="19"/>
    <x v="186"/>
    <x v="0"/>
    <x v="7"/>
  </r>
  <r>
    <d v="2023-04-05T13:07:22"/>
    <x v="0"/>
    <x v="345"/>
    <x v="1"/>
    <x v="4"/>
    <x v="0"/>
    <x v="0"/>
    <x v="0"/>
    <x v="0"/>
    <n v="7"/>
    <x v="1"/>
    <x v="1"/>
    <x v="19"/>
    <x v="187"/>
    <x v="0"/>
    <x v="2"/>
  </r>
  <r>
    <d v="2023-04-05T13:07:29"/>
    <x v="0"/>
    <x v="306"/>
    <x v="1"/>
    <x v="4"/>
    <x v="2"/>
    <x v="1"/>
    <x v="1"/>
    <x v="0"/>
    <n v="5"/>
    <x v="3"/>
    <x v="2"/>
    <x v="9"/>
    <x v="188"/>
    <x v="1"/>
    <x v="3"/>
  </r>
  <r>
    <d v="2023-04-05T13:12:21"/>
    <x v="0"/>
    <x v="376"/>
    <x v="0"/>
    <x v="1"/>
    <x v="0"/>
    <x v="0"/>
    <x v="1"/>
    <x v="1"/>
    <n v="9"/>
    <x v="1"/>
    <x v="1"/>
    <x v="22"/>
    <x v="189"/>
    <x v="3"/>
    <x v="14"/>
  </r>
  <r>
    <d v="2023-04-05T13:12:48"/>
    <x v="0"/>
    <x v="360"/>
    <x v="0"/>
    <x v="0"/>
    <x v="0"/>
    <x v="0"/>
    <x v="0"/>
    <x v="0"/>
    <n v="3"/>
    <x v="1"/>
    <x v="0"/>
    <x v="15"/>
    <x v="167"/>
    <x v="1"/>
    <x v="1"/>
  </r>
  <r>
    <d v="2023-04-05T13:14:32"/>
    <x v="0"/>
    <x v="377"/>
    <x v="0"/>
    <x v="0"/>
    <x v="1"/>
    <x v="0"/>
    <x v="0"/>
    <x v="0"/>
    <n v="1"/>
    <x v="1"/>
    <x v="1"/>
    <x v="11"/>
    <x v="190"/>
    <x v="3"/>
    <x v="7"/>
  </r>
  <r>
    <d v="2023-04-05T13:17:16"/>
    <x v="0"/>
    <x v="329"/>
    <x v="0"/>
    <x v="3"/>
    <x v="0"/>
    <x v="1"/>
    <x v="0"/>
    <x v="0"/>
    <n v="5"/>
    <x v="5"/>
    <x v="1"/>
    <x v="11"/>
    <x v="191"/>
    <x v="0"/>
    <x v="0"/>
  </r>
  <r>
    <d v="2023-04-05T13:18:59"/>
    <x v="0"/>
    <x v="378"/>
    <x v="1"/>
    <x v="4"/>
    <x v="0"/>
    <x v="0"/>
    <x v="0"/>
    <x v="0"/>
    <n v="5"/>
    <x v="6"/>
    <x v="2"/>
    <x v="18"/>
    <x v="192"/>
    <x v="0"/>
    <x v="5"/>
  </r>
  <r>
    <d v="2023-04-05T13:22:28"/>
    <x v="0"/>
    <x v="379"/>
    <x v="1"/>
    <x v="3"/>
    <x v="2"/>
    <x v="0"/>
    <x v="1"/>
    <x v="0"/>
    <n v="6"/>
    <x v="1"/>
    <x v="2"/>
    <x v="18"/>
    <x v="179"/>
    <x v="0"/>
    <x v="1"/>
  </r>
  <r>
    <d v="2023-04-05T13:28:14"/>
    <x v="0"/>
    <x v="380"/>
    <x v="0"/>
    <x v="1"/>
    <x v="2"/>
    <x v="0"/>
    <x v="0"/>
    <x v="0"/>
    <n v="7"/>
    <x v="1"/>
    <x v="1"/>
    <x v="18"/>
    <x v="193"/>
    <x v="0"/>
    <x v="8"/>
  </r>
  <r>
    <d v="2023-04-05T13:33:44"/>
    <x v="0"/>
    <x v="381"/>
    <x v="0"/>
    <x v="1"/>
    <x v="1"/>
    <x v="1"/>
    <x v="1"/>
    <x v="1"/>
    <n v="4"/>
    <x v="5"/>
    <x v="0"/>
    <x v="7"/>
    <x v="153"/>
    <x v="3"/>
    <x v="1"/>
  </r>
  <r>
    <d v="2023-04-05T13:35:25"/>
    <x v="0"/>
    <x v="63"/>
    <x v="1"/>
    <x v="4"/>
    <x v="2"/>
    <x v="1"/>
    <x v="1"/>
    <x v="0"/>
    <n v="6"/>
    <x v="1"/>
    <x v="1"/>
    <x v="13"/>
    <x v="194"/>
    <x v="0"/>
    <x v="3"/>
  </r>
  <r>
    <d v="2023-04-05T13:37:20"/>
    <x v="0"/>
    <x v="382"/>
    <x v="0"/>
    <x v="0"/>
    <x v="0"/>
    <x v="1"/>
    <x v="1"/>
    <x v="1"/>
    <n v="9"/>
    <x v="6"/>
    <x v="1"/>
    <x v="23"/>
    <x v="195"/>
    <x v="0"/>
    <x v="21"/>
  </r>
  <r>
    <d v="2023-04-05T13:40:53"/>
    <x v="0"/>
    <x v="383"/>
    <x v="0"/>
    <x v="1"/>
    <x v="2"/>
    <x v="0"/>
    <x v="0"/>
    <x v="0"/>
    <n v="2"/>
    <x v="6"/>
    <x v="1"/>
    <x v="9"/>
    <x v="196"/>
    <x v="0"/>
    <x v="5"/>
  </r>
  <r>
    <d v="2023-04-05T13:40:41"/>
    <x v="0"/>
    <x v="384"/>
    <x v="0"/>
    <x v="0"/>
    <x v="0"/>
    <x v="0"/>
    <x v="0"/>
    <x v="0"/>
    <n v="9"/>
    <x v="6"/>
    <x v="1"/>
    <x v="17"/>
    <x v="138"/>
    <x v="0"/>
    <x v="1"/>
  </r>
  <r>
    <d v="2023-04-05T13:47:23"/>
    <x v="0"/>
    <x v="385"/>
    <x v="1"/>
    <x v="0"/>
    <x v="1"/>
    <x v="0"/>
    <x v="0"/>
    <x v="0"/>
    <n v="1"/>
    <x v="5"/>
    <x v="1"/>
    <x v="11"/>
    <x v="147"/>
    <x v="0"/>
    <x v="1"/>
  </r>
  <r>
    <d v="2023-04-05T13:58:51"/>
    <x v="0"/>
    <x v="385"/>
    <x v="0"/>
    <x v="4"/>
    <x v="2"/>
    <x v="1"/>
    <x v="1"/>
    <x v="1"/>
    <n v="10"/>
    <x v="3"/>
    <x v="1"/>
    <x v="9"/>
    <x v="197"/>
    <x v="1"/>
    <x v="8"/>
  </r>
  <r>
    <d v="2023-04-05T13:59:49"/>
    <x v="0"/>
    <x v="386"/>
    <x v="1"/>
    <x v="3"/>
    <x v="0"/>
    <x v="0"/>
    <x v="0"/>
    <x v="1"/>
    <n v="6"/>
    <x v="1"/>
    <x v="2"/>
    <x v="12"/>
    <x v="198"/>
    <x v="1"/>
    <x v="2"/>
  </r>
  <r>
    <d v="2023-04-05T14:13:48"/>
    <x v="0"/>
    <x v="387"/>
    <x v="0"/>
    <x v="2"/>
    <x v="2"/>
    <x v="0"/>
    <x v="0"/>
    <x v="0"/>
    <n v="5"/>
    <x v="1"/>
    <x v="0"/>
    <x v="9"/>
    <x v="109"/>
    <x v="0"/>
    <x v="3"/>
  </r>
  <r>
    <d v="2023-04-05T14:14:05"/>
    <x v="0"/>
    <x v="388"/>
    <x v="0"/>
    <x v="3"/>
    <x v="1"/>
    <x v="1"/>
    <x v="0"/>
    <x v="0"/>
    <n v="6"/>
    <x v="3"/>
    <x v="2"/>
    <x v="10"/>
    <x v="140"/>
    <x v="2"/>
    <x v="4"/>
  </r>
  <r>
    <d v="2023-04-05T14:21:15"/>
    <x v="0"/>
    <x v="340"/>
    <x v="0"/>
    <x v="4"/>
    <x v="2"/>
    <x v="1"/>
    <x v="1"/>
    <x v="1"/>
    <n v="6"/>
    <x v="6"/>
    <x v="1"/>
    <x v="10"/>
    <x v="199"/>
    <x v="1"/>
    <x v="6"/>
  </r>
  <r>
    <d v="2023-04-05T14:25:51"/>
    <x v="0"/>
    <x v="389"/>
    <x v="1"/>
    <x v="1"/>
    <x v="1"/>
    <x v="3"/>
    <x v="0"/>
    <x v="0"/>
    <n v="7"/>
    <x v="1"/>
    <x v="0"/>
    <x v="11"/>
    <x v="105"/>
    <x v="0"/>
    <x v="11"/>
  </r>
  <r>
    <d v="2023-04-05T14:36:46"/>
    <x v="0"/>
    <x v="390"/>
    <x v="1"/>
    <x v="2"/>
    <x v="1"/>
    <x v="1"/>
    <x v="0"/>
    <x v="0"/>
    <n v="8"/>
    <x v="6"/>
    <x v="1"/>
    <x v="8"/>
    <x v="109"/>
    <x v="0"/>
    <x v="1"/>
  </r>
  <r>
    <d v="2023-04-05T14:43:17"/>
    <x v="0"/>
    <x v="294"/>
    <x v="0"/>
    <x v="2"/>
    <x v="1"/>
    <x v="0"/>
    <x v="0"/>
    <x v="1"/>
    <n v="5"/>
    <x v="3"/>
    <x v="1"/>
    <x v="7"/>
    <x v="141"/>
    <x v="0"/>
    <x v="3"/>
  </r>
  <r>
    <d v="2023-04-05T14:45:08"/>
    <x v="0"/>
    <x v="391"/>
    <x v="0"/>
    <x v="4"/>
    <x v="0"/>
    <x v="0"/>
    <x v="0"/>
    <x v="0"/>
    <n v="7"/>
    <x v="6"/>
    <x v="1"/>
    <x v="9"/>
    <x v="200"/>
    <x v="0"/>
    <x v="3"/>
  </r>
  <r>
    <d v="2023-04-05T14:49:26"/>
    <x v="0"/>
    <x v="278"/>
    <x v="1"/>
    <x v="2"/>
    <x v="1"/>
    <x v="0"/>
    <x v="0"/>
    <x v="0"/>
    <n v="7"/>
    <x v="3"/>
    <x v="2"/>
    <x v="13"/>
    <x v="201"/>
    <x v="0"/>
    <x v="3"/>
  </r>
  <r>
    <d v="2023-04-05T14:50:35"/>
    <x v="0"/>
    <x v="392"/>
    <x v="0"/>
    <x v="1"/>
    <x v="1"/>
    <x v="0"/>
    <x v="0"/>
    <x v="0"/>
    <n v="7"/>
    <x v="5"/>
    <x v="1"/>
    <x v="15"/>
    <x v="111"/>
    <x v="0"/>
    <x v="3"/>
  </r>
  <r>
    <d v="2023-04-05T14:51:41"/>
    <x v="5"/>
    <x v="393"/>
    <x v="0"/>
    <x v="0"/>
    <x v="1"/>
    <x v="0"/>
    <x v="0"/>
    <x v="0"/>
    <n v="8"/>
    <x v="1"/>
    <x v="1"/>
    <x v="13"/>
    <x v="202"/>
    <x v="0"/>
    <x v="6"/>
  </r>
  <r>
    <d v="2023-04-05T14:58:09"/>
    <x v="0"/>
    <x v="394"/>
    <x v="0"/>
    <x v="4"/>
    <x v="2"/>
    <x v="0"/>
    <x v="0"/>
    <x v="0"/>
    <n v="5"/>
    <x v="6"/>
    <x v="1"/>
    <x v="19"/>
    <x v="95"/>
    <x v="0"/>
    <x v="1"/>
  </r>
  <r>
    <d v="2023-04-05T15:08:24"/>
    <x v="0"/>
    <x v="395"/>
    <x v="0"/>
    <x v="4"/>
    <x v="2"/>
    <x v="0"/>
    <x v="1"/>
    <x v="1"/>
    <n v="3"/>
    <x v="3"/>
    <x v="3"/>
    <x v="23"/>
    <x v="203"/>
    <x v="0"/>
    <x v="4"/>
  </r>
  <r>
    <d v="2023-04-05T15:19:28"/>
    <x v="0"/>
    <x v="396"/>
    <x v="0"/>
    <x v="4"/>
    <x v="0"/>
    <x v="0"/>
    <x v="0"/>
    <x v="0"/>
    <n v="6"/>
    <x v="3"/>
    <x v="2"/>
    <x v="7"/>
    <x v="204"/>
    <x v="0"/>
    <x v="0"/>
  </r>
  <r>
    <d v="2023-04-05T15:20:55"/>
    <x v="0"/>
    <x v="397"/>
    <x v="0"/>
    <x v="0"/>
    <x v="0"/>
    <x v="3"/>
    <x v="0"/>
    <x v="0"/>
    <n v="1"/>
    <x v="1"/>
    <x v="1"/>
    <x v="17"/>
    <x v="205"/>
    <x v="1"/>
    <x v="3"/>
  </r>
  <r>
    <d v="2023-04-05T15:24:39"/>
    <x v="0"/>
    <x v="398"/>
    <x v="1"/>
    <x v="3"/>
    <x v="0"/>
    <x v="0"/>
    <x v="0"/>
    <x v="0"/>
    <n v="5"/>
    <x v="1"/>
    <x v="2"/>
    <x v="9"/>
    <x v="140"/>
    <x v="0"/>
    <x v="7"/>
  </r>
  <r>
    <d v="2023-04-05T15:27:55"/>
    <x v="0"/>
    <x v="399"/>
    <x v="1"/>
    <x v="1"/>
    <x v="1"/>
    <x v="0"/>
    <x v="0"/>
    <x v="1"/>
    <n v="9"/>
    <x v="1"/>
    <x v="0"/>
    <x v="8"/>
    <x v="206"/>
    <x v="2"/>
    <x v="1"/>
  </r>
  <r>
    <d v="2023-04-05T15:30:09"/>
    <x v="0"/>
    <x v="400"/>
    <x v="0"/>
    <x v="0"/>
    <x v="2"/>
    <x v="0"/>
    <x v="0"/>
    <x v="0"/>
    <n v="5"/>
    <x v="3"/>
    <x v="2"/>
    <x v="19"/>
    <x v="109"/>
    <x v="0"/>
    <x v="3"/>
  </r>
  <r>
    <d v="2023-04-05T15:32:30"/>
    <x v="0"/>
    <x v="385"/>
    <x v="0"/>
    <x v="4"/>
    <x v="0"/>
    <x v="1"/>
    <x v="0"/>
    <x v="0"/>
    <n v="7"/>
    <x v="3"/>
    <x v="1"/>
    <x v="17"/>
    <x v="109"/>
    <x v="0"/>
    <x v="1"/>
  </r>
  <r>
    <d v="2023-04-05T15:35:46"/>
    <x v="0"/>
    <x v="399"/>
    <x v="0"/>
    <x v="3"/>
    <x v="0"/>
    <x v="1"/>
    <x v="1"/>
    <x v="1"/>
    <n v="10"/>
    <x v="1"/>
    <x v="2"/>
    <x v="9"/>
    <x v="141"/>
    <x v="0"/>
    <x v="4"/>
  </r>
  <r>
    <d v="2023-04-05T15:41:29"/>
    <x v="0"/>
    <x v="401"/>
    <x v="1"/>
    <x v="4"/>
    <x v="0"/>
    <x v="0"/>
    <x v="1"/>
    <x v="1"/>
    <n v="2"/>
    <x v="1"/>
    <x v="1"/>
    <x v="19"/>
    <x v="161"/>
    <x v="2"/>
    <x v="3"/>
  </r>
  <r>
    <d v="2023-04-05T15:41:52"/>
    <x v="0"/>
    <x v="402"/>
    <x v="0"/>
    <x v="4"/>
    <x v="2"/>
    <x v="0"/>
    <x v="0"/>
    <x v="0"/>
    <n v="10"/>
    <x v="6"/>
    <x v="1"/>
    <x v="9"/>
    <x v="207"/>
    <x v="2"/>
    <x v="6"/>
  </r>
  <r>
    <d v="2023-04-05T15:42:13"/>
    <x v="0"/>
    <x v="403"/>
    <x v="0"/>
    <x v="2"/>
    <x v="0"/>
    <x v="3"/>
    <x v="0"/>
    <x v="1"/>
    <n v="8"/>
    <x v="6"/>
    <x v="3"/>
    <x v="24"/>
    <x v="208"/>
    <x v="1"/>
    <x v="1"/>
  </r>
  <r>
    <d v="2023-04-05T15:45:44"/>
    <x v="0"/>
    <x v="404"/>
    <x v="1"/>
    <x v="4"/>
    <x v="0"/>
    <x v="1"/>
    <x v="1"/>
    <x v="0"/>
    <n v="3"/>
    <x v="1"/>
    <x v="3"/>
    <x v="13"/>
    <x v="209"/>
    <x v="4"/>
    <x v="17"/>
  </r>
  <r>
    <d v="2023-04-05T15:46:03"/>
    <x v="0"/>
    <x v="404"/>
    <x v="1"/>
    <x v="2"/>
    <x v="0"/>
    <x v="0"/>
    <x v="0"/>
    <x v="0"/>
    <n v="4"/>
    <x v="1"/>
    <x v="4"/>
    <x v="24"/>
    <x v="210"/>
    <x v="3"/>
    <x v="6"/>
  </r>
  <r>
    <d v="2023-04-05T15:46:06"/>
    <x v="0"/>
    <x v="307"/>
    <x v="0"/>
    <x v="3"/>
    <x v="0"/>
    <x v="0"/>
    <x v="0"/>
    <x v="0"/>
    <n v="2"/>
    <x v="1"/>
    <x v="1"/>
    <x v="17"/>
    <x v="197"/>
    <x v="1"/>
    <x v="3"/>
  </r>
  <r>
    <d v="2023-04-05T15:52:33"/>
    <x v="5"/>
    <x v="405"/>
    <x v="0"/>
    <x v="0"/>
    <x v="0"/>
    <x v="0"/>
    <x v="0"/>
    <x v="0"/>
    <n v="5"/>
    <x v="1"/>
    <x v="1"/>
    <x v="21"/>
    <x v="211"/>
    <x v="0"/>
    <x v="6"/>
  </r>
  <r>
    <d v="2023-04-05T15:53:10"/>
    <x v="0"/>
    <x v="406"/>
    <x v="0"/>
    <x v="4"/>
    <x v="0"/>
    <x v="0"/>
    <x v="0"/>
    <x v="1"/>
    <n v="8"/>
    <x v="3"/>
    <x v="1"/>
    <x v="19"/>
    <x v="212"/>
    <x v="1"/>
    <x v="0"/>
  </r>
  <r>
    <d v="2023-04-05T15:54:52"/>
    <x v="0"/>
    <x v="304"/>
    <x v="1"/>
    <x v="2"/>
    <x v="2"/>
    <x v="0"/>
    <x v="0"/>
    <x v="0"/>
    <n v="2"/>
    <x v="1"/>
    <x v="1"/>
    <x v="8"/>
    <x v="213"/>
    <x v="0"/>
    <x v="1"/>
  </r>
  <r>
    <d v="2023-04-05T16:01:27"/>
    <x v="0"/>
    <x v="407"/>
    <x v="1"/>
    <x v="3"/>
    <x v="0"/>
    <x v="0"/>
    <x v="0"/>
    <x v="1"/>
    <n v="6"/>
    <x v="3"/>
    <x v="1"/>
    <x v="12"/>
    <x v="214"/>
    <x v="0"/>
    <x v="2"/>
  </r>
  <r>
    <d v="2023-04-05T16:03:03"/>
    <x v="0"/>
    <x v="408"/>
    <x v="0"/>
    <x v="4"/>
    <x v="2"/>
    <x v="1"/>
    <x v="1"/>
    <x v="0"/>
    <n v="1"/>
    <x v="5"/>
    <x v="0"/>
    <x v="24"/>
    <x v="110"/>
    <x v="2"/>
    <x v="18"/>
  </r>
  <r>
    <d v="2023-04-05T16:07:24"/>
    <x v="0"/>
    <x v="409"/>
    <x v="0"/>
    <x v="4"/>
    <x v="1"/>
    <x v="0"/>
    <x v="1"/>
    <x v="1"/>
    <n v="5"/>
    <x v="3"/>
    <x v="2"/>
    <x v="9"/>
    <x v="215"/>
    <x v="2"/>
    <x v="17"/>
  </r>
  <r>
    <d v="2023-04-05T16:08:33"/>
    <x v="0"/>
    <x v="410"/>
    <x v="0"/>
    <x v="1"/>
    <x v="2"/>
    <x v="1"/>
    <x v="0"/>
    <x v="0"/>
    <n v="6"/>
    <x v="1"/>
    <x v="2"/>
    <x v="11"/>
    <x v="113"/>
    <x v="0"/>
    <x v="15"/>
  </r>
  <r>
    <d v="2023-04-05T16:09:05"/>
    <x v="0"/>
    <x v="406"/>
    <x v="0"/>
    <x v="2"/>
    <x v="2"/>
    <x v="1"/>
    <x v="1"/>
    <x v="1"/>
    <n v="8"/>
    <x v="3"/>
    <x v="1"/>
    <x v="19"/>
    <x v="216"/>
    <x v="2"/>
    <x v="0"/>
  </r>
  <r>
    <d v="2023-04-05T16:13:09"/>
    <x v="0"/>
    <x v="411"/>
    <x v="1"/>
    <x v="1"/>
    <x v="1"/>
    <x v="0"/>
    <x v="0"/>
    <x v="1"/>
    <n v="5"/>
    <x v="0"/>
    <x v="0"/>
    <x v="8"/>
    <x v="217"/>
    <x v="0"/>
    <x v="15"/>
  </r>
  <r>
    <d v="2023-04-05T16:25:33"/>
    <x v="0"/>
    <x v="412"/>
    <x v="0"/>
    <x v="2"/>
    <x v="0"/>
    <x v="1"/>
    <x v="0"/>
    <x v="0"/>
    <n v="10"/>
    <x v="3"/>
    <x v="2"/>
    <x v="10"/>
    <x v="197"/>
    <x v="0"/>
    <x v="7"/>
  </r>
  <r>
    <d v="2023-04-05T16:34:10"/>
    <x v="0"/>
    <x v="413"/>
    <x v="0"/>
    <x v="2"/>
    <x v="1"/>
    <x v="0"/>
    <x v="0"/>
    <x v="0"/>
    <n v="1"/>
    <x v="1"/>
    <x v="2"/>
    <x v="19"/>
    <x v="218"/>
    <x v="0"/>
    <x v="3"/>
  </r>
  <r>
    <d v="2023-04-05T16:39:24"/>
    <x v="0"/>
    <x v="414"/>
    <x v="0"/>
    <x v="1"/>
    <x v="0"/>
    <x v="0"/>
    <x v="1"/>
    <x v="1"/>
    <n v="9"/>
    <x v="3"/>
    <x v="1"/>
    <x v="6"/>
    <x v="200"/>
    <x v="1"/>
    <x v="4"/>
  </r>
  <r>
    <d v="2023-04-05T16:44:31"/>
    <x v="0"/>
    <x v="415"/>
    <x v="0"/>
    <x v="4"/>
    <x v="0"/>
    <x v="0"/>
    <x v="0"/>
    <x v="0"/>
    <n v="1"/>
    <x v="3"/>
    <x v="1"/>
    <x v="11"/>
    <x v="219"/>
    <x v="2"/>
    <x v="4"/>
  </r>
  <r>
    <d v="2023-04-05T16:51:37"/>
    <x v="0"/>
    <x v="416"/>
    <x v="1"/>
    <x v="4"/>
    <x v="0"/>
    <x v="0"/>
    <x v="1"/>
    <x v="0"/>
    <n v="1"/>
    <x v="5"/>
    <x v="2"/>
    <x v="24"/>
    <x v="220"/>
    <x v="1"/>
    <x v="2"/>
  </r>
  <r>
    <d v="2023-04-05T16:53:54"/>
    <x v="0"/>
    <x v="393"/>
    <x v="0"/>
    <x v="4"/>
    <x v="0"/>
    <x v="1"/>
    <x v="0"/>
    <x v="0"/>
    <n v="5"/>
    <x v="6"/>
    <x v="1"/>
    <x v="7"/>
    <x v="156"/>
    <x v="0"/>
    <x v="8"/>
  </r>
  <r>
    <d v="2023-04-05T16:55:04"/>
    <x v="0"/>
    <x v="417"/>
    <x v="0"/>
    <x v="2"/>
    <x v="2"/>
    <x v="1"/>
    <x v="0"/>
    <x v="0"/>
    <n v="10"/>
    <x v="5"/>
    <x v="2"/>
    <x v="6"/>
    <x v="201"/>
    <x v="1"/>
    <x v="3"/>
  </r>
  <r>
    <d v="2023-04-05T16:56:13"/>
    <x v="0"/>
    <x v="295"/>
    <x v="0"/>
    <x v="3"/>
    <x v="0"/>
    <x v="0"/>
    <x v="0"/>
    <x v="0"/>
    <n v="3"/>
    <x v="5"/>
    <x v="2"/>
    <x v="6"/>
    <x v="221"/>
    <x v="2"/>
    <x v="7"/>
  </r>
  <r>
    <d v="2023-04-05T16:58:19"/>
    <x v="0"/>
    <x v="63"/>
    <x v="0"/>
    <x v="2"/>
    <x v="2"/>
    <x v="0"/>
    <x v="0"/>
    <x v="0"/>
    <n v="2"/>
    <x v="6"/>
    <x v="1"/>
    <x v="17"/>
    <x v="222"/>
    <x v="1"/>
    <x v="6"/>
  </r>
  <r>
    <d v="2023-04-05T17:01:38"/>
    <x v="0"/>
    <x v="418"/>
    <x v="1"/>
    <x v="0"/>
    <x v="2"/>
    <x v="0"/>
    <x v="0"/>
    <x v="0"/>
    <n v="2"/>
    <x v="1"/>
    <x v="1"/>
    <x v="6"/>
    <x v="114"/>
    <x v="2"/>
    <x v="7"/>
  </r>
  <r>
    <d v="2023-04-05T17:03:39"/>
    <x v="0"/>
    <x v="419"/>
    <x v="0"/>
    <x v="0"/>
    <x v="0"/>
    <x v="1"/>
    <x v="0"/>
    <x v="0"/>
    <n v="5"/>
    <x v="5"/>
    <x v="0"/>
    <x v="21"/>
    <x v="188"/>
    <x v="0"/>
    <x v="13"/>
  </r>
  <r>
    <d v="2023-04-05T17:03:43"/>
    <x v="0"/>
    <x v="420"/>
    <x v="0"/>
    <x v="2"/>
    <x v="2"/>
    <x v="0"/>
    <x v="1"/>
    <x v="1"/>
    <n v="7"/>
    <x v="1"/>
    <x v="1"/>
    <x v="6"/>
    <x v="223"/>
    <x v="1"/>
    <x v="1"/>
  </r>
  <r>
    <d v="2023-04-05T17:06:31"/>
    <x v="0"/>
    <x v="421"/>
    <x v="0"/>
    <x v="4"/>
    <x v="1"/>
    <x v="1"/>
    <x v="0"/>
    <x v="0"/>
    <n v="7"/>
    <x v="1"/>
    <x v="1"/>
    <x v="17"/>
    <x v="195"/>
    <x v="0"/>
    <x v="1"/>
  </r>
  <r>
    <d v="2023-04-05T17:07:04"/>
    <x v="0"/>
    <x v="422"/>
    <x v="0"/>
    <x v="4"/>
    <x v="0"/>
    <x v="1"/>
    <x v="1"/>
    <x v="1"/>
    <n v="10"/>
    <x v="1"/>
    <x v="1"/>
    <x v="17"/>
    <x v="216"/>
    <x v="0"/>
    <x v="7"/>
  </r>
  <r>
    <d v="2023-04-05T17:07:53"/>
    <x v="0"/>
    <x v="423"/>
    <x v="0"/>
    <x v="4"/>
    <x v="2"/>
    <x v="0"/>
    <x v="0"/>
    <x v="0"/>
    <n v="1"/>
    <x v="3"/>
    <x v="2"/>
    <x v="18"/>
    <x v="174"/>
    <x v="1"/>
    <x v="11"/>
  </r>
  <r>
    <d v="2023-04-05T17:08:50"/>
    <x v="0"/>
    <x v="424"/>
    <x v="1"/>
    <x v="4"/>
    <x v="0"/>
    <x v="1"/>
    <x v="1"/>
    <x v="1"/>
    <n v="6"/>
    <x v="5"/>
    <x v="1"/>
    <x v="10"/>
    <x v="224"/>
    <x v="2"/>
    <x v="11"/>
  </r>
  <r>
    <d v="2023-04-05T17:09:00"/>
    <x v="0"/>
    <x v="425"/>
    <x v="1"/>
    <x v="4"/>
    <x v="0"/>
    <x v="0"/>
    <x v="1"/>
    <x v="1"/>
    <n v="10"/>
    <x v="5"/>
    <x v="2"/>
    <x v="11"/>
    <x v="161"/>
    <x v="2"/>
    <x v="3"/>
  </r>
  <r>
    <d v="2023-04-05T17:09:49"/>
    <x v="0"/>
    <x v="426"/>
    <x v="0"/>
    <x v="0"/>
    <x v="1"/>
    <x v="1"/>
    <x v="0"/>
    <x v="0"/>
    <n v="2"/>
    <x v="3"/>
    <x v="1"/>
    <x v="17"/>
    <x v="225"/>
    <x v="2"/>
    <x v="1"/>
  </r>
  <r>
    <d v="2023-04-05T17:10:10"/>
    <x v="0"/>
    <x v="421"/>
    <x v="0"/>
    <x v="3"/>
    <x v="2"/>
    <x v="0"/>
    <x v="1"/>
    <x v="1"/>
    <n v="8"/>
    <x v="1"/>
    <x v="2"/>
    <x v="19"/>
    <x v="226"/>
    <x v="1"/>
    <x v="8"/>
  </r>
  <r>
    <d v="2023-04-05T17:11:45"/>
    <x v="0"/>
    <x v="427"/>
    <x v="0"/>
    <x v="1"/>
    <x v="0"/>
    <x v="0"/>
    <x v="0"/>
    <x v="0"/>
    <n v="1"/>
    <x v="5"/>
    <x v="1"/>
    <x v="8"/>
    <x v="197"/>
    <x v="0"/>
    <x v="9"/>
  </r>
  <r>
    <d v="2023-04-05T17:11:46"/>
    <x v="0"/>
    <x v="428"/>
    <x v="0"/>
    <x v="3"/>
    <x v="0"/>
    <x v="1"/>
    <x v="1"/>
    <x v="0"/>
    <n v="4"/>
    <x v="5"/>
    <x v="2"/>
    <x v="7"/>
    <x v="227"/>
    <x v="1"/>
    <x v="7"/>
  </r>
  <r>
    <d v="2023-04-05T17:13:12"/>
    <x v="0"/>
    <x v="429"/>
    <x v="0"/>
    <x v="3"/>
    <x v="0"/>
    <x v="0"/>
    <x v="0"/>
    <x v="0"/>
    <n v="5"/>
    <x v="3"/>
    <x v="1"/>
    <x v="9"/>
    <x v="113"/>
    <x v="2"/>
    <x v="0"/>
  </r>
  <r>
    <d v="2023-04-05T17:14:36"/>
    <x v="0"/>
    <x v="430"/>
    <x v="1"/>
    <x v="2"/>
    <x v="0"/>
    <x v="0"/>
    <x v="0"/>
    <x v="0"/>
    <n v="4"/>
    <x v="1"/>
    <x v="2"/>
    <x v="22"/>
    <x v="227"/>
    <x v="0"/>
    <x v="11"/>
  </r>
  <r>
    <d v="2023-04-05T17:17:27"/>
    <x v="0"/>
    <x v="307"/>
    <x v="0"/>
    <x v="3"/>
    <x v="2"/>
    <x v="0"/>
    <x v="1"/>
    <x v="1"/>
    <n v="8"/>
    <x v="1"/>
    <x v="1"/>
    <x v="16"/>
    <x v="228"/>
    <x v="0"/>
    <x v="1"/>
  </r>
  <r>
    <d v="2023-04-05T17:18:04"/>
    <x v="0"/>
    <x v="333"/>
    <x v="2"/>
    <x v="0"/>
    <x v="0"/>
    <x v="0"/>
    <x v="0"/>
    <x v="0"/>
    <n v="1"/>
    <x v="3"/>
    <x v="1"/>
    <x v="19"/>
    <x v="196"/>
    <x v="2"/>
    <x v="2"/>
  </r>
  <r>
    <d v="2023-04-05T17:18:42"/>
    <x v="0"/>
    <x v="431"/>
    <x v="0"/>
    <x v="1"/>
    <x v="1"/>
    <x v="0"/>
    <x v="0"/>
    <x v="0"/>
    <n v="1"/>
    <x v="1"/>
    <x v="1"/>
    <x v="11"/>
    <x v="229"/>
    <x v="0"/>
    <x v="3"/>
  </r>
  <r>
    <d v="2023-04-05T17:25:43"/>
    <x v="0"/>
    <x v="373"/>
    <x v="0"/>
    <x v="4"/>
    <x v="1"/>
    <x v="0"/>
    <x v="0"/>
    <x v="0"/>
    <n v="3"/>
    <x v="1"/>
    <x v="2"/>
    <x v="6"/>
    <x v="129"/>
    <x v="2"/>
    <x v="4"/>
  </r>
  <r>
    <d v="2023-04-05T17:26:05"/>
    <x v="0"/>
    <x v="307"/>
    <x v="1"/>
    <x v="4"/>
    <x v="1"/>
    <x v="0"/>
    <x v="0"/>
    <x v="0"/>
    <n v="1"/>
    <x v="3"/>
    <x v="2"/>
    <x v="10"/>
    <x v="230"/>
    <x v="0"/>
    <x v="3"/>
  </r>
  <r>
    <d v="2023-04-05T17:26:56"/>
    <x v="0"/>
    <x v="432"/>
    <x v="1"/>
    <x v="4"/>
    <x v="1"/>
    <x v="0"/>
    <x v="0"/>
    <x v="0"/>
    <n v="2"/>
    <x v="3"/>
    <x v="2"/>
    <x v="7"/>
    <x v="214"/>
    <x v="0"/>
    <x v="11"/>
  </r>
  <r>
    <d v="2023-04-05T17:28:32"/>
    <x v="0"/>
    <x v="278"/>
    <x v="1"/>
    <x v="2"/>
    <x v="2"/>
    <x v="0"/>
    <x v="0"/>
    <x v="0"/>
    <n v="5"/>
    <x v="6"/>
    <x v="2"/>
    <x v="11"/>
    <x v="231"/>
    <x v="0"/>
    <x v="7"/>
  </r>
  <r>
    <d v="2023-04-05T17:32:45"/>
    <x v="0"/>
    <x v="397"/>
    <x v="1"/>
    <x v="0"/>
    <x v="0"/>
    <x v="0"/>
    <x v="0"/>
    <x v="0"/>
    <n v="3"/>
    <x v="3"/>
    <x v="2"/>
    <x v="9"/>
    <x v="160"/>
    <x v="0"/>
    <x v="7"/>
  </r>
  <r>
    <d v="2023-04-05T17:34:28"/>
    <x v="0"/>
    <x v="433"/>
    <x v="1"/>
    <x v="0"/>
    <x v="0"/>
    <x v="0"/>
    <x v="1"/>
    <x v="1"/>
    <n v="3"/>
    <x v="3"/>
    <x v="1"/>
    <x v="20"/>
    <x v="134"/>
    <x v="3"/>
    <x v="1"/>
  </r>
  <r>
    <d v="2023-04-05T17:35:24"/>
    <x v="0"/>
    <x v="273"/>
    <x v="0"/>
    <x v="4"/>
    <x v="0"/>
    <x v="0"/>
    <x v="0"/>
    <x v="0"/>
    <n v="5"/>
    <x v="5"/>
    <x v="1"/>
    <x v="15"/>
    <x v="134"/>
    <x v="0"/>
    <x v="6"/>
  </r>
  <r>
    <d v="2023-04-05T17:35:51"/>
    <x v="0"/>
    <x v="434"/>
    <x v="0"/>
    <x v="4"/>
    <x v="0"/>
    <x v="0"/>
    <x v="0"/>
    <x v="0"/>
    <n v="5"/>
    <x v="3"/>
    <x v="2"/>
    <x v="10"/>
    <x v="232"/>
    <x v="0"/>
    <x v="6"/>
  </r>
  <r>
    <d v="2023-04-05T17:39:20"/>
    <x v="0"/>
    <x v="435"/>
    <x v="0"/>
    <x v="0"/>
    <x v="2"/>
    <x v="0"/>
    <x v="0"/>
    <x v="0"/>
    <n v="5"/>
    <x v="6"/>
    <x v="2"/>
    <x v="17"/>
    <x v="179"/>
    <x v="0"/>
    <x v="3"/>
  </r>
  <r>
    <d v="2023-04-05T17:40:05"/>
    <x v="0"/>
    <x v="436"/>
    <x v="0"/>
    <x v="1"/>
    <x v="2"/>
    <x v="0"/>
    <x v="0"/>
    <x v="0"/>
    <n v="5"/>
    <x v="1"/>
    <x v="0"/>
    <x v="9"/>
    <x v="233"/>
    <x v="0"/>
    <x v="0"/>
  </r>
  <r>
    <d v="2023-04-05T17:41:04"/>
    <x v="0"/>
    <x v="437"/>
    <x v="1"/>
    <x v="4"/>
    <x v="1"/>
    <x v="1"/>
    <x v="0"/>
    <x v="1"/>
    <n v="7"/>
    <x v="1"/>
    <x v="1"/>
    <x v="22"/>
    <x v="234"/>
    <x v="0"/>
    <x v="2"/>
  </r>
  <r>
    <d v="2023-04-05T17:43:15"/>
    <x v="0"/>
    <x v="438"/>
    <x v="1"/>
    <x v="2"/>
    <x v="1"/>
    <x v="1"/>
    <x v="0"/>
    <x v="0"/>
    <n v="6"/>
    <x v="1"/>
    <x v="1"/>
    <x v="14"/>
    <x v="235"/>
    <x v="0"/>
    <x v="1"/>
  </r>
  <r>
    <d v="2023-04-05T17:43:53"/>
    <x v="0"/>
    <x v="439"/>
    <x v="0"/>
    <x v="2"/>
    <x v="2"/>
    <x v="1"/>
    <x v="0"/>
    <x v="1"/>
    <n v="4"/>
    <x v="6"/>
    <x v="2"/>
    <x v="25"/>
    <x v="153"/>
    <x v="0"/>
    <x v="7"/>
  </r>
  <r>
    <d v="2023-04-05T17:44:22"/>
    <x v="0"/>
    <x v="291"/>
    <x v="0"/>
    <x v="2"/>
    <x v="0"/>
    <x v="0"/>
    <x v="1"/>
    <x v="0"/>
    <n v="8"/>
    <x v="6"/>
    <x v="1"/>
    <x v="6"/>
    <x v="236"/>
    <x v="0"/>
    <x v="1"/>
  </r>
  <r>
    <d v="2023-04-05T17:44:32"/>
    <x v="0"/>
    <x v="431"/>
    <x v="0"/>
    <x v="3"/>
    <x v="1"/>
    <x v="0"/>
    <x v="0"/>
    <x v="0"/>
    <n v="1"/>
    <x v="5"/>
    <x v="1"/>
    <x v="11"/>
    <x v="237"/>
    <x v="0"/>
    <x v="3"/>
  </r>
  <r>
    <d v="2023-04-05T17:49:38"/>
    <x v="0"/>
    <x v="440"/>
    <x v="0"/>
    <x v="2"/>
    <x v="2"/>
    <x v="0"/>
    <x v="1"/>
    <x v="0"/>
    <n v="4"/>
    <x v="1"/>
    <x v="1"/>
    <x v="17"/>
    <x v="238"/>
    <x v="0"/>
    <x v="5"/>
  </r>
  <r>
    <d v="2023-04-05T17:52:58"/>
    <x v="0"/>
    <x v="441"/>
    <x v="0"/>
    <x v="2"/>
    <x v="2"/>
    <x v="1"/>
    <x v="0"/>
    <x v="0"/>
    <n v="10"/>
    <x v="5"/>
    <x v="1"/>
    <x v="8"/>
    <x v="161"/>
    <x v="2"/>
    <x v="7"/>
  </r>
  <r>
    <d v="2023-04-05T17:55:26"/>
    <x v="0"/>
    <x v="63"/>
    <x v="0"/>
    <x v="0"/>
    <x v="2"/>
    <x v="0"/>
    <x v="0"/>
    <x v="0"/>
    <n v="2"/>
    <x v="1"/>
    <x v="1"/>
    <x v="11"/>
    <x v="239"/>
    <x v="0"/>
    <x v="1"/>
  </r>
  <r>
    <d v="2023-04-05T17:56:08"/>
    <x v="0"/>
    <x v="442"/>
    <x v="0"/>
    <x v="3"/>
    <x v="2"/>
    <x v="0"/>
    <x v="1"/>
    <x v="0"/>
    <n v="5"/>
    <x v="5"/>
    <x v="1"/>
    <x v="17"/>
    <x v="198"/>
    <x v="1"/>
    <x v="4"/>
  </r>
  <r>
    <d v="2023-04-05T17:57:46"/>
    <x v="0"/>
    <x v="313"/>
    <x v="0"/>
    <x v="2"/>
    <x v="2"/>
    <x v="0"/>
    <x v="0"/>
    <x v="0"/>
    <n v="3"/>
    <x v="6"/>
    <x v="1"/>
    <x v="17"/>
    <x v="211"/>
    <x v="2"/>
    <x v="4"/>
  </r>
  <r>
    <d v="2023-04-05T17:58:22"/>
    <x v="0"/>
    <x v="436"/>
    <x v="0"/>
    <x v="4"/>
    <x v="0"/>
    <x v="3"/>
    <x v="0"/>
    <x v="0"/>
    <n v="4"/>
    <x v="5"/>
    <x v="0"/>
    <x v="19"/>
    <x v="240"/>
    <x v="1"/>
    <x v="18"/>
  </r>
  <r>
    <d v="2023-04-05T18:04:05"/>
    <x v="0"/>
    <x v="288"/>
    <x v="1"/>
    <x v="0"/>
    <x v="0"/>
    <x v="0"/>
    <x v="0"/>
    <x v="0"/>
    <n v="6"/>
    <x v="6"/>
    <x v="2"/>
    <x v="11"/>
    <x v="132"/>
    <x v="3"/>
    <x v="15"/>
  </r>
  <r>
    <d v="2023-04-05T18:04:55"/>
    <x v="0"/>
    <x v="443"/>
    <x v="1"/>
    <x v="1"/>
    <x v="0"/>
    <x v="1"/>
    <x v="1"/>
    <x v="1"/>
    <n v="7"/>
    <x v="1"/>
    <x v="1"/>
    <x v="18"/>
    <x v="241"/>
    <x v="0"/>
    <x v="3"/>
  </r>
  <r>
    <d v="2023-04-05T18:05:23"/>
    <x v="0"/>
    <x v="444"/>
    <x v="0"/>
    <x v="2"/>
    <x v="2"/>
    <x v="0"/>
    <x v="0"/>
    <x v="0"/>
    <n v="8"/>
    <x v="1"/>
    <x v="0"/>
    <x v="11"/>
    <x v="118"/>
    <x v="3"/>
    <x v="1"/>
  </r>
  <r>
    <d v="2023-04-05T18:08:31"/>
    <x v="0"/>
    <x v="445"/>
    <x v="0"/>
    <x v="4"/>
    <x v="0"/>
    <x v="1"/>
    <x v="1"/>
    <x v="1"/>
    <n v="1"/>
    <x v="3"/>
    <x v="2"/>
    <x v="14"/>
    <x v="174"/>
    <x v="3"/>
    <x v="4"/>
  </r>
  <r>
    <d v="2023-04-05T18:27:59"/>
    <x v="0"/>
    <x v="446"/>
    <x v="0"/>
    <x v="3"/>
    <x v="0"/>
    <x v="1"/>
    <x v="0"/>
    <x v="0"/>
    <n v="6"/>
    <x v="5"/>
    <x v="1"/>
    <x v="10"/>
    <x v="187"/>
    <x v="1"/>
    <x v="3"/>
  </r>
  <r>
    <d v="2023-04-05T18:32:47"/>
    <x v="0"/>
    <x v="447"/>
    <x v="0"/>
    <x v="0"/>
    <x v="1"/>
    <x v="0"/>
    <x v="0"/>
    <x v="0"/>
    <n v="3"/>
    <x v="1"/>
    <x v="0"/>
    <x v="10"/>
    <x v="109"/>
    <x v="1"/>
    <x v="4"/>
  </r>
  <r>
    <d v="2023-04-05T18:44:17"/>
    <x v="0"/>
    <x v="438"/>
    <x v="0"/>
    <x v="3"/>
    <x v="0"/>
    <x v="1"/>
    <x v="0"/>
    <x v="0"/>
    <n v="10"/>
    <x v="3"/>
    <x v="2"/>
    <x v="9"/>
    <x v="239"/>
    <x v="2"/>
    <x v="1"/>
  </r>
  <r>
    <d v="2023-04-05T18:49:09"/>
    <x v="0"/>
    <x v="448"/>
    <x v="0"/>
    <x v="3"/>
    <x v="0"/>
    <x v="0"/>
    <x v="1"/>
    <x v="1"/>
    <n v="7"/>
    <x v="3"/>
    <x v="1"/>
    <x v="11"/>
    <x v="242"/>
    <x v="0"/>
    <x v="14"/>
  </r>
  <r>
    <d v="2023-04-05T18:55:05"/>
    <x v="0"/>
    <x v="449"/>
    <x v="1"/>
    <x v="4"/>
    <x v="0"/>
    <x v="0"/>
    <x v="0"/>
    <x v="0"/>
    <n v="3"/>
    <x v="3"/>
    <x v="0"/>
    <x v="9"/>
    <x v="109"/>
    <x v="1"/>
    <x v="1"/>
  </r>
  <r>
    <d v="2023-04-05T19:00:44"/>
    <x v="0"/>
    <x v="134"/>
    <x v="0"/>
    <x v="4"/>
    <x v="0"/>
    <x v="0"/>
    <x v="0"/>
    <x v="0"/>
    <n v="1"/>
    <x v="6"/>
    <x v="2"/>
    <x v="7"/>
    <x v="243"/>
    <x v="2"/>
    <x v="5"/>
  </r>
  <r>
    <d v="2023-04-05T19:01:49"/>
    <x v="0"/>
    <x v="394"/>
    <x v="1"/>
    <x v="4"/>
    <x v="2"/>
    <x v="0"/>
    <x v="0"/>
    <x v="0"/>
    <n v="3"/>
    <x v="3"/>
    <x v="2"/>
    <x v="10"/>
    <x v="244"/>
    <x v="2"/>
    <x v="3"/>
  </r>
  <r>
    <d v="2023-04-05T19:05:07"/>
    <x v="0"/>
    <x v="442"/>
    <x v="1"/>
    <x v="0"/>
    <x v="0"/>
    <x v="0"/>
    <x v="0"/>
    <x v="0"/>
    <n v="5"/>
    <x v="1"/>
    <x v="1"/>
    <x v="19"/>
    <x v="138"/>
    <x v="0"/>
    <x v="3"/>
  </r>
  <r>
    <d v="2023-04-05T19:13:44"/>
    <x v="0"/>
    <x v="450"/>
    <x v="0"/>
    <x v="0"/>
    <x v="2"/>
    <x v="0"/>
    <x v="0"/>
    <x v="0"/>
    <n v="10"/>
    <x v="1"/>
    <x v="1"/>
    <x v="8"/>
    <x v="245"/>
    <x v="0"/>
    <x v="8"/>
  </r>
  <r>
    <d v="2023-04-05T19:16:22"/>
    <x v="0"/>
    <x v="451"/>
    <x v="1"/>
    <x v="3"/>
    <x v="0"/>
    <x v="1"/>
    <x v="0"/>
    <x v="0"/>
    <n v="4"/>
    <x v="5"/>
    <x v="2"/>
    <x v="7"/>
    <x v="246"/>
    <x v="0"/>
    <x v="1"/>
  </r>
  <r>
    <d v="2023-04-05T19:19:24"/>
    <x v="0"/>
    <x v="81"/>
    <x v="0"/>
    <x v="3"/>
    <x v="1"/>
    <x v="0"/>
    <x v="0"/>
    <x v="0"/>
    <n v="8"/>
    <x v="5"/>
    <x v="2"/>
    <x v="12"/>
    <x v="247"/>
    <x v="0"/>
    <x v="1"/>
  </r>
  <r>
    <d v="2023-04-05T19:20:25"/>
    <x v="0"/>
    <x v="452"/>
    <x v="1"/>
    <x v="0"/>
    <x v="1"/>
    <x v="0"/>
    <x v="0"/>
    <x v="0"/>
    <n v="5"/>
    <x v="6"/>
    <x v="0"/>
    <x v="6"/>
    <x v="248"/>
    <x v="1"/>
    <x v="2"/>
  </r>
  <r>
    <d v="2023-04-05T19:21:53"/>
    <x v="0"/>
    <x v="385"/>
    <x v="0"/>
    <x v="0"/>
    <x v="0"/>
    <x v="0"/>
    <x v="0"/>
    <x v="0"/>
    <n v="4"/>
    <x v="5"/>
    <x v="2"/>
    <x v="11"/>
    <x v="224"/>
    <x v="2"/>
    <x v="3"/>
  </r>
  <r>
    <d v="2023-04-05T19:22:07"/>
    <x v="0"/>
    <x v="453"/>
    <x v="0"/>
    <x v="3"/>
    <x v="0"/>
    <x v="0"/>
    <x v="0"/>
    <x v="0"/>
    <n v="5"/>
    <x v="3"/>
    <x v="1"/>
    <x v="17"/>
    <x v="245"/>
    <x v="1"/>
    <x v="14"/>
  </r>
  <r>
    <d v="2023-04-05T19:26:03"/>
    <x v="0"/>
    <x v="7"/>
    <x v="0"/>
    <x v="2"/>
    <x v="2"/>
    <x v="3"/>
    <x v="1"/>
    <x v="1"/>
    <n v="10"/>
    <x v="5"/>
    <x v="2"/>
    <x v="18"/>
    <x v="249"/>
    <x v="2"/>
    <x v="3"/>
  </r>
  <r>
    <d v="2023-04-05T19:27:56"/>
    <x v="0"/>
    <x v="454"/>
    <x v="0"/>
    <x v="4"/>
    <x v="1"/>
    <x v="0"/>
    <x v="0"/>
    <x v="0"/>
    <n v="5"/>
    <x v="0"/>
    <x v="2"/>
    <x v="24"/>
    <x v="250"/>
    <x v="2"/>
    <x v="3"/>
  </r>
  <r>
    <d v="2023-04-05T19:29:01"/>
    <x v="0"/>
    <x v="455"/>
    <x v="0"/>
    <x v="3"/>
    <x v="2"/>
    <x v="0"/>
    <x v="0"/>
    <x v="0"/>
    <n v="7"/>
    <x v="5"/>
    <x v="1"/>
    <x v="18"/>
    <x v="251"/>
    <x v="0"/>
    <x v="1"/>
  </r>
  <r>
    <d v="2023-04-05T19:30:56"/>
    <x v="0"/>
    <x v="397"/>
    <x v="1"/>
    <x v="4"/>
    <x v="0"/>
    <x v="1"/>
    <x v="0"/>
    <x v="0"/>
    <n v="5"/>
    <x v="3"/>
    <x v="2"/>
    <x v="7"/>
    <x v="252"/>
    <x v="2"/>
    <x v="4"/>
  </r>
  <r>
    <d v="2023-04-05T19:38:33"/>
    <x v="0"/>
    <x v="456"/>
    <x v="1"/>
    <x v="0"/>
    <x v="0"/>
    <x v="0"/>
    <x v="0"/>
    <x v="0"/>
    <n v="5"/>
    <x v="1"/>
    <x v="1"/>
    <x v="9"/>
    <x v="224"/>
    <x v="0"/>
    <x v="1"/>
  </r>
  <r>
    <d v="2023-04-05T19:50:19"/>
    <x v="0"/>
    <x v="450"/>
    <x v="0"/>
    <x v="3"/>
    <x v="0"/>
    <x v="1"/>
    <x v="0"/>
    <x v="0"/>
    <n v="8"/>
    <x v="3"/>
    <x v="1"/>
    <x v="9"/>
    <x v="141"/>
    <x v="0"/>
    <x v="3"/>
  </r>
  <r>
    <d v="2023-04-05T19:53:38"/>
    <x v="0"/>
    <x v="457"/>
    <x v="1"/>
    <x v="2"/>
    <x v="0"/>
    <x v="0"/>
    <x v="0"/>
    <x v="0"/>
    <n v="5"/>
    <x v="1"/>
    <x v="1"/>
    <x v="9"/>
    <x v="253"/>
    <x v="0"/>
    <x v="5"/>
  </r>
  <r>
    <d v="2023-04-05T19:54:53"/>
    <x v="0"/>
    <x v="458"/>
    <x v="0"/>
    <x v="4"/>
    <x v="0"/>
    <x v="0"/>
    <x v="0"/>
    <x v="0"/>
    <n v="8"/>
    <x v="3"/>
    <x v="2"/>
    <x v="19"/>
    <x v="254"/>
    <x v="1"/>
    <x v="22"/>
  </r>
  <r>
    <d v="2023-04-05T19:55:27"/>
    <x v="0"/>
    <x v="362"/>
    <x v="0"/>
    <x v="3"/>
    <x v="0"/>
    <x v="0"/>
    <x v="0"/>
    <x v="0"/>
    <n v="1"/>
    <x v="5"/>
    <x v="0"/>
    <x v="9"/>
    <x v="141"/>
    <x v="0"/>
    <x v="1"/>
  </r>
  <r>
    <d v="2023-04-05T19:56:31"/>
    <x v="5"/>
    <x v="459"/>
    <x v="0"/>
    <x v="2"/>
    <x v="0"/>
    <x v="0"/>
    <x v="1"/>
    <x v="1"/>
    <n v="10"/>
    <x v="6"/>
    <x v="2"/>
    <x v="10"/>
    <x v="255"/>
    <x v="0"/>
    <x v="11"/>
  </r>
  <r>
    <d v="2023-04-05T20:13:51"/>
    <x v="0"/>
    <x v="460"/>
    <x v="0"/>
    <x v="3"/>
    <x v="0"/>
    <x v="0"/>
    <x v="1"/>
    <x v="0"/>
    <n v="4"/>
    <x v="3"/>
    <x v="2"/>
    <x v="19"/>
    <x v="256"/>
    <x v="2"/>
    <x v="6"/>
  </r>
  <r>
    <d v="2023-04-05T20:20:52"/>
    <x v="0"/>
    <x v="461"/>
    <x v="1"/>
    <x v="0"/>
    <x v="0"/>
    <x v="0"/>
    <x v="0"/>
    <x v="0"/>
    <n v="5"/>
    <x v="5"/>
    <x v="1"/>
    <x v="19"/>
    <x v="109"/>
    <x v="0"/>
    <x v="11"/>
  </r>
  <r>
    <d v="2023-04-05T20:21:56"/>
    <x v="0"/>
    <x v="307"/>
    <x v="0"/>
    <x v="2"/>
    <x v="2"/>
    <x v="0"/>
    <x v="0"/>
    <x v="0"/>
    <n v="5"/>
    <x v="6"/>
    <x v="2"/>
    <x v="9"/>
    <x v="257"/>
    <x v="0"/>
    <x v="3"/>
  </r>
  <r>
    <d v="2023-04-05T20:22:32"/>
    <x v="0"/>
    <x v="462"/>
    <x v="0"/>
    <x v="4"/>
    <x v="2"/>
    <x v="1"/>
    <x v="0"/>
    <x v="1"/>
    <n v="4"/>
    <x v="6"/>
    <x v="1"/>
    <x v="9"/>
    <x v="161"/>
    <x v="1"/>
    <x v="1"/>
  </r>
  <r>
    <d v="2023-04-05T20:24:05"/>
    <x v="0"/>
    <x v="463"/>
    <x v="1"/>
    <x v="4"/>
    <x v="1"/>
    <x v="3"/>
    <x v="0"/>
    <x v="1"/>
    <n v="4"/>
    <x v="5"/>
    <x v="2"/>
    <x v="22"/>
    <x v="258"/>
    <x v="2"/>
    <x v="7"/>
  </r>
  <r>
    <d v="2023-04-05T20:25:44"/>
    <x v="0"/>
    <x v="422"/>
    <x v="0"/>
    <x v="3"/>
    <x v="0"/>
    <x v="1"/>
    <x v="1"/>
    <x v="0"/>
    <n v="7"/>
    <x v="6"/>
    <x v="2"/>
    <x v="19"/>
    <x v="129"/>
    <x v="0"/>
    <x v="1"/>
  </r>
  <r>
    <d v="2023-04-05T20:29:20"/>
    <x v="0"/>
    <x v="464"/>
    <x v="1"/>
    <x v="4"/>
    <x v="2"/>
    <x v="0"/>
    <x v="0"/>
    <x v="1"/>
    <n v="5"/>
    <x v="3"/>
    <x v="1"/>
    <x v="19"/>
    <x v="239"/>
    <x v="0"/>
    <x v="1"/>
  </r>
  <r>
    <d v="2023-04-05T20:29:48"/>
    <x v="5"/>
    <x v="465"/>
    <x v="0"/>
    <x v="1"/>
    <x v="1"/>
    <x v="1"/>
    <x v="0"/>
    <x v="0"/>
    <n v="7"/>
    <x v="1"/>
    <x v="1"/>
    <x v="11"/>
    <x v="259"/>
    <x v="0"/>
    <x v="7"/>
  </r>
  <r>
    <d v="2023-04-05T20:31:09"/>
    <x v="0"/>
    <x v="360"/>
    <x v="0"/>
    <x v="0"/>
    <x v="2"/>
    <x v="0"/>
    <x v="0"/>
    <x v="0"/>
    <n v="4"/>
    <x v="6"/>
    <x v="1"/>
    <x v="9"/>
    <x v="197"/>
    <x v="0"/>
    <x v="1"/>
  </r>
  <r>
    <d v="2023-04-05T20:32:36"/>
    <x v="0"/>
    <x v="466"/>
    <x v="0"/>
    <x v="4"/>
    <x v="0"/>
    <x v="0"/>
    <x v="1"/>
    <x v="0"/>
    <n v="2"/>
    <x v="3"/>
    <x v="2"/>
    <x v="17"/>
    <x v="199"/>
    <x v="1"/>
    <x v="2"/>
  </r>
  <r>
    <d v="2023-04-05T20:36:00"/>
    <x v="0"/>
    <x v="467"/>
    <x v="0"/>
    <x v="0"/>
    <x v="2"/>
    <x v="0"/>
    <x v="0"/>
    <x v="0"/>
    <n v="5"/>
    <x v="1"/>
    <x v="1"/>
    <x v="11"/>
    <x v="260"/>
    <x v="2"/>
    <x v="1"/>
  </r>
  <r>
    <d v="2023-04-05T20:38:46"/>
    <x v="0"/>
    <x v="468"/>
    <x v="1"/>
    <x v="0"/>
    <x v="0"/>
    <x v="0"/>
    <x v="0"/>
    <x v="0"/>
    <n v="4"/>
    <x v="6"/>
    <x v="1"/>
    <x v="7"/>
    <x v="109"/>
    <x v="0"/>
    <x v="3"/>
  </r>
  <r>
    <d v="2023-04-05T20:45:17"/>
    <x v="0"/>
    <x v="307"/>
    <x v="1"/>
    <x v="4"/>
    <x v="1"/>
    <x v="0"/>
    <x v="0"/>
    <x v="0"/>
    <n v="5"/>
    <x v="6"/>
    <x v="1"/>
    <x v="11"/>
    <x v="143"/>
    <x v="1"/>
    <x v="4"/>
  </r>
  <r>
    <d v="2023-04-05T20:45:18"/>
    <x v="0"/>
    <x v="307"/>
    <x v="0"/>
    <x v="4"/>
    <x v="1"/>
    <x v="0"/>
    <x v="0"/>
    <x v="0"/>
    <n v="5"/>
    <x v="1"/>
    <x v="3"/>
    <x v="18"/>
    <x v="174"/>
    <x v="0"/>
    <x v="4"/>
  </r>
  <r>
    <d v="2023-04-05T20:54:23"/>
    <x v="0"/>
    <x v="294"/>
    <x v="0"/>
    <x v="3"/>
    <x v="0"/>
    <x v="0"/>
    <x v="0"/>
    <x v="0"/>
    <n v="6"/>
    <x v="6"/>
    <x v="0"/>
    <x v="19"/>
    <x v="261"/>
    <x v="0"/>
    <x v="22"/>
  </r>
  <r>
    <d v="2023-04-05T21:00:35"/>
    <x v="0"/>
    <x v="14"/>
    <x v="0"/>
    <x v="4"/>
    <x v="0"/>
    <x v="0"/>
    <x v="0"/>
    <x v="0"/>
    <n v="5"/>
    <x v="6"/>
    <x v="0"/>
    <x v="7"/>
    <x v="128"/>
    <x v="0"/>
    <x v="1"/>
  </r>
  <r>
    <d v="2023-04-05T21:00:49"/>
    <x v="0"/>
    <x v="469"/>
    <x v="1"/>
    <x v="2"/>
    <x v="0"/>
    <x v="0"/>
    <x v="0"/>
    <x v="0"/>
    <n v="7"/>
    <x v="1"/>
    <x v="1"/>
    <x v="6"/>
    <x v="224"/>
    <x v="0"/>
    <x v="1"/>
  </r>
  <r>
    <d v="2023-04-05T21:05:13"/>
    <x v="0"/>
    <x v="470"/>
    <x v="1"/>
    <x v="3"/>
    <x v="1"/>
    <x v="0"/>
    <x v="0"/>
    <x v="0"/>
    <n v="1"/>
    <x v="5"/>
    <x v="2"/>
    <x v="10"/>
    <x v="172"/>
    <x v="4"/>
    <x v="4"/>
  </r>
  <r>
    <d v="2023-04-05T21:05:35"/>
    <x v="0"/>
    <x v="471"/>
    <x v="0"/>
    <x v="4"/>
    <x v="2"/>
    <x v="3"/>
    <x v="0"/>
    <x v="0"/>
    <n v="1"/>
    <x v="3"/>
    <x v="1"/>
    <x v="9"/>
    <x v="181"/>
    <x v="0"/>
    <x v="1"/>
  </r>
  <r>
    <d v="2023-04-05T21:06:32"/>
    <x v="0"/>
    <x v="472"/>
    <x v="1"/>
    <x v="4"/>
    <x v="0"/>
    <x v="3"/>
    <x v="0"/>
    <x v="0"/>
    <n v="2"/>
    <x v="3"/>
    <x v="4"/>
    <x v="14"/>
    <x v="262"/>
    <x v="3"/>
    <x v="11"/>
  </r>
  <r>
    <d v="2023-04-05T21:08:47"/>
    <x v="0"/>
    <x v="473"/>
    <x v="1"/>
    <x v="1"/>
    <x v="1"/>
    <x v="0"/>
    <x v="0"/>
    <x v="0"/>
    <n v="2"/>
    <x v="5"/>
    <x v="0"/>
    <x v="8"/>
    <x v="111"/>
    <x v="0"/>
    <x v="3"/>
  </r>
  <r>
    <d v="2023-04-05T21:08:50"/>
    <x v="0"/>
    <x v="363"/>
    <x v="0"/>
    <x v="3"/>
    <x v="1"/>
    <x v="1"/>
    <x v="1"/>
    <x v="1"/>
    <n v="3"/>
    <x v="6"/>
    <x v="3"/>
    <x v="24"/>
    <x v="263"/>
    <x v="1"/>
    <x v="1"/>
  </r>
  <r>
    <d v="2023-04-05T21:09:36"/>
    <x v="0"/>
    <x v="474"/>
    <x v="1"/>
    <x v="4"/>
    <x v="0"/>
    <x v="1"/>
    <x v="0"/>
    <x v="0"/>
    <n v="1"/>
    <x v="6"/>
    <x v="1"/>
    <x v="17"/>
    <x v="264"/>
    <x v="2"/>
    <x v="3"/>
  </r>
  <r>
    <d v="2023-04-05T21:12:33"/>
    <x v="0"/>
    <x v="475"/>
    <x v="1"/>
    <x v="4"/>
    <x v="2"/>
    <x v="1"/>
    <x v="1"/>
    <x v="0"/>
    <n v="5"/>
    <x v="3"/>
    <x v="2"/>
    <x v="14"/>
    <x v="183"/>
    <x v="1"/>
    <x v="1"/>
  </r>
  <r>
    <d v="2023-04-05T21:13:46"/>
    <x v="0"/>
    <x v="476"/>
    <x v="1"/>
    <x v="4"/>
    <x v="1"/>
    <x v="0"/>
    <x v="1"/>
    <x v="1"/>
    <n v="1"/>
    <x v="1"/>
    <x v="1"/>
    <x v="20"/>
    <x v="265"/>
    <x v="0"/>
    <x v="1"/>
  </r>
  <r>
    <d v="2023-04-05T21:17:29"/>
    <x v="0"/>
    <x v="477"/>
    <x v="1"/>
    <x v="4"/>
    <x v="0"/>
    <x v="0"/>
    <x v="0"/>
    <x v="0"/>
    <n v="5"/>
    <x v="1"/>
    <x v="1"/>
    <x v="11"/>
    <x v="132"/>
    <x v="0"/>
    <x v="1"/>
  </r>
  <r>
    <d v="2023-04-05T21:19:13"/>
    <x v="0"/>
    <x v="478"/>
    <x v="0"/>
    <x v="3"/>
    <x v="1"/>
    <x v="0"/>
    <x v="0"/>
    <x v="0"/>
    <n v="6"/>
    <x v="1"/>
    <x v="1"/>
    <x v="7"/>
    <x v="266"/>
    <x v="0"/>
    <x v="1"/>
  </r>
  <r>
    <d v="2023-04-05T21:19:41"/>
    <x v="0"/>
    <x v="63"/>
    <x v="0"/>
    <x v="4"/>
    <x v="1"/>
    <x v="0"/>
    <x v="0"/>
    <x v="0"/>
    <n v="7"/>
    <x v="6"/>
    <x v="1"/>
    <x v="6"/>
    <x v="172"/>
    <x v="3"/>
    <x v="5"/>
  </r>
  <r>
    <d v="2023-04-05T21:23:46"/>
    <x v="0"/>
    <x v="479"/>
    <x v="0"/>
    <x v="2"/>
    <x v="0"/>
    <x v="3"/>
    <x v="0"/>
    <x v="1"/>
    <n v="3"/>
    <x v="0"/>
    <x v="4"/>
    <x v="13"/>
    <x v="267"/>
    <x v="1"/>
    <x v="0"/>
  </r>
  <r>
    <d v="2023-04-05T21:28:29"/>
    <x v="0"/>
    <x v="480"/>
    <x v="0"/>
    <x v="1"/>
    <x v="0"/>
    <x v="3"/>
    <x v="1"/>
    <x v="1"/>
    <n v="5"/>
    <x v="6"/>
    <x v="3"/>
    <x v="21"/>
    <x v="164"/>
    <x v="0"/>
    <x v="4"/>
  </r>
  <r>
    <d v="2023-04-05T21:29:01"/>
    <x v="0"/>
    <x v="481"/>
    <x v="0"/>
    <x v="4"/>
    <x v="0"/>
    <x v="1"/>
    <x v="1"/>
    <x v="1"/>
    <n v="9"/>
    <x v="3"/>
    <x v="1"/>
    <x v="6"/>
    <x v="174"/>
    <x v="2"/>
    <x v="1"/>
  </r>
  <r>
    <d v="2023-04-05T21:30:57"/>
    <x v="0"/>
    <x v="482"/>
    <x v="0"/>
    <x v="3"/>
    <x v="2"/>
    <x v="0"/>
    <x v="1"/>
    <x v="1"/>
    <n v="5"/>
    <x v="0"/>
    <x v="0"/>
    <x v="25"/>
    <x v="140"/>
    <x v="1"/>
    <x v="1"/>
  </r>
  <r>
    <d v="2023-04-05T21:32:17"/>
    <x v="0"/>
    <x v="374"/>
    <x v="1"/>
    <x v="0"/>
    <x v="2"/>
    <x v="1"/>
    <x v="0"/>
    <x v="0"/>
    <n v="2"/>
    <x v="1"/>
    <x v="2"/>
    <x v="6"/>
    <x v="222"/>
    <x v="0"/>
    <x v="14"/>
  </r>
  <r>
    <d v="2023-04-05T21:32:20"/>
    <x v="0"/>
    <x v="483"/>
    <x v="1"/>
    <x v="4"/>
    <x v="1"/>
    <x v="0"/>
    <x v="0"/>
    <x v="0"/>
    <n v="5"/>
    <x v="5"/>
    <x v="1"/>
    <x v="8"/>
    <x v="231"/>
    <x v="1"/>
    <x v="15"/>
  </r>
  <r>
    <d v="2023-04-05T21:35:53"/>
    <x v="0"/>
    <x v="385"/>
    <x v="0"/>
    <x v="4"/>
    <x v="0"/>
    <x v="1"/>
    <x v="1"/>
    <x v="1"/>
    <n v="1"/>
    <x v="6"/>
    <x v="2"/>
    <x v="18"/>
    <x v="268"/>
    <x v="1"/>
    <x v="6"/>
  </r>
  <r>
    <d v="2023-04-05T21:36:14"/>
    <x v="0"/>
    <x v="14"/>
    <x v="0"/>
    <x v="3"/>
    <x v="1"/>
    <x v="0"/>
    <x v="0"/>
    <x v="0"/>
    <n v="4"/>
    <x v="6"/>
    <x v="0"/>
    <x v="15"/>
    <x v="269"/>
    <x v="0"/>
    <x v="2"/>
  </r>
  <r>
    <d v="2023-04-05T21:37:17"/>
    <x v="0"/>
    <x v="484"/>
    <x v="0"/>
    <x v="1"/>
    <x v="0"/>
    <x v="1"/>
    <x v="1"/>
    <x v="0"/>
    <n v="5"/>
    <x v="0"/>
    <x v="2"/>
    <x v="18"/>
    <x v="108"/>
    <x v="0"/>
    <x v="19"/>
  </r>
  <r>
    <d v="2023-04-05T21:37:31"/>
    <x v="0"/>
    <x v="14"/>
    <x v="1"/>
    <x v="4"/>
    <x v="1"/>
    <x v="0"/>
    <x v="0"/>
    <x v="0"/>
    <n v="5"/>
    <x v="1"/>
    <x v="1"/>
    <x v="9"/>
    <x v="270"/>
    <x v="0"/>
    <x v="1"/>
  </r>
  <r>
    <d v="2023-04-05T21:39:31"/>
    <x v="0"/>
    <x v="485"/>
    <x v="1"/>
    <x v="3"/>
    <x v="2"/>
    <x v="0"/>
    <x v="0"/>
    <x v="0"/>
    <n v="10"/>
    <x v="5"/>
    <x v="1"/>
    <x v="6"/>
    <x v="271"/>
    <x v="1"/>
    <x v="1"/>
  </r>
  <r>
    <d v="2023-04-05T21:40:25"/>
    <x v="0"/>
    <x v="295"/>
    <x v="1"/>
    <x v="4"/>
    <x v="2"/>
    <x v="1"/>
    <x v="1"/>
    <x v="0"/>
    <n v="6"/>
    <x v="0"/>
    <x v="2"/>
    <x v="19"/>
    <x v="207"/>
    <x v="0"/>
    <x v="5"/>
  </r>
  <r>
    <d v="2023-04-05T21:41:33"/>
    <x v="0"/>
    <x v="486"/>
    <x v="1"/>
    <x v="0"/>
    <x v="0"/>
    <x v="1"/>
    <x v="0"/>
    <x v="0"/>
    <n v="7"/>
    <x v="5"/>
    <x v="1"/>
    <x v="9"/>
    <x v="272"/>
    <x v="0"/>
    <x v="11"/>
  </r>
  <r>
    <d v="2023-04-05T21:41:57"/>
    <x v="0"/>
    <x v="487"/>
    <x v="0"/>
    <x v="4"/>
    <x v="1"/>
    <x v="3"/>
    <x v="0"/>
    <x v="0"/>
    <n v="1"/>
    <x v="1"/>
    <x v="0"/>
    <x v="9"/>
    <x v="170"/>
    <x v="2"/>
    <x v="14"/>
  </r>
  <r>
    <d v="2023-04-05T21:42:09"/>
    <x v="0"/>
    <x v="427"/>
    <x v="0"/>
    <x v="4"/>
    <x v="0"/>
    <x v="1"/>
    <x v="1"/>
    <x v="1"/>
    <n v="10"/>
    <x v="3"/>
    <x v="4"/>
    <x v="23"/>
    <x v="273"/>
    <x v="1"/>
    <x v="18"/>
  </r>
  <r>
    <d v="2023-04-05T21:43:18"/>
    <x v="0"/>
    <x v="488"/>
    <x v="1"/>
    <x v="3"/>
    <x v="0"/>
    <x v="0"/>
    <x v="0"/>
    <x v="0"/>
    <n v="2"/>
    <x v="6"/>
    <x v="0"/>
    <x v="24"/>
    <x v="96"/>
    <x v="0"/>
    <x v="7"/>
  </r>
  <r>
    <d v="2023-04-05T21:44:25"/>
    <x v="0"/>
    <x v="489"/>
    <x v="0"/>
    <x v="0"/>
    <x v="0"/>
    <x v="0"/>
    <x v="0"/>
    <x v="0"/>
    <n v="6"/>
    <x v="5"/>
    <x v="0"/>
    <x v="18"/>
    <x v="274"/>
    <x v="0"/>
    <x v="1"/>
  </r>
  <r>
    <d v="2023-04-05T21:45:01"/>
    <x v="0"/>
    <x v="307"/>
    <x v="1"/>
    <x v="2"/>
    <x v="2"/>
    <x v="0"/>
    <x v="0"/>
    <x v="0"/>
    <n v="5"/>
    <x v="3"/>
    <x v="1"/>
    <x v="6"/>
    <x v="181"/>
    <x v="1"/>
    <x v="7"/>
  </r>
  <r>
    <d v="2023-04-05T21:45:54"/>
    <x v="0"/>
    <x v="327"/>
    <x v="1"/>
    <x v="4"/>
    <x v="0"/>
    <x v="1"/>
    <x v="0"/>
    <x v="0"/>
    <n v="5"/>
    <x v="3"/>
    <x v="1"/>
    <x v="19"/>
    <x v="141"/>
    <x v="1"/>
    <x v="1"/>
  </r>
  <r>
    <d v="2023-04-05T21:47:32"/>
    <x v="0"/>
    <x v="475"/>
    <x v="1"/>
    <x v="3"/>
    <x v="0"/>
    <x v="1"/>
    <x v="0"/>
    <x v="0"/>
    <n v="6"/>
    <x v="3"/>
    <x v="0"/>
    <x v="23"/>
    <x v="198"/>
    <x v="1"/>
    <x v="7"/>
  </r>
  <r>
    <d v="2023-04-05T21:51:49"/>
    <x v="0"/>
    <x v="490"/>
    <x v="1"/>
    <x v="4"/>
    <x v="0"/>
    <x v="1"/>
    <x v="1"/>
    <x v="1"/>
    <n v="6"/>
    <x v="3"/>
    <x v="0"/>
    <x v="9"/>
    <x v="275"/>
    <x v="1"/>
    <x v="6"/>
  </r>
  <r>
    <d v="2023-04-05T21:55:03"/>
    <x v="0"/>
    <x v="491"/>
    <x v="0"/>
    <x v="2"/>
    <x v="0"/>
    <x v="0"/>
    <x v="0"/>
    <x v="0"/>
    <n v="5"/>
    <x v="1"/>
    <x v="0"/>
    <x v="6"/>
    <x v="276"/>
    <x v="0"/>
    <x v="1"/>
  </r>
  <r>
    <d v="2023-04-05T21:55:40"/>
    <x v="0"/>
    <x v="427"/>
    <x v="0"/>
    <x v="2"/>
    <x v="0"/>
    <x v="0"/>
    <x v="0"/>
    <x v="0"/>
    <n v="5"/>
    <x v="1"/>
    <x v="0"/>
    <x v="9"/>
    <x v="173"/>
    <x v="0"/>
    <x v="14"/>
  </r>
  <r>
    <d v="2023-04-05T21:55:43"/>
    <x v="0"/>
    <x v="100"/>
    <x v="0"/>
    <x v="4"/>
    <x v="2"/>
    <x v="0"/>
    <x v="1"/>
    <x v="0"/>
    <n v="6"/>
    <x v="0"/>
    <x v="1"/>
    <x v="9"/>
    <x v="174"/>
    <x v="2"/>
    <x v="1"/>
  </r>
  <r>
    <d v="2023-04-05T22:05:22"/>
    <x v="0"/>
    <x v="89"/>
    <x v="0"/>
    <x v="2"/>
    <x v="2"/>
    <x v="0"/>
    <x v="0"/>
    <x v="0"/>
    <n v="5"/>
    <x v="0"/>
    <x v="2"/>
    <x v="13"/>
    <x v="139"/>
    <x v="0"/>
    <x v="16"/>
  </r>
  <r>
    <d v="2023-04-05T22:06:07"/>
    <x v="0"/>
    <x v="492"/>
    <x v="1"/>
    <x v="0"/>
    <x v="2"/>
    <x v="1"/>
    <x v="0"/>
    <x v="0"/>
    <n v="1"/>
    <x v="6"/>
    <x v="1"/>
    <x v="11"/>
    <x v="277"/>
    <x v="0"/>
    <x v="7"/>
  </r>
  <r>
    <d v="2023-04-05T22:08:43"/>
    <x v="0"/>
    <x v="490"/>
    <x v="0"/>
    <x v="3"/>
    <x v="1"/>
    <x v="0"/>
    <x v="0"/>
    <x v="0"/>
    <n v="8"/>
    <x v="1"/>
    <x v="1"/>
    <x v="7"/>
    <x v="200"/>
    <x v="1"/>
    <x v="1"/>
  </r>
  <r>
    <d v="2023-04-05T22:18:04"/>
    <x v="0"/>
    <x v="382"/>
    <x v="0"/>
    <x v="0"/>
    <x v="2"/>
    <x v="1"/>
    <x v="0"/>
    <x v="0"/>
    <n v="2"/>
    <x v="5"/>
    <x v="1"/>
    <x v="18"/>
    <x v="278"/>
    <x v="0"/>
    <x v="1"/>
  </r>
  <r>
    <d v="2023-04-05T22:28:31"/>
    <x v="0"/>
    <x v="493"/>
    <x v="0"/>
    <x v="3"/>
    <x v="1"/>
    <x v="1"/>
    <x v="0"/>
    <x v="0"/>
    <n v="10"/>
    <x v="3"/>
    <x v="4"/>
    <x v="24"/>
    <x v="124"/>
    <x v="1"/>
    <x v="6"/>
  </r>
  <r>
    <d v="2023-04-05T22:33:36"/>
    <x v="0"/>
    <x v="393"/>
    <x v="0"/>
    <x v="0"/>
    <x v="2"/>
    <x v="1"/>
    <x v="1"/>
    <x v="1"/>
    <n v="10"/>
    <x v="1"/>
    <x v="1"/>
    <x v="10"/>
    <x v="105"/>
    <x v="2"/>
    <x v="9"/>
  </r>
  <r>
    <d v="2023-04-05T22:38:40"/>
    <x v="0"/>
    <x v="274"/>
    <x v="0"/>
    <x v="4"/>
    <x v="1"/>
    <x v="1"/>
    <x v="1"/>
    <x v="1"/>
    <n v="2"/>
    <x v="6"/>
    <x v="2"/>
    <x v="6"/>
    <x v="279"/>
    <x v="0"/>
    <x v="3"/>
  </r>
  <r>
    <d v="2023-04-05T22:39:17"/>
    <x v="0"/>
    <x v="63"/>
    <x v="1"/>
    <x v="0"/>
    <x v="0"/>
    <x v="0"/>
    <x v="1"/>
    <x v="0"/>
    <n v="6"/>
    <x v="0"/>
    <x v="2"/>
    <x v="17"/>
    <x v="280"/>
    <x v="0"/>
    <x v="4"/>
  </r>
  <r>
    <d v="2023-04-05T22:39:29"/>
    <x v="0"/>
    <x v="494"/>
    <x v="0"/>
    <x v="3"/>
    <x v="0"/>
    <x v="0"/>
    <x v="0"/>
    <x v="0"/>
    <n v="5"/>
    <x v="5"/>
    <x v="1"/>
    <x v="8"/>
    <x v="111"/>
    <x v="0"/>
    <x v="0"/>
  </r>
  <r>
    <d v="2023-04-05T22:43:05"/>
    <x v="0"/>
    <x v="495"/>
    <x v="1"/>
    <x v="2"/>
    <x v="1"/>
    <x v="0"/>
    <x v="1"/>
    <x v="0"/>
    <n v="3"/>
    <x v="6"/>
    <x v="1"/>
    <x v="16"/>
    <x v="281"/>
    <x v="3"/>
    <x v="1"/>
  </r>
  <r>
    <d v="2023-04-05T22:45:37"/>
    <x v="0"/>
    <x v="63"/>
    <x v="1"/>
    <x v="0"/>
    <x v="0"/>
    <x v="3"/>
    <x v="1"/>
    <x v="0"/>
    <n v="4"/>
    <x v="5"/>
    <x v="0"/>
    <x v="10"/>
    <x v="282"/>
    <x v="0"/>
    <x v="1"/>
  </r>
  <r>
    <d v="2023-04-05T22:58:05"/>
    <x v="0"/>
    <x v="79"/>
    <x v="1"/>
    <x v="0"/>
    <x v="1"/>
    <x v="0"/>
    <x v="1"/>
    <x v="0"/>
    <n v="3"/>
    <x v="0"/>
    <x v="1"/>
    <x v="15"/>
    <x v="283"/>
    <x v="0"/>
    <x v="6"/>
  </r>
  <r>
    <d v="2023-04-05T22:59:03"/>
    <x v="0"/>
    <x v="295"/>
    <x v="0"/>
    <x v="4"/>
    <x v="2"/>
    <x v="0"/>
    <x v="1"/>
    <x v="1"/>
    <n v="8"/>
    <x v="6"/>
    <x v="0"/>
    <x v="19"/>
    <x v="284"/>
    <x v="1"/>
    <x v="5"/>
  </r>
  <r>
    <d v="2023-04-05T23:09:24"/>
    <x v="0"/>
    <x v="496"/>
    <x v="1"/>
    <x v="2"/>
    <x v="0"/>
    <x v="0"/>
    <x v="0"/>
    <x v="0"/>
    <n v="5"/>
    <x v="1"/>
    <x v="0"/>
    <x v="13"/>
    <x v="109"/>
    <x v="0"/>
    <x v="3"/>
  </r>
  <r>
    <d v="2023-04-05T23:11:57"/>
    <x v="0"/>
    <x v="360"/>
    <x v="0"/>
    <x v="4"/>
    <x v="2"/>
    <x v="0"/>
    <x v="1"/>
    <x v="1"/>
    <n v="10"/>
    <x v="5"/>
    <x v="1"/>
    <x v="11"/>
    <x v="141"/>
    <x v="0"/>
    <x v="7"/>
  </r>
  <r>
    <d v="2023-04-05T23:17:53"/>
    <x v="0"/>
    <x v="360"/>
    <x v="1"/>
    <x v="4"/>
    <x v="2"/>
    <x v="3"/>
    <x v="0"/>
    <x v="0"/>
    <n v="1"/>
    <x v="6"/>
    <x v="1"/>
    <x v="8"/>
    <x v="285"/>
    <x v="0"/>
    <x v="12"/>
  </r>
  <r>
    <d v="2023-04-05T23:30:22"/>
    <x v="0"/>
    <x v="497"/>
    <x v="0"/>
    <x v="2"/>
    <x v="0"/>
    <x v="0"/>
    <x v="1"/>
    <x v="0"/>
    <n v="8"/>
    <x v="5"/>
    <x v="1"/>
    <x v="6"/>
    <x v="286"/>
    <x v="1"/>
    <x v="3"/>
  </r>
  <r>
    <d v="2023-04-05T23:30:32"/>
    <x v="0"/>
    <x v="215"/>
    <x v="0"/>
    <x v="3"/>
    <x v="2"/>
    <x v="1"/>
    <x v="0"/>
    <x v="1"/>
    <n v="10"/>
    <x v="6"/>
    <x v="0"/>
    <x v="11"/>
    <x v="174"/>
    <x v="3"/>
    <x v="7"/>
  </r>
  <r>
    <d v="2023-04-06T00:04:27"/>
    <x v="0"/>
    <x v="497"/>
    <x v="0"/>
    <x v="4"/>
    <x v="0"/>
    <x v="1"/>
    <x v="1"/>
    <x v="1"/>
    <n v="8"/>
    <x v="1"/>
    <x v="1"/>
    <x v="11"/>
    <x v="124"/>
    <x v="0"/>
    <x v="3"/>
  </r>
  <r>
    <d v="2023-04-06T00:04:59"/>
    <x v="0"/>
    <x v="302"/>
    <x v="0"/>
    <x v="4"/>
    <x v="0"/>
    <x v="0"/>
    <x v="0"/>
    <x v="0"/>
    <n v="5"/>
    <x v="0"/>
    <x v="2"/>
    <x v="7"/>
    <x v="287"/>
    <x v="0"/>
    <x v="4"/>
  </r>
  <r>
    <d v="2023-04-06T00:05:02"/>
    <x v="0"/>
    <x v="498"/>
    <x v="0"/>
    <x v="0"/>
    <x v="0"/>
    <x v="0"/>
    <x v="1"/>
    <x v="0"/>
    <n v="7"/>
    <x v="3"/>
    <x v="2"/>
    <x v="17"/>
    <x v="288"/>
    <x v="0"/>
    <x v="21"/>
  </r>
  <r>
    <d v="2023-04-06T00:16:44"/>
    <x v="0"/>
    <x v="274"/>
    <x v="1"/>
    <x v="4"/>
    <x v="1"/>
    <x v="0"/>
    <x v="1"/>
    <x v="0"/>
    <n v="6"/>
    <x v="5"/>
    <x v="1"/>
    <x v="13"/>
    <x v="264"/>
    <x v="0"/>
    <x v="4"/>
  </r>
  <r>
    <d v="2023-04-06T00:30:28"/>
    <x v="0"/>
    <x v="499"/>
    <x v="1"/>
    <x v="4"/>
    <x v="2"/>
    <x v="0"/>
    <x v="0"/>
    <x v="0"/>
    <n v="1"/>
    <x v="1"/>
    <x v="1"/>
    <x v="9"/>
    <x v="186"/>
    <x v="0"/>
    <x v="2"/>
  </r>
  <r>
    <d v="2023-04-06T00:46:18"/>
    <x v="0"/>
    <x v="302"/>
    <x v="1"/>
    <x v="4"/>
    <x v="0"/>
    <x v="0"/>
    <x v="0"/>
    <x v="0"/>
    <n v="5"/>
    <x v="5"/>
    <x v="1"/>
    <x v="7"/>
    <x v="201"/>
    <x v="0"/>
    <x v="7"/>
  </r>
  <r>
    <d v="2023-04-06T01:35:24"/>
    <x v="5"/>
    <x v="500"/>
    <x v="1"/>
    <x v="0"/>
    <x v="0"/>
    <x v="0"/>
    <x v="1"/>
    <x v="0"/>
    <n v="7"/>
    <x v="0"/>
    <x v="1"/>
    <x v="15"/>
    <x v="127"/>
    <x v="0"/>
    <x v="6"/>
  </r>
  <r>
    <d v="2023-04-06T01:52:42"/>
    <x v="0"/>
    <x v="501"/>
    <x v="0"/>
    <x v="0"/>
    <x v="0"/>
    <x v="0"/>
    <x v="0"/>
    <x v="1"/>
    <n v="8"/>
    <x v="3"/>
    <x v="1"/>
    <x v="16"/>
    <x v="230"/>
    <x v="0"/>
    <x v="3"/>
  </r>
  <r>
    <d v="2023-04-06T02:36:15"/>
    <x v="0"/>
    <x v="502"/>
    <x v="0"/>
    <x v="0"/>
    <x v="0"/>
    <x v="1"/>
    <x v="0"/>
    <x v="0"/>
    <n v="5"/>
    <x v="1"/>
    <x v="1"/>
    <x v="15"/>
    <x v="243"/>
    <x v="0"/>
    <x v="11"/>
  </r>
  <r>
    <d v="2023-04-06T04:12:07"/>
    <x v="0"/>
    <x v="503"/>
    <x v="0"/>
    <x v="2"/>
    <x v="0"/>
    <x v="1"/>
    <x v="1"/>
    <x v="1"/>
    <n v="10"/>
    <x v="3"/>
    <x v="1"/>
    <x v="9"/>
    <x v="289"/>
    <x v="0"/>
    <x v="1"/>
  </r>
  <r>
    <d v="2023-04-06T05:37:00"/>
    <x v="0"/>
    <x v="504"/>
    <x v="1"/>
    <x v="1"/>
    <x v="1"/>
    <x v="1"/>
    <x v="0"/>
    <x v="0"/>
    <n v="1"/>
    <x v="1"/>
    <x v="2"/>
    <x v="25"/>
    <x v="290"/>
    <x v="1"/>
    <x v="6"/>
  </r>
  <r>
    <d v="2023-04-06T05:54:47"/>
    <x v="0"/>
    <x v="505"/>
    <x v="0"/>
    <x v="3"/>
    <x v="0"/>
    <x v="1"/>
    <x v="0"/>
    <x v="1"/>
    <n v="6"/>
    <x v="6"/>
    <x v="1"/>
    <x v="11"/>
    <x v="291"/>
    <x v="0"/>
    <x v="0"/>
  </r>
  <r>
    <d v="2023-04-06T06:00:31"/>
    <x v="3"/>
    <x v="506"/>
    <x v="0"/>
    <x v="1"/>
    <x v="0"/>
    <x v="1"/>
    <x v="0"/>
    <x v="0"/>
    <n v="6"/>
    <x v="1"/>
    <x v="1"/>
    <x v="22"/>
    <x v="111"/>
    <x v="0"/>
    <x v="3"/>
  </r>
  <r>
    <d v="2023-04-06T06:02:33"/>
    <x v="0"/>
    <x v="507"/>
    <x v="0"/>
    <x v="1"/>
    <x v="2"/>
    <x v="1"/>
    <x v="0"/>
    <x v="0"/>
    <n v="7"/>
    <x v="6"/>
    <x v="1"/>
    <x v="11"/>
    <x v="239"/>
    <x v="0"/>
    <x v="1"/>
  </r>
  <r>
    <d v="2023-04-06T06:10:37"/>
    <x v="0"/>
    <x v="8"/>
    <x v="0"/>
    <x v="2"/>
    <x v="1"/>
    <x v="0"/>
    <x v="0"/>
    <x v="0"/>
    <n v="5"/>
    <x v="6"/>
    <x v="2"/>
    <x v="11"/>
    <x v="239"/>
    <x v="0"/>
    <x v="3"/>
  </r>
  <r>
    <d v="2023-04-06T07:09:17"/>
    <x v="0"/>
    <x v="508"/>
    <x v="0"/>
    <x v="0"/>
    <x v="0"/>
    <x v="0"/>
    <x v="0"/>
    <x v="0"/>
    <n v="10"/>
    <x v="1"/>
    <x v="2"/>
    <x v="20"/>
    <x v="292"/>
    <x v="4"/>
    <x v="3"/>
  </r>
  <r>
    <d v="2023-04-06T07:31:20"/>
    <x v="0"/>
    <x v="63"/>
    <x v="0"/>
    <x v="3"/>
    <x v="0"/>
    <x v="3"/>
    <x v="1"/>
    <x v="0"/>
    <n v="5"/>
    <x v="0"/>
    <x v="0"/>
    <x v="14"/>
    <x v="280"/>
    <x v="2"/>
    <x v="4"/>
  </r>
  <r>
    <d v="2023-04-06T07:51:55"/>
    <x v="0"/>
    <x v="509"/>
    <x v="1"/>
    <x v="3"/>
    <x v="0"/>
    <x v="0"/>
    <x v="0"/>
    <x v="0"/>
    <n v="5"/>
    <x v="3"/>
    <x v="1"/>
    <x v="6"/>
    <x v="198"/>
    <x v="0"/>
    <x v="1"/>
  </r>
  <r>
    <d v="2023-04-06T08:06:04"/>
    <x v="0"/>
    <x v="510"/>
    <x v="0"/>
    <x v="4"/>
    <x v="0"/>
    <x v="0"/>
    <x v="0"/>
    <x v="0"/>
    <n v="4"/>
    <x v="1"/>
    <x v="1"/>
    <x v="21"/>
    <x v="293"/>
    <x v="1"/>
    <x v="1"/>
  </r>
  <r>
    <d v="2023-04-06T08:52:41"/>
    <x v="0"/>
    <x v="306"/>
    <x v="0"/>
    <x v="2"/>
    <x v="2"/>
    <x v="1"/>
    <x v="1"/>
    <x v="0"/>
    <n v="7"/>
    <x v="1"/>
    <x v="1"/>
    <x v="6"/>
    <x v="294"/>
    <x v="0"/>
    <x v="3"/>
  </r>
  <r>
    <d v="2023-04-06T09:00:39"/>
    <x v="0"/>
    <x v="494"/>
    <x v="0"/>
    <x v="2"/>
    <x v="0"/>
    <x v="1"/>
    <x v="0"/>
    <x v="0"/>
    <n v="4"/>
    <x v="6"/>
    <x v="2"/>
    <x v="18"/>
    <x v="141"/>
    <x v="0"/>
    <x v="7"/>
  </r>
  <r>
    <d v="2023-04-06T09:08:24"/>
    <x v="0"/>
    <x v="511"/>
    <x v="0"/>
    <x v="4"/>
    <x v="0"/>
    <x v="0"/>
    <x v="0"/>
    <x v="0"/>
    <n v="9"/>
    <x v="1"/>
    <x v="0"/>
    <x v="12"/>
    <x v="295"/>
    <x v="2"/>
    <x v="1"/>
  </r>
  <r>
    <d v="2023-04-06T09:20:29"/>
    <x v="0"/>
    <x v="512"/>
    <x v="1"/>
    <x v="1"/>
    <x v="2"/>
    <x v="0"/>
    <x v="0"/>
    <x v="0"/>
    <n v="6"/>
    <x v="6"/>
    <x v="1"/>
    <x v="10"/>
    <x v="180"/>
    <x v="0"/>
    <x v="1"/>
  </r>
  <r>
    <d v="2023-04-06T09:51:53"/>
    <x v="0"/>
    <x v="382"/>
    <x v="1"/>
    <x v="2"/>
    <x v="1"/>
    <x v="0"/>
    <x v="1"/>
    <x v="1"/>
    <n v="6"/>
    <x v="0"/>
    <x v="2"/>
    <x v="9"/>
    <x v="111"/>
    <x v="0"/>
    <x v="5"/>
  </r>
  <r>
    <d v="2023-04-06T09:54:17"/>
    <x v="0"/>
    <x v="382"/>
    <x v="0"/>
    <x v="0"/>
    <x v="1"/>
    <x v="0"/>
    <x v="0"/>
    <x v="1"/>
    <n v="10"/>
    <x v="6"/>
    <x v="1"/>
    <x v="17"/>
    <x v="296"/>
    <x v="0"/>
    <x v="11"/>
  </r>
  <r>
    <d v="2023-04-06T10:00:46"/>
    <x v="0"/>
    <x v="100"/>
    <x v="0"/>
    <x v="1"/>
    <x v="0"/>
    <x v="1"/>
    <x v="1"/>
    <x v="0"/>
    <n v="1"/>
    <x v="1"/>
    <x v="1"/>
    <x v="22"/>
    <x v="109"/>
    <x v="3"/>
    <x v="7"/>
  </r>
  <r>
    <d v="2023-04-06T10:02:25"/>
    <x v="0"/>
    <x v="382"/>
    <x v="1"/>
    <x v="0"/>
    <x v="1"/>
    <x v="0"/>
    <x v="0"/>
    <x v="0"/>
    <n v="2"/>
    <x v="6"/>
    <x v="0"/>
    <x v="19"/>
    <x v="297"/>
    <x v="3"/>
    <x v="6"/>
  </r>
  <r>
    <d v="2023-04-06T10:18:54"/>
    <x v="0"/>
    <x v="74"/>
    <x v="0"/>
    <x v="2"/>
    <x v="0"/>
    <x v="0"/>
    <x v="0"/>
    <x v="0"/>
    <n v="6"/>
    <x v="1"/>
    <x v="1"/>
    <x v="17"/>
    <x v="298"/>
    <x v="1"/>
    <x v="1"/>
  </r>
  <r>
    <d v="2023-04-06T10:21:19"/>
    <x v="0"/>
    <x v="513"/>
    <x v="0"/>
    <x v="4"/>
    <x v="2"/>
    <x v="1"/>
    <x v="1"/>
    <x v="0"/>
    <n v="4"/>
    <x v="1"/>
    <x v="0"/>
    <x v="21"/>
    <x v="156"/>
    <x v="2"/>
    <x v="2"/>
  </r>
  <r>
    <d v="2023-04-06T10:25:48"/>
    <x v="0"/>
    <x v="514"/>
    <x v="0"/>
    <x v="3"/>
    <x v="1"/>
    <x v="1"/>
    <x v="0"/>
    <x v="0"/>
    <n v="1"/>
    <x v="6"/>
    <x v="1"/>
    <x v="7"/>
    <x v="299"/>
    <x v="1"/>
    <x v="7"/>
  </r>
  <r>
    <d v="2023-04-06T10:27:47"/>
    <x v="0"/>
    <x v="515"/>
    <x v="0"/>
    <x v="1"/>
    <x v="0"/>
    <x v="1"/>
    <x v="0"/>
    <x v="0"/>
    <n v="9"/>
    <x v="5"/>
    <x v="2"/>
    <x v="7"/>
    <x v="155"/>
    <x v="2"/>
    <x v="1"/>
  </r>
  <r>
    <d v="2023-04-06T10:37:28"/>
    <x v="0"/>
    <x v="515"/>
    <x v="0"/>
    <x v="4"/>
    <x v="0"/>
    <x v="1"/>
    <x v="0"/>
    <x v="0"/>
    <n v="3"/>
    <x v="6"/>
    <x v="1"/>
    <x v="9"/>
    <x v="114"/>
    <x v="0"/>
    <x v="1"/>
  </r>
  <r>
    <d v="2023-04-06T10:42:17"/>
    <x v="0"/>
    <x v="63"/>
    <x v="1"/>
    <x v="1"/>
    <x v="0"/>
    <x v="1"/>
    <x v="0"/>
    <x v="0"/>
    <n v="3"/>
    <x v="0"/>
    <x v="2"/>
    <x v="10"/>
    <x v="300"/>
    <x v="2"/>
    <x v="3"/>
  </r>
  <r>
    <d v="2023-04-06T10:50:21"/>
    <x v="0"/>
    <x v="516"/>
    <x v="0"/>
    <x v="3"/>
    <x v="0"/>
    <x v="1"/>
    <x v="1"/>
    <x v="1"/>
    <n v="9"/>
    <x v="0"/>
    <x v="0"/>
    <x v="10"/>
    <x v="301"/>
    <x v="2"/>
    <x v="4"/>
  </r>
  <r>
    <d v="2023-04-06T10:56:20"/>
    <x v="0"/>
    <x v="517"/>
    <x v="1"/>
    <x v="3"/>
    <x v="0"/>
    <x v="0"/>
    <x v="1"/>
    <x v="1"/>
    <n v="8"/>
    <x v="0"/>
    <x v="2"/>
    <x v="10"/>
    <x v="249"/>
    <x v="2"/>
    <x v="7"/>
  </r>
  <r>
    <d v="2023-04-06T10:58:11"/>
    <x v="0"/>
    <x v="441"/>
    <x v="1"/>
    <x v="3"/>
    <x v="0"/>
    <x v="1"/>
    <x v="0"/>
    <x v="0"/>
    <n v="5"/>
    <x v="1"/>
    <x v="1"/>
    <x v="7"/>
    <x v="101"/>
    <x v="0"/>
    <x v="3"/>
  </r>
  <r>
    <d v="2023-04-06T11:04:57"/>
    <x v="0"/>
    <x v="518"/>
    <x v="0"/>
    <x v="3"/>
    <x v="0"/>
    <x v="1"/>
    <x v="1"/>
    <x v="1"/>
    <n v="10"/>
    <x v="0"/>
    <x v="2"/>
    <x v="20"/>
    <x v="302"/>
    <x v="1"/>
    <x v="4"/>
  </r>
  <r>
    <d v="2023-04-06T11:11:32"/>
    <x v="0"/>
    <x v="337"/>
    <x v="0"/>
    <x v="4"/>
    <x v="2"/>
    <x v="0"/>
    <x v="1"/>
    <x v="1"/>
    <n v="7"/>
    <x v="3"/>
    <x v="2"/>
    <x v="11"/>
    <x v="303"/>
    <x v="2"/>
    <x v="11"/>
  </r>
  <r>
    <d v="2023-04-06T11:14:32"/>
    <x v="0"/>
    <x v="519"/>
    <x v="1"/>
    <x v="4"/>
    <x v="2"/>
    <x v="1"/>
    <x v="0"/>
    <x v="0"/>
    <n v="1"/>
    <x v="3"/>
    <x v="2"/>
    <x v="16"/>
    <x v="207"/>
    <x v="1"/>
    <x v="1"/>
  </r>
  <r>
    <d v="2023-04-06T11:18:38"/>
    <x v="0"/>
    <x v="520"/>
    <x v="1"/>
    <x v="3"/>
    <x v="1"/>
    <x v="1"/>
    <x v="1"/>
    <x v="1"/>
    <n v="10"/>
    <x v="0"/>
    <x v="2"/>
    <x v="10"/>
    <x v="304"/>
    <x v="2"/>
    <x v="4"/>
  </r>
  <r>
    <d v="2023-04-06T11:26:19"/>
    <x v="0"/>
    <x v="521"/>
    <x v="0"/>
    <x v="4"/>
    <x v="0"/>
    <x v="0"/>
    <x v="0"/>
    <x v="0"/>
    <n v="8"/>
    <x v="5"/>
    <x v="2"/>
    <x v="9"/>
    <x v="305"/>
    <x v="2"/>
    <x v="2"/>
  </r>
  <r>
    <d v="2023-04-06T11:32:06"/>
    <x v="0"/>
    <x v="307"/>
    <x v="0"/>
    <x v="2"/>
    <x v="0"/>
    <x v="3"/>
    <x v="0"/>
    <x v="0"/>
    <n v="1"/>
    <x v="0"/>
    <x v="0"/>
    <x v="8"/>
    <x v="306"/>
    <x v="0"/>
    <x v="1"/>
  </r>
  <r>
    <d v="2023-04-06T11:40:41"/>
    <x v="0"/>
    <x v="522"/>
    <x v="0"/>
    <x v="4"/>
    <x v="0"/>
    <x v="0"/>
    <x v="1"/>
    <x v="0"/>
    <n v="8"/>
    <x v="5"/>
    <x v="2"/>
    <x v="9"/>
    <x v="243"/>
    <x v="2"/>
    <x v="1"/>
  </r>
  <r>
    <d v="2023-04-06T11:41:15"/>
    <x v="0"/>
    <x v="523"/>
    <x v="0"/>
    <x v="4"/>
    <x v="0"/>
    <x v="1"/>
    <x v="0"/>
    <x v="0"/>
    <n v="5"/>
    <x v="5"/>
    <x v="1"/>
    <x v="17"/>
    <x v="239"/>
    <x v="3"/>
    <x v="4"/>
  </r>
  <r>
    <d v="2023-04-06T11:43:13"/>
    <x v="0"/>
    <x v="515"/>
    <x v="0"/>
    <x v="3"/>
    <x v="0"/>
    <x v="1"/>
    <x v="0"/>
    <x v="0"/>
    <n v="1"/>
    <x v="1"/>
    <x v="1"/>
    <x v="6"/>
    <x v="109"/>
    <x v="0"/>
    <x v="7"/>
  </r>
  <r>
    <d v="2023-04-06T11:48:57"/>
    <x v="0"/>
    <x v="524"/>
    <x v="1"/>
    <x v="2"/>
    <x v="2"/>
    <x v="1"/>
    <x v="0"/>
    <x v="0"/>
    <n v="2"/>
    <x v="6"/>
    <x v="2"/>
    <x v="9"/>
    <x v="197"/>
    <x v="2"/>
    <x v="3"/>
  </r>
  <r>
    <d v="2023-04-06T11:51:35"/>
    <x v="0"/>
    <x v="525"/>
    <x v="1"/>
    <x v="0"/>
    <x v="0"/>
    <x v="0"/>
    <x v="0"/>
    <x v="0"/>
    <n v="4"/>
    <x v="6"/>
    <x v="0"/>
    <x v="11"/>
    <x v="132"/>
    <x v="0"/>
    <x v="7"/>
  </r>
  <r>
    <d v="2023-04-06T11:59:04"/>
    <x v="0"/>
    <x v="515"/>
    <x v="0"/>
    <x v="4"/>
    <x v="1"/>
    <x v="1"/>
    <x v="0"/>
    <x v="0"/>
    <n v="6"/>
    <x v="6"/>
    <x v="0"/>
    <x v="6"/>
    <x v="147"/>
    <x v="0"/>
    <x v="11"/>
  </r>
  <r>
    <d v="2023-04-06T12:11:22"/>
    <x v="0"/>
    <x v="526"/>
    <x v="0"/>
    <x v="4"/>
    <x v="2"/>
    <x v="1"/>
    <x v="0"/>
    <x v="0"/>
    <n v="1"/>
    <x v="3"/>
    <x v="1"/>
    <x v="13"/>
    <x v="307"/>
    <x v="1"/>
    <x v="3"/>
  </r>
  <r>
    <d v="2023-04-06T12:13:36"/>
    <x v="0"/>
    <x v="527"/>
    <x v="0"/>
    <x v="1"/>
    <x v="2"/>
    <x v="1"/>
    <x v="0"/>
    <x v="0"/>
    <n v="6"/>
    <x v="6"/>
    <x v="1"/>
    <x v="10"/>
    <x v="308"/>
    <x v="0"/>
    <x v="0"/>
  </r>
  <r>
    <d v="2023-04-06T12:25:59"/>
    <x v="0"/>
    <x v="528"/>
    <x v="1"/>
    <x v="4"/>
    <x v="1"/>
    <x v="0"/>
    <x v="0"/>
    <x v="0"/>
    <n v="4"/>
    <x v="6"/>
    <x v="1"/>
    <x v="9"/>
    <x v="114"/>
    <x v="0"/>
    <x v="3"/>
  </r>
  <r>
    <d v="2023-04-06T12:30:58"/>
    <x v="0"/>
    <x v="529"/>
    <x v="1"/>
    <x v="1"/>
    <x v="1"/>
    <x v="0"/>
    <x v="0"/>
    <x v="0"/>
    <n v="9"/>
    <x v="1"/>
    <x v="1"/>
    <x v="9"/>
    <x v="245"/>
    <x v="1"/>
    <x v="14"/>
  </r>
  <r>
    <d v="2023-04-06T12:39:44"/>
    <x v="0"/>
    <x v="530"/>
    <x v="0"/>
    <x v="1"/>
    <x v="2"/>
    <x v="0"/>
    <x v="0"/>
    <x v="1"/>
    <n v="9"/>
    <x v="1"/>
    <x v="0"/>
    <x v="14"/>
    <x v="146"/>
    <x v="1"/>
    <x v="1"/>
  </r>
  <r>
    <d v="2023-04-06T12:43:20"/>
    <x v="0"/>
    <x v="520"/>
    <x v="1"/>
    <x v="0"/>
    <x v="2"/>
    <x v="0"/>
    <x v="1"/>
    <x v="1"/>
    <n v="7"/>
    <x v="6"/>
    <x v="0"/>
    <x v="8"/>
    <x v="309"/>
    <x v="1"/>
    <x v="6"/>
  </r>
  <r>
    <d v="2023-04-06T12:44:14"/>
    <x v="0"/>
    <x v="531"/>
    <x v="0"/>
    <x v="0"/>
    <x v="0"/>
    <x v="0"/>
    <x v="0"/>
    <x v="0"/>
    <n v="7"/>
    <x v="5"/>
    <x v="1"/>
    <x v="9"/>
    <x v="310"/>
    <x v="1"/>
    <x v="4"/>
  </r>
  <r>
    <d v="2023-04-06T12:44:58"/>
    <x v="0"/>
    <x v="532"/>
    <x v="0"/>
    <x v="4"/>
    <x v="1"/>
    <x v="0"/>
    <x v="1"/>
    <x v="1"/>
    <n v="7"/>
    <x v="1"/>
    <x v="2"/>
    <x v="24"/>
    <x v="311"/>
    <x v="0"/>
    <x v="6"/>
  </r>
  <r>
    <d v="2023-04-06T12:55:10"/>
    <x v="0"/>
    <x v="306"/>
    <x v="1"/>
    <x v="3"/>
    <x v="2"/>
    <x v="0"/>
    <x v="0"/>
    <x v="0"/>
    <n v="3"/>
    <x v="1"/>
    <x v="1"/>
    <x v="7"/>
    <x v="111"/>
    <x v="0"/>
    <x v="3"/>
  </r>
  <r>
    <d v="2023-04-06T12:55:17"/>
    <x v="0"/>
    <x v="533"/>
    <x v="0"/>
    <x v="4"/>
    <x v="1"/>
    <x v="0"/>
    <x v="0"/>
    <x v="0"/>
    <n v="5"/>
    <x v="1"/>
    <x v="1"/>
    <x v="11"/>
    <x v="312"/>
    <x v="0"/>
    <x v="1"/>
  </r>
  <r>
    <d v="2023-04-06T12:57:28"/>
    <x v="0"/>
    <x v="83"/>
    <x v="0"/>
    <x v="1"/>
    <x v="1"/>
    <x v="0"/>
    <x v="0"/>
    <x v="0"/>
    <n v="1"/>
    <x v="6"/>
    <x v="1"/>
    <x v="18"/>
    <x v="313"/>
    <x v="1"/>
    <x v="8"/>
  </r>
  <r>
    <d v="2023-04-06T12:58:42"/>
    <x v="0"/>
    <x v="83"/>
    <x v="0"/>
    <x v="4"/>
    <x v="1"/>
    <x v="0"/>
    <x v="0"/>
    <x v="0"/>
    <n v="3"/>
    <x v="1"/>
    <x v="1"/>
    <x v="15"/>
    <x v="314"/>
    <x v="1"/>
    <x v="4"/>
  </r>
  <r>
    <d v="2023-04-06T13:14:09"/>
    <x v="0"/>
    <x v="534"/>
    <x v="0"/>
    <x v="3"/>
    <x v="1"/>
    <x v="0"/>
    <x v="1"/>
    <x v="1"/>
    <n v="9"/>
    <x v="1"/>
    <x v="3"/>
    <x v="22"/>
    <x v="315"/>
    <x v="0"/>
    <x v="1"/>
  </r>
  <r>
    <d v="2023-04-06T13:29:22"/>
    <x v="0"/>
    <x v="163"/>
    <x v="0"/>
    <x v="1"/>
    <x v="0"/>
    <x v="0"/>
    <x v="0"/>
    <x v="0"/>
    <n v="5"/>
    <x v="0"/>
    <x v="1"/>
    <x v="6"/>
    <x v="111"/>
    <x v="0"/>
    <x v="1"/>
  </r>
  <r>
    <d v="2023-04-06T13:35:59"/>
    <x v="0"/>
    <x v="526"/>
    <x v="0"/>
    <x v="1"/>
    <x v="0"/>
    <x v="1"/>
    <x v="0"/>
    <x v="0"/>
    <n v="8"/>
    <x v="1"/>
    <x v="1"/>
    <x v="14"/>
    <x v="316"/>
    <x v="0"/>
    <x v="3"/>
  </r>
  <r>
    <d v="2023-04-06T13:39:21"/>
    <x v="0"/>
    <x v="492"/>
    <x v="1"/>
    <x v="0"/>
    <x v="1"/>
    <x v="0"/>
    <x v="0"/>
    <x v="0"/>
    <n v="5"/>
    <x v="6"/>
    <x v="0"/>
    <x v="8"/>
    <x v="317"/>
    <x v="0"/>
    <x v="18"/>
  </r>
  <r>
    <d v="2023-04-06T13:47:20"/>
    <x v="0"/>
    <x v="535"/>
    <x v="0"/>
    <x v="3"/>
    <x v="0"/>
    <x v="1"/>
    <x v="1"/>
    <x v="0"/>
    <n v="9"/>
    <x v="1"/>
    <x v="1"/>
    <x v="19"/>
    <x v="318"/>
    <x v="1"/>
    <x v="4"/>
  </r>
  <r>
    <d v="2023-04-06T13:50:52"/>
    <x v="0"/>
    <x v="536"/>
    <x v="1"/>
    <x v="3"/>
    <x v="0"/>
    <x v="1"/>
    <x v="0"/>
    <x v="0"/>
    <n v="5"/>
    <x v="3"/>
    <x v="1"/>
    <x v="8"/>
    <x v="319"/>
    <x v="1"/>
    <x v="4"/>
  </r>
  <r>
    <d v="2023-04-06T13:52:45"/>
    <x v="0"/>
    <x v="537"/>
    <x v="1"/>
    <x v="4"/>
    <x v="2"/>
    <x v="1"/>
    <x v="0"/>
    <x v="0"/>
    <n v="7"/>
    <x v="5"/>
    <x v="2"/>
    <x v="10"/>
    <x v="251"/>
    <x v="1"/>
    <x v="4"/>
  </r>
  <r>
    <d v="2023-04-06T13:57:31"/>
    <x v="0"/>
    <x v="538"/>
    <x v="0"/>
    <x v="4"/>
    <x v="0"/>
    <x v="1"/>
    <x v="1"/>
    <x v="1"/>
    <n v="3"/>
    <x v="3"/>
    <x v="2"/>
    <x v="9"/>
    <x v="320"/>
    <x v="3"/>
    <x v="1"/>
  </r>
  <r>
    <d v="2023-04-06T14:00:40"/>
    <x v="0"/>
    <x v="539"/>
    <x v="0"/>
    <x v="0"/>
    <x v="0"/>
    <x v="1"/>
    <x v="0"/>
    <x v="1"/>
    <n v="8"/>
    <x v="0"/>
    <x v="2"/>
    <x v="9"/>
    <x v="179"/>
    <x v="1"/>
    <x v="3"/>
  </r>
  <r>
    <d v="2023-04-06T14:24:13"/>
    <x v="0"/>
    <x v="264"/>
    <x v="0"/>
    <x v="3"/>
    <x v="1"/>
    <x v="0"/>
    <x v="0"/>
    <x v="0"/>
    <n v="6"/>
    <x v="1"/>
    <x v="1"/>
    <x v="8"/>
    <x v="224"/>
    <x v="0"/>
    <x v="3"/>
  </r>
  <r>
    <d v="2023-04-06T14:32:56"/>
    <x v="0"/>
    <x v="540"/>
    <x v="0"/>
    <x v="4"/>
    <x v="2"/>
    <x v="1"/>
    <x v="0"/>
    <x v="0"/>
    <n v="5"/>
    <x v="6"/>
    <x v="0"/>
    <x v="7"/>
    <x v="143"/>
    <x v="2"/>
    <x v="0"/>
  </r>
  <r>
    <d v="2023-04-06T14:33:32"/>
    <x v="0"/>
    <x v="264"/>
    <x v="0"/>
    <x v="3"/>
    <x v="0"/>
    <x v="1"/>
    <x v="0"/>
    <x v="0"/>
    <n v="5"/>
    <x v="3"/>
    <x v="1"/>
    <x v="9"/>
    <x v="233"/>
    <x v="0"/>
    <x v="3"/>
  </r>
  <r>
    <d v="2023-04-06T14:33:37"/>
    <x v="0"/>
    <x v="306"/>
    <x v="0"/>
    <x v="1"/>
    <x v="1"/>
    <x v="0"/>
    <x v="0"/>
    <x v="1"/>
    <n v="5"/>
    <x v="0"/>
    <x v="1"/>
    <x v="8"/>
    <x v="321"/>
    <x v="3"/>
    <x v="22"/>
  </r>
  <r>
    <d v="2023-04-06T14:49:00"/>
    <x v="0"/>
    <x v="264"/>
    <x v="0"/>
    <x v="3"/>
    <x v="2"/>
    <x v="1"/>
    <x v="0"/>
    <x v="1"/>
    <n v="6"/>
    <x v="5"/>
    <x v="2"/>
    <x v="7"/>
    <x v="153"/>
    <x v="3"/>
    <x v="3"/>
  </r>
  <r>
    <d v="2023-04-06T14:49:18"/>
    <x v="0"/>
    <x v="541"/>
    <x v="1"/>
    <x v="0"/>
    <x v="2"/>
    <x v="0"/>
    <x v="0"/>
    <x v="0"/>
    <n v="10"/>
    <x v="1"/>
    <x v="2"/>
    <x v="9"/>
    <x v="174"/>
    <x v="2"/>
    <x v="0"/>
  </r>
  <r>
    <d v="2023-04-06T14:49:19"/>
    <x v="0"/>
    <x v="393"/>
    <x v="0"/>
    <x v="1"/>
    <x v="2"/>
    <x v="1"/>
    <x v="0"/>
    <x v="0"/>
    <n v="5"/>
    <x v="5"/>
    <x v="0"/>
    <x v="8"/>
    <x v="141"/>
    <x v="0"/>
    <x v="4"/>
  </r>
  <r>
    <d v="2023-04-06T15:02:02"/>
    <x v="0"/>
    <x v="225"/>
    <x v="0"/>
    <x v="4"/>
    <x v="2"/>
    <x v="1"/>
    <x v="0"/>
    <x v="1"/>
    <n v="7"/>
    <x v="3"/>
    <x v="1"/>
    <x v="10"/>
    <x v="289"/>
    <x v="4"/>
    <x v="3"/>
  </r>
  <r>
    <d v="2023-04-06T15:05:43"/>
    <x v="0"/>
    <x v="393"/>
    <x v="0"/>
    <x v="2"/>
    <x v="2"/>
    <x v="1"/>
    <x v="1"/>
    <x v="0"/>
    <n v="5"/>
    <x v="1"/>
    <x v="1"/>
    <x v="16"/>
    <x v="322"/>
    <x v="1"/>
    <x v="3"/>
  </r>
  <r>
    <d v="2023-04-06T15:23:49"/>
    <x v="0"/>
    <x v="360"/>
    <x v="1"/>
    <x v="0"/>
    <x v="0"/>
    <x v="3"/>
    <x v="0"/>
    <x v="0"/>
    <n v="3"/>
    <x v="6"/>
    <x v="0"/>
    <x v="10"/>
    <x v="323"/>
    <x v="3"/>
    <x v="1"/>
  </r>
  <r>
    <d v="2023-04-06T15:33:51"/>
    <x v="1"/>
    <x v="542"/>
    <x v="0"/>
    <x v="4"/>
    <x v="0"/>
    <x v="3"/>
    <x v="1"/>
    <x v="0"/>
    <n v="8"/>
    <x v="1"/>
    <x v="2"/>
    <x v="8"/>
    <x v="256"/>
    <x v="2"/>
    <x v="1"/>
  </r>
  <r>
    <d v="2023-04-06T15:34:15"/>
    <x v="0"/>
    <x v="543"/>
    <x v="0"/>
    <x v="4"/>
    <x v="0"/>
    <x v="0"/>
    <x v="0"/>
    <x v="0"/>
    <n v="5"/>
    <x v="1"/>
    <x v="2"/>
    <x v="14"/>
    <x v="217"/>
    <x v="2"/>
    <x v="12"/>
  </r>
  <r>
    <d v="2023-04-06T15:34:55"/>
    <x v="0"/>
    <x v="497"/>
    <x v="0"/>
    <x v="0"/>
    <x v="0"/>
    <x v="1"/>
    <x v="1"/>
    <x v="1"/>
    <n v="10"/>
    <x v="5"/>
    <x v="2"/>
    <x v="9"/>
    <x v="275"/>
    <x v="1"/>
    <x v="7"/>
  </r>
  <r>
    <d v="2023-04-06T15:36:19"/>
    <x v="0"/>
    <x v="544"/>
    <x v="1"/>
    <x v="4"/>
    <x v="2"/>
    <x v="1"/>
    <x v="1"/>
    <x v="0"/>
    <n v="10"/>
    <x v="3"/>
    <x v="1"/>
    <x v="22"/>
    <x v="324"/>
    <x v="0"/>
    <x v="7"/>
  </r>
  <r>
    <d v="2023-04-06T15:36:30"/>
    <x v="0"/>
    <x v="545"/>
    <x v="0"/>
    <x v="3"/>
    <x v="0"/>
    <x v="0"/>
    <x v="0"/>
    <x v="0"/>
    <n v="7"/>
    <x v="1"/>
    <x v="0"/>
    <x v="16"/>
    <x v="325"/>
    <x v="0"/>
    <x v="3"/>
  </r>
  <r>
    <d v="2023-04-06T15:36:46"/>
    <x v="0"/>
    <x v="117"/>
    <x v="1"/>
    <x v="0"/>
    <x v="1"/>
    <x v="0"/>
    <x v="0"/>
    <x v="0"/>
    <n v="5"/>
    <x v="6"/>
    <x v="0"/>
    <x v="9"/>
    <x v="292"/>
    <x v="0"/>
    <x v="2"/>
  </r>
  <r>
    <d v="2023-04-06T15:39:51"/>
    <x v="0"/>
    <x v="546"/>
    <x v="0"/>
    <x v="0"/>
    <x v="1"/>
    <x v="1"/>
    <x v="0"/>
    <x v="0"/>
    <n v="3"/>
    <x v="1"/>
    <x v="1"/>
    <x v="6"/>
    <x v="326"/>
    <x v="0"/>
    <x v="1"/>
  </r>
  <r>
    <d v="2023-04-06T15:42:47"/>
    <x v="0"/>
    <x v="545"/>
    <x v="1"/>
    <x v="3"/>
    <x v="2"/>
    <x v="0"/>
    <x v="1"/>
    <x v="0"/>
    <n v="6"/>
    <x v="5"/>
    <x v="0"/>
    <x v="18"/>
    <x v="112"/>
    <x v="0"/>
    <x v="3"/>
  </r>
  <r>
    <d v="2023-04-06T15:50:34"/>
    <x v="0"/>
    <x v="547"/>
    <x v="0"/>
    <x v="4"/>
    <x v="2"/>
    <x v="0"/>
    <x v="0"/>
    <x v="0"/>
    <n v="5"/>
    <x v="6"/>
    <x v="0"/>
    <x v="9"/>
    <x v="327"/>
    <x v="1"/>
    <x v="7"/>
  </r>
  <r>
    <d v="2023-04-06T16:09:21"/>
    <x v="5"/>
    <x v="548"/>
    <x v="1"/>
    <x v="0"/>
    <x v="0"/>
    <x v="1"/>
    <x v="0"/>
    <x v="0"/>
    <n v="10"/>
    <x v="1"/>
    <x v="2"/>
    <x v="9"/>
    <x v="129"/>
    <x v="0"/>
    <x v="7"/>
  </r>
  <r>
    <d v="2023-04-06T16:15:09"/>
    <x v="0"/>
    <x v="544"/>
    <x v="1"/>
    <x v="2"/>
    <x v="0"/>
    <x v="1"/>
    <x v="1"/>
    <x v="0"/>
    <n v="9"/>
    <x v="6"/>
    <x v="0"/>
    <x v="15"/>
    <x v="276"/>
    <x v="0"/>
    <x v="1"/>
  </r>
  <r>
    <d v="2023-04-06T16:15:48"/>
    <x v="0"/>
    <x v="549"/>
    <x v="0"/>
    <x v="4"/>
    <x v="2"/>
    <x v="0"/>
    <x v="0"/>
    <x v="0"/>
    <n v="5"/>
    <x v="1"/>
    <x v="1"/>
    <x v="7"/>
    <x v="105"/>
    <x v="0"/>
    <x v="3"/>
  </r>
  <r>
    <d v="2023-04-06T16:21:22"/>
    <x v="0"/>
    <x v="497"/>
    <x v="1"/>
    <x v="2"/>
    <x v="2"/>
    <x v="1"/>
    <x v="1"/>
    <x v="0"/>
    <n v="10"/>
    <x v="0"/>
    <x v="0"/>
    <x v="11"/>
    <x v="286"/>
    <x v="1"/>
    <x v="0"/>
  </r>
  <r>
    <d v="2023-04-06T16:26:40"/>
    <x v="0"/>
    <x v="550"/>
    <x v="1"/>
    <x v="0"/>
    <x v="0"/>
    <x v="1"/>
    <x v="1"/>
    <x v="1"/>
    <n v="1"/>
    <x v="3"/>
    <x v="0"/>
    <x v="7"/>
    <x v="161"/>
    <x v="1"/>
    <x v="7"/>
  </r>
  <r>
    <d v="2023-04-06T16:33:29"/>
    <x v="0"/>
    <x v="289"/>
    <x v="0"/>
    <x v="0"/>
    <x v="0"/>
    <x v="1"/>
    <x v="0"/>
    <x v="0"/>
    <n v="5"/>
    <x v="6"/>
    <x v="1"/>
    <x v="11"/>
    <x v="141"/>
    <x v="0"/>
    <x v="4"/>
  </r>
  <r>
    <d v="2023-04-06T17:01:42"/>
    <x v="0"/>
    <x v="63"/>
    <x v="1"/>
    <x v="3"/>
    <x v="0"/>
    <x v="1"/>
    <x v="1"/>
    <x v="1"/>
    <n v="10"/>
    <x v="1"/>
    <x v="0"/>
    <x v="17"/>
    <x v="301"/>
    <x v="0"/>
    <x v="11"/>
  </r>
  <r>
    <d v="2023-04-06T17:07:24"/>
    <x v="0"/>
    <x v="551"/>
    <x v="0"/>
    <x v="4"/>
    <x v="0"/>
    <x v="1"/>
    <x v="1"/>
    <x v="1"/>
    <n v="3"/>
    <x v="5"/>
    <x v="2"/>
    <x v="7"/>
    <x v="328"/>
    <x v="3"/>
    <x v="4"/>
  </r>
  <r>
    <d v="2023-04-06T17:10:00"/>
    <x v="0"/>
    <x v="418"/>
    <x v="1"/>
    <x v="4"/>
    <x v="2"/>
    <x v="0"/>
    <x v="0"/>
    <x v="0"/>
    <n v="2"/>
    <x v="3"/>
    <x v="0"/>
    <x v="6"/>
    <x v="329"/>
    <x v="2"/>
    <x v="1"/>
  </r>
  <r>
    <d v="2023-04-06T17:14:45"/>
    <x v="0"/>
    <x v="289"/>
    <x v="0"/>
    <x v="4"/>
    <x v="1"/>
    <x v="1"/>
    <x v="1"/>
    <x v="1"/>
    <n v="8"/>
    <x v="0"/>
    <x v="1"/>
    <x v="12"/>
    <x v="330"/>
    <x v="2"/>
    <x v="1"/>
  </r>
  <r>
    <d v="2023-04-06T17:24:29"/>
    <x v="0"/>
    <x v="497"/>
    <x v="1"/>
    <x v="0"/>
    <x v="0"/>
    <x v="1"/>
    <x v="1"/>
    <x v="1"/>
    <n v="7"/>
    <x v="3"/>
    <x v="1"/>
    <x v="11"/>
    <x v="331"/>
    <x v="2"/>
    <x v="11"/>
  </r>
  <r>
    <d v="2023-04-06T17:35:25"/>
    <x v="0"/>
    <x v="552"/>
    <x v="0"/>
    <x v="3"/>
    <x v="2"/>
    <x v="0"/>
    <x v="0"/>
    <x v="1"/>
    <n v="3"/>
    <x v="5"/>
    <x v="2"/>
    <x v="9"/>
    <x v="164"/>
    <x v="1"/>
    <x v="7"/>
  </r>
  <r>
    <d v="2023-04-06T17:44:02"/>
    <x v="0"/>
    <x v="473"/>
    <x v="1"/>
    <x v="4"/>
    <x v="2"/>
    <x v="0"/>
    <x v="0"/>
    <x v="0"/>
    <n v="1"/>
    <x v="3"/>
    <x v="2"/>
    <x v="9"/>
    <x v="332"/>
    <x v="1"/>
    <x v="1"/>
  </r>
  <r>
    <d v="2023-04-06T17:53:58"/>
    <x v="0"/>
    <x v="553"/>
    <x v="0"/>
    <x v="0"/>
    <x v="0"/>
    <x v="0"/>
    <x v="0"/>
    <x v="0"/>
    <n v="9"/>
    <x v="3"/>
    <x v="1"/>
    <x v="22"/>
    <x v="220"/>
    <x v="1"/>
    <x v="3"/>
  </r>
  <r>
    <d v="2023-04-06T17:59:45"/>
    <x v="0"/>
    <x v="554"/>
    <x v="0"/>
    <x v="0"/>
    <x v="0"/>
    <x v="0"/>
    <x v="0"/>
    <x v="0"/>
    <n v="1"/>
    <x v="3"/>
    <x v="1"/>
    <x v="19"/>
    <x v="333"/>
    <x v="0"/>
    <x v="6"/>
  </r>
  <r>
    <d v="2023-04-06T18:08:41"/>
    <x v="0"/>
    <x v="306"/>
    <x v="1"/>
    <x v="4"/>
    <x v="2"/>
    <x v="1"/>
    <x v="0"/>
    <x v="0"/>
    <n v="6"/>
    <x v="6"/>
    <x v="1"/>
    <x v="9"/>
    <x v="334"/>
    <x v="3"/>
    <x v="9"/>
  </r>
  <r>
    <d v="2023-04-06T18:12:14"/>
    <x v="0"/>
    <x v="467"/>
    <x v="1"/>
    <x v="0"/>
    <x v="2"/>
    <x v="0"/>
    <x v="0"/>
    <x v="0"/>
    <n v="5"/>
    <x v="0"/>
    <x v="1"/>
    <x v="17"/>
    <x v="335"/>
    <x v="2"/>
    <x v="2"/>
  </r>
  <r>
    <d v="2023-04-06T18:15:00"/>
    <x v="0"/>
    <x v="343"/>
    <x v="0"/>
    <x v="1"/>
    <x v="0"/>
    <x v="0"/>
    <x v="0"/>
    <x v="0"/>
    <n v="10"/>
    <x v="6"/>
    <x v="1"/>
    <x v="17"/>
    <x v="108"/>
    <x v="0"/>
    <x v="21"/>
  </r>
  <r>
    <d v="2023-04-06T18:15:34"/>
    <x v="0"/>
    <x v="555"/>
    <x v="1"/>
    <x v="4"/>
    <x v="2"/>
    <x v="0"/>
    <x v="0"/>
    <x v="0"/>
    <n v="4"/>
    <x v="1"/>
    <x v="1"/>
    <x v="6"/>
    <x v="336"/>
    <x v="0"/>
    <x v="1"/>
  </r>
  <r>
    <d v="2023-04-06T18:16:25"/>
    <x v="0"/>
    <x v="556"/>
    <x v="1"/>
    <x v="1"/>
    <x v="2"/>
    <x v="0"/>
    <x v="0"/>
    <x v="0"/>
    <n v="1"/>
    <x v="3"/>
    <x v="2"/>
    <x v="10"/>
    <x v="101"/>
    <x v="0"/>
    <x v="7"/>
  </r>
  <r>
    <d v="2023-04-06T18:32:41"/>
    <x v="5"/>
    <x v="557"/>
    <x v="0"/>
    <x v="3"/>
    <x v="0"/>
    <x v="1"/>
    <x v="1"/>
    <x v="1"/>
    <n v="10"/>
    <x v="1"/>
    <x v="1"/>
    <x v="14"/>
    <x v="141"/>
    <x v="3"/>
    <x v="4"/>
  </r>
  <r>
    <d v="2023-04-06T18:36:15"/>
    <x v="0"/>
    <x v="467"/>
    <x v="1"/>
    <x v="2"/>
    <x v="1"/>
    <x v="1"/>
    <x v="1"/>
    <x v="1"/>
    <n v="7"/>
    <x v="6"/>
    <x v="2"/>
    <x v="17"/>
    <x v="337"/>
    <x v="1"/>
    <x v="1"/>
  </r>
  <r>
    <d v="2023-04-06T18:37:55"/>
    <x v="0"/>
    <x v="558"/>
    <x v="1"/>
    <x v="2"/>
    <x v="1"/>
    <x v="0"/>
    <x v="0"/>
    <x v="0"/>
    <n v="7"/>
    <x v="1"/>
    <x v="2"/>
    <x v="17"/>
    <x v="141"/>
    <x v="0"/>
    <x v="1"/>
  </r>
  <r>
    <d v="2023-04-06T18:45:46"/>
    <x v="0"/>
    <x v="559"/>
    <x v="1"/>
    <x v="4"/>
    <x v="0"/>
    <x v="0"/>
    <x v="0"/>
    <x v="0"/>
    <n v="6"/>
    <x v="6"/>
    <x v="2"/>
    <x v="20"/>
    <x v="338"/>
    <x v="2"/>
    <x v="3"/>
  </r>
  <r>
    <d v="2023-04-06T18:57:04"/>
    <x v="0"/>
    <x v="560"/>
    <x v="0"/>
    <x v="0"/>
    <x v="2"/>
    <x v="3"/>
    <x v="0"/>
    <x v="0"/>
    <n v="1"/>
    <x v="5"/>
    <x v="1"/>
    <x v="16"/>
    <x v="308"/>
    <x v="1"/>
    <x v="1"/>
  </r>
  <r>
    <d v="2023-04-06T19:07:30"/>
    <x v="0"/>
    <x v="497"/>
    <x v="0"/>
    <x v="0"/>
    <x v="0"/>
    <x v="0"/>
    <x v="0"/>
    <x v="1"/>
    <n v="9"/>
    <x v="1"/>
    <x v="3"/>
    <x v="11"/>
    <x v="339"/>
    <x v="0"/>
    <x v="4"/>
  </r>
  <r>
    <d v="2023-04-06T19:25:34"/>
    <x v="0"/>
    <x v="561"/>
    <x v="0"/>
    <x v="4"/>
    <x v="2"/>
    <x v="0"/>
    <x v="0"/>
    <x v="0"/>
    <n v="1"/>
    <x v="3"/>
    <x v="2"/>
    <x v="15"/>
    <x v="340"/>
    <x v="3"/>
    <x v="3"/>
  </r>
  <r>
    <d v="2023-04-06T19:47:27"/>
    <x v="0"/>
    <x v="562"/>
    <x v="0"/>
    <x v="4"/>
    <x v="2"/>
    <x v="0"/>
    <x v="0"/>
    <x v="0"/>
    <n v="7"/>
    <x v="1"/>
    <x v="1"/>
    <x v="7"/>
    <x v="341"/>
    <x v="2"/>
    <x v="3"/>
  </r>
  <r>
    <d v="2023-04-06T19:52:53"/>
    <x v="0"/>
    <x v="530"/>
    <x v="1"/>
    <x v="4"/>
    <x v="2"/>
    <x v="0"/>
    <x v="0"/>
    <x v="0"/>
    <n v="5"/>
    <x v="3"/>
    <x v="0"/>
    <x v="15"/>
    <x v="325"/>
    <x v="1"/>
    <x v="3"/>
  </r>
  <r>
    <d v="2023-04-06T19:53:44"/>
    <x v="0"/>
    <x v="563"/>
    <x v="0"/>
    <x v="2"/>
    <x v="0"/>
    <x v="0"/>
    <x v="0"/>
    <x v="0"/>
    <n v="9"/>
    <x v="1"/>
    <x v="1"/>
    <x v="11"/>
    <x v="342"/>
    <x v="0"/>
    <x v="8"/>
  </r>
  <r>
    <d v="2023-04-06T19:57:58"/>
    <x v="0"/>
    <x v="564"/>
    <x v="1"/>
    <x v="2"/>
    <x v="0"/>
    <x v="0"/>
    <x v="0"/>
    <x v="1"/>
    <n v="5"/>
    <x v="1"/>
    <x v="1"/>
    <x v="11"/>
    <x v="343"/>
    <x v="0"/>
    <x v="9"/>
  </r>
  <r>
    <d v="2023-04-06T20:03:47"/>
    <x v="0"/>
    <x v="435"/>
    <x v="0"/>
    <x v="0"/>
    <x v="0"/>
    <x v="0"/>
    <x v="0"/>
    <x v="0"/>
    <n v="1"/>
    <x v="6"/>
    <x v="1"/>
    <x v="15"/>
    <x v="188"/>
    <x v="3"/>
    <x v="2"/>
  </r>
  <r>
    <d v="2023-04-06T20:05:05"/>
    <x v="0"/>
    <x v="565"/>
    <x v="0"/>
    <x v="2"/>
    <x v="2"/>
    <x v="1"/>
    <x v="0"/>
    <x v="0"/>
    <n v="7"/>
    <x v="1"/>
    <x v="1"/>
    <x v="9"/>
    <x v="186"/>
    <x v="0"/>
    <x v="2"/>
  </r>
  <r>
    <d v="2023-04-06T20:13:34"/>
    <x v="0"/>
    <x v="566"/>
    <x v="0"/>
    <x v="4"/>
    <x v="2"/>
    <x v="3"/>
    <x v="1"/>
    <x v="1"/>
    <n v="3"/>
    <x v="6"/>
    <x v="3"/>
    <x v="23"/>
    <x v="143"/>
    <x v="3"/>
    <x v="16"/>
  </r>
  <r>
    <d v="2023-04-06T20:20:13"/>
    <x v="0"/>
    <x v="567"/>
    <x v="1"/>
    <x v="0"/>
    <x v="2"/>
    <x v="3"/>
    <x v="1"/>
    <x v="1"/>
    <n v="5"/>
    <x v="0"/>
    <x v="1"/>
    <x v="15"/>
    <x v="96"/>
    <x v="4"/>
    <x v="7"/>
  </r>
  <r>
    <d v="2023-04-06T20:28:16"/>
    <x v="0"/>
    <x v="568"/>
    <x v="0"/>
    <x v="4"/>
    <x v="0"/>
    <x v="0"/>
    <x v="1"/>
    <x v="0"/>
    <n v="5"/>
    <x v="6"/>
    <x v="1"/>
    <x v="8"/>
    <x v="97"/>
    <x v="0"/>
    <x v="15"/>
  </r>
  <r>
    <d v="2023-04-06T20:48:08"/>
    <x v="6"/>
    <x v="569"/>
    <x v="0"/>
    <x v="3"/>
    <x v="0"/>
    <x v="0"/>
    <x v="0"/>
    <x v="1"/>
    <n v="9"/>
    <x v="5"/>
    <x v="1"/>
    <x v="17"/>
    <x v="344"/>
    <x v="0"/>
    <x v="1"/>
  </r>
  <r>
    <d v="2023-04-06T21:10:34"/>
    <x v="0"/>
    <x v="570"/>
    <x v="1"/>
    <x v="0"/>
    <x v="2"/>
    <x v="0"/>
    <x v="0"/>
    <x v="0"/>
    <n v="8"/>
    <x v="3"/>
    <x v="1"/>
    <x v="9"/>
    <x v="124"/>
    <x v="0"/>
    <x v="1"/>
  </r>
  <r>
    <d v="2023-04-06T21:19:00"/>
    <x v="5"/>
    <x v="571"/>
    <x v="1"/>
    <x v="2"/>
    <x v="2"/>
    <x v="1"/>
    <x v="0"/>
    <x v="0"/>
    <n v="1"/>
    <x v="3"/>
    <x v="0"/>
    <x v="11"/>
    <x v="345"/>
    <x v="0"/>
    <x v="4"/>
  </r>
  <r>
    <d v="2023-04-06T21:20:54"/>
    <x v="0"/>
    <x v="572"/>
    <x v="0"/>
    <x v="0"/>
    <x v="2"/>
    <x v="0"/>
    <x v="1"/>
    <x v="1"/>
    <n v="10"/>
    <x v="6"/>
    <x v="1"/>
    <x v="17"/>
    <x v="125"/>
    <x v="0"/>
    <x v="1"/>
  </r>
  <r>
    <d v="2023-04-06T21:33:57"/>
    <x v="0"/>
    <x v="573"/>
    <x v="1"/>
    <x v="2"/>
    <x v="0"/>
    <x v="0"/>
    <x v="1"/>
    <x v="1"/>
    <n v="5"/>
    <x v="5"/>
    <x v="1"/>
    <x v="19"/>
    <x v="188"/>
    <x v="0"/>
    <x v="3"/>
  </r>
  <r>
    <d v="2023-04-06T22:40:53"/>
    <x v="0"/>
    <x v="574"/>
    <x v="0"/>
    <x v="1"/>
    <x v="0"/>
    <x v="1"/>
    <x v="0"/>
    <x v="0"/>
    <n v="1"/>
    <x v="5"/>
    <x v="0"/>
    <x v="7"/>
    <x v="346"/>
    <x v="3"/>
    <x v="4"/>
  </r>
  <r>
    <d v="2023-04-06T22:51:54"/>
    <x v="0"/>
    <x v="575"/>
    <x v="0"/>
    <x v="0"/>
    <x v="0"/>
    <x v="1"/>
    <x v="0"/>
    <x v="0"/>
    <n v="8"/>
    <x v="6"/>
    <x v="2"/>
    <x v="8"/>
    <x v="194"/>
    <x v="0"/>
    <x v="2"/>
  </r>
  <r>
    <d v="2023-04-06T23:37:19"/>
    <x v="0"/>
    <x v="7"/>
    <x v="1"/>
    <x v="4"/>
    <x v="0"/>
    <x v="3"/>
    <x v="0"/>
    <x v="0"/>
    <n v="5"/>
    <x v="1"/>
    <x v="2"/>
    <x v="17"/>
    <x v="347"/>
    <x v="0"/>
    <x v="1"/>
  </r>
  <r>
    <d v="2023-04-07T00:01:58"/>
    <x v="0"/>
    <x v="576"/>
    <x v="1"/>
    <x v="4"/>
    <x v="0"/>
    <x v="0"/>
    <x v="0"/>
    <x v="0"/>
    <n v="8"/>
    <x v="3"/>
    <x v="1"/>
    <x v="18"/>
    <x v="215"/>
    <x v="2"/>
    <x v="1"/>
  </r>
  <r>
    <d v="2023-04-07T00:32:44"/>
    <x v="0"/>
    <x v="577"/>
    <x v="1"/>
    <x v="1"/>
    <x v="2"/>
    <x v="3"/>
    <x v="0"/>
    <x v="0"/>
    <n v="10"/>
    <x v="0"/>
    <x v="0"/>
    <x v="20"/>
    <x v="348"/>
    <x v="0"/>
    <x v="4"/>
  </r>
  <r>
    <d v="2023-04-07T01:24:17"/>
    <x v="0"/>
    <x v="578"/>
    <x v="0"/>
    <x v="0"/>
    <x v="0"/>
    <x v="0"/>
    <x v="0"/>
    <x v="0"/>
    <n v="7"/>
    <x v="0"/>
    <x v="1"/>
    <x v="18"/>
    <x v="96"/>
    <x v="1"/>
    <x v="3"/>
  </r>
  <r>
    <d v="2023-04-07T06:04:27"/>
    <x v="0"/>
    <x v="518"/>
    <x v="0"/>
    <x v="4"/>
    <x v="0"/>
    <x v="1"/>
    <x v="0"/>
    <x v="0"/>
    <n v="8"/>
    <x v="3"/>
    <x v="2"/>
    <x v="9"/>
    <x v="109"/>
    <x v="2"/>
    <x v="1"/>
  </r>
  <r>
    <d v="2023-04-07T06:47:27"/>
    <x v="0"/>
    <x v="579"/>
    <x v="1"/>
    <x v="2"/>
    <x v="0"/>
    <x v="1"/>
    <x v="0"/>
    <x v="0"/>
    <n v="7"/>
    <x v="1"/>
    <x v="1"/>
    <x v="6"/>
    <x v="174"/>
    <x v="0"/>
    <x v="2"/>
  </r>
  <r>
    <d v="2023-04-07T07:28:38"/>
    <x v="0"/>
    <x v="580"/>
    <x v="1"/>
    <x v="3"/>
    <x v="1"/>
    <x v="1"/>
    <x v="0"/>
    <x v="0"/>
    <n v="5"/>
    <x v="5"/>
    <x v="0"/>
    <x v="6"/>
    <x v="337"/>
    <x v="0"/>
    <x v="4"/>
  </r>
  <r>
    <d v="2023-04-07T08:53:59"/>
    <x v="0"/>
    <x v="435"/>
    <x v="1"/>
    <x v="3"/>
    <x v="0"/>
    <x v="0"/>
    <x v="1"/>
    <x v="0"/>
    <n v="6"/>
    <x v="1"/>
    <x v="1"/>
    <x v="7"/>
    <x v="262"/>
    <x v="2"/>
    <x v="5"/>
  </r>
  <r>
    <d v="2023-04-07T08:57:20"/>
    <x v="0"/>
    <x v="346"/>
    <x v="0"/>
    <x v="0"/>
    <x v="2"/>
    <x v="1"/>
    <x v="0"/>
    <x v="0"/>
    <n v="7"/>
    <x v="3"/>
    <x v="1"/>
    <x v="6"/>
    <x v="153"/>
    <x v="2"/>
    <x v="4"/>
  </r>
  <r>
    <d v="2023-04-07T09:08:01"/>
    <x v="0"/>
    <x v="581"/>
    <x v="0"/>
    <x v="0"/>
    <x v="0"/>
    <x v="0"/>
    <x v="0"/>
    <x v="0"/>
    <n v="6"/>
    <x v="6"/>
    <x v="1"/>
    <x v="17"/>
    <x v="345"/>
    <x v="0"/>
    <x v="1"/>
  </r>
  <r>
    <d v="2023-04-07T10:41:23"/>
    <x v="0"/>
    <x v="435"/>
    <x v="0"/>
    <x v="2"/>
    <x v="1"/>
    <x v="1"/>
    <x v="1"/>
    <x v="0"/>
    <n v="9"/>
    <x v="5"/>
    <x v="0"/>
    <x v="15"/>
    <x v="349"/>
    <x v="1"/>
    <x v="3"/>
  </r>
  <r>
    <d v="2023-04-07T10:48:57"/>
    <x v="0"/>
    <x v="304"/>
    <x v="1"/>
    <x v="0"/>
    <x v="0"/>
    <x v="1"/>
    <x v="0"/>
    <x v="0"/>
    <n v="5"/>
    <x v="1"/>
    <x v="1"/>
    <x v="19"/>
    <x v="141"/>
    <x v="0"/>
    <x v="3"/>
  </r>
  <r>
    <d v="2023-04-07T11:10:41"/>
    <x v="0"/>
    <x v="435"/>
    <x v="0"/>
    <x v="4"/>
    <x v="0"/>
    <x v="3"/>
    <x v="1"/>
    <x v="0"/>
    <n v="6"/>
    <x v="5"/>
    <x v="2"/>
    <x v="22"/>
    <x v="350"/>
    <x v="3"/>
    <x v="7"/>
  </r>
  <r>
    <d v="2023-04-07T11:22:17"/>
    <x v="0"/>
    <x v="435"/>
    <x v="0"/>
    <x v="0"/>
    <x v="2"/>
    <x v="0"/>
    <x v="1"/>
    <x v="1"/>
    <n v="8"/>
    <x v="6"/>
    <x v="1"/>
    <x v="9"/>
    <x v="153"/>
    <x v="0"/>
    <x v="4"/>
  </r>
  <r>
    <d v="2023-04-07T12:01:54"/>
    <x v="0"/>
    <x v="582"/>
    <x v="0"/>
    <x v="3"/>
    <x v="2"/>
    <x v="0"/>
    <x v="0"/>
    <x v="0"/>
    <n v="10"/>
    <x v="1"/>
    <x v="1"/>
    <x v="9"/>
    <x v="306"/>
    <x v="0"/>
    <x v="7"/>
  </r>
  <r>
    <d v="2023-04-07T12:14:14"/>
    <x v="0"/>
    <x v="583"/>
    <x v="0"/>
    <x v="3"/>
    <x v="0"/>
    <x v="1"/>
    <x v="0"/>
    <x v="0"/>
    <n v="8"/>
    <x v="1"/>
    <x v="2"/>
    <x v="8"/>
    <x v="351"/>
    <x v="0"/>
    <x v="7"/>
  </r>
  <r>
    <d v="2023-04-07T12:38:25"/>
    <x v="0"/>
    <x v="584"/>
    <x v="0"/>
    <x v="4"/>
    <x v="1"/>
    <x v="3"/>
    <x v="0"/>
    <x v="0"/>
    <n v="2"/>
    <x v="0"/>
    <x v="2"/>
    <x v="8"/>
    <x v="124"/>
    <x v="1"/>
    <x v="7"/>
  </r>
  <r>
    <d v="2023-04-07T16:16:41"/>
    <x v="0"/>
    <x v="545"/>
    <x v="0"/>
    <x v="4"/>
    <x v="1"/>
    <x v="1"/>
    <x v="0"/>
    <x v="0"/>
    <n v="4"/>
    <x v="3"/>
    <x v="2"/>
    <x v="7"/>
    <x v="291"/>
    <x v="1"/>
    <x v="1"/>
  </r>
  <r>
    <d v="2023-04-07T16:17:33"/>
    <x v="0"/>
    <x v="8"/>
    <x v="1"/>
    <x v="4"/>
    <x v="0"/>
    <x v="0"/>
    <x v="0"/>
    <x v="0"/>
    <n v="5"/>
    <x v="6"/>
    <x v="1"/>
    <x v="17"/>
    <x v="109"/>
    <x v="0"/>
    <x v="1"/>
  </r>
  <r>
    <d v="2023-04-07T16:55:35"/>
    <x v="0"/>
    <x v="585"/>
    <x v="0"/>
    <x v="4"/>
    <x v="0"/>
    <x v="0"/>
    <x v="0"/>
    <x v="0"/>
    <n v="1"/>
    <x v="6"/>
    <x v="1"/>
    <x v="8"/>
    <x v="352"/>
    <x v="0"/>
    <x v="7"/>
  </r>
  <r>
    <d v="2023-04-07T17:44:45"/>
    <x v="0"/>
    <x v="586"/>
    <x v="1"/>
    <x v="0"/>
    <x v="2"/>
    <x v="0"/>
    <x v="0"/>
    <x v="0"/>
    <n v="4"/>
    <x v="1"/>
    <x v="2"/>
    <x v="6"/>
    <x v="353"/>
    <x v="0"/>
    <x v="4"/>
  </r>
  <r>
    <d v="2023-04-07T17:50:28"/>
    <x v="0"/>
    <x v="587"/>
    <x v="1"/>
    <x v="4"/>
    <x v="2"/>
    <x v="0"/>
    <x v="0"/>
    <x v="0"/>
    <n v="4"/>
    <x v="1"/>
    <x v="2"/>
    <x v="11"/>
    <x v="95"/>
    <x v="0"/>
    <x v="3"/>
  </r>
  <r>
    <d v="2023-04-07T19:40:12"/>
    <x v="0"/>
    <x v="588"/>
    <x v="1"/>
    <x v="4"/>
    <x v="2"/>
    <x v="0"/>
    <x v="0"/>
    <x v="0"/>
    <n v="5"/>
    <x v="1"/>
    <x v="1"/>
    <x v="7"/>
    <x v="140"/>
    <x v="0"/>
    <x v="3"/>
  </r>
  <r>
    <d v="2023-04-07T19:45:28"/>
    <x v="0"/>
    <x v="589"/>
    <x v="0"/>
    <x v="4"/>
    <x v="2"/>
    <x v="1"/>
    <x v="1"/>
    <x v="1"/>
    <n v="10"/>
    <x v="3"/>
    <x v="2"/>
    <x v="14"/>
    <x v="354"/>
    <x v="1"/>
    <x v="7"/>
  </r>
  <r>
    <d v="2023-04-07T19:46:24"/>
    <x v="0"/>
    <x v="590"/>
    <x v="0"/>
    <x v="0"/>
    <x v="2"/>
    <x v="0"/>
    <x v="0"/>
    <x v="0"/>
    <n v="1"/>
    <x v="0"/>
    <x v="2"/>
    <x v="9"/>
    <x v="156"/>
    <x v="0"/>
    <x v="6"/>
  </r>
  <r>
    <d v="2023-04-07T19:47:51"/>
    <x v="0"/>
    <x v="591"/>
    <x v="1"/>
    <x v="0"/>
    <x v="0"/>
    <x v="0"/>
    <x v="0"/>
    <x v="0"/>
    <n v="6"/>
    <x v="6"/>
    <x v="1"/>
    <x v="11"/>
    <x v="109"/>
    <x v="0"/>
    <x v="1"/>
  </r>
  <r>
    <d v="2023-04-07T19:57:24"/>
    <x v="0"/>
    <x v="592"/>
    <x v="0"/>
    <x v="3"/>
    <x v="0"/>
    <x v="1"/>
    <x v="0"/>
    <x v="1"/>
    <n v="7"/>
    <x v="6"/>
    <x v="1"/>
    <x v="6"/>
    <x v="174"/>
    <x v="0"/>
    <x v="0"/>
  </r>
  <r>
    <d v="2023-04-07T20:00:39"/>
    <x v="0"/>
    <x v="593"/>
    <x v="1"/>
    <x v="4"/>
    <x v="2"/>
    <x v="0"/>
    <x v="0"/>
    <x v="0"/>
    <n v="6"/>
    <x v="6"/>
    <x v="1"/>
    <x v="8"/>
    <x v="155"/>
    <x v="0"/>
    <x v="2"/>
  </r>
  <r>
    <d v="2023-04-07T20:05:04"/>
    <x v="0"/>
    <x v="594"/>
    <x v="0"/>
    <x v="2"/>
    <x v="0"/>
    <x v="0"/>
    <x v="1"/>
    <x v="0"/>
    <n v="10"/>
    <x v="6"/>
    <x v="1"/>
    <x v="19"/>
    <x v="355"/>
    <x v="1"/>
    <x v="0"/>
  </r>
  <r>
    <d v="2023-04-07T20:06:21"/>
    <x v="0"/>
    <x v="385"/>
    <x v="1"/>
    <x v="4"/>
    <x v="1"/>
    <x v="0"/>
    <x v="0"/>
    <x v="0"/>
    <n v="7"/>
    <x v="3"/>
    <x v="1"/>
    <x v="11"/>
    <x v="356"/>
    <x v="1"/>
    <x v="1"/>
  </r>
  <r>
    <d v="2023-04-07T20:16:34"/>
    <x v="0"/>
    <x v="482"/>
    <x v="1"/>
    <x v="3"/>
    <x v="0"/>
    <x v="0"/>
    <x v="0"/>
    <x v="0"/>
    <n v="4"/>
    <x v="3"/>
    <x v="2"/>
    <x v="13"/>
    <x v="170"/>
    <x v="0"/>
    <x v="1"/>
  </r>
  <r>
    <d v="2023-04-07T20:30:34"/>
    <x v="0"/>
    <x v="595"/>
    <x v="0"/>
    <x v="2"/>
    <x v="0"/>
    <x v="1"/>
    <x v="1"/>
    <x v="0"/>
    <n v="6"/>
    <x v="6"/>
    <x v="1"/>
    <x v="11"/>
    <x v="125"/>
    <x v="0"/>
    <x v="15"/>
  </r>
  <r>
    <d v="2023-04-07T20:33:55"/>
    <x v="0"/>
    <x v="596"/>
    <x v="1"/>
    <x v="1"/>
    <x v="0"/>
    <x v="1"/>
    <x v="0"/>
    <x v="0"/>
    <n v="10"/>
    <x v="0"/>
    <x v="4"/>
    <x v="23"/>
    <x v="264"/>
    <x v="4"/>
    <x v="7"/>
  </r>
  <r>
    <d v="2023-04-07T20:45:34"/>
    <x v="0"/>
    <x v="595"/>
    <x v="1"/>
    <x v="0"/>
    <x v="1"/>
    <x v="1"/>
    <x v="1"/>
    <x v="0"/>
    <n v="7"/>
    <x v="5"/>
    <x v="2"/>
    <x v="17"/>
    <x v="357"/>
    <x v="0"/>
    <x v="7"/>
  </r>
  <r>
    <d v="2023-04-07T21:00:32"/>
    <x v="6"/>
    <x v="597"/>
    <x v="0"/>
    <x v="4"/>
    <x v="2"/>
    <x v="0"/>
    <x v="0"/>
    <x v="0"/>
    <n v="5"/>
    <x v="1"/>
    <x v="0"/>
    <x v="9"/>
    <x v="358"/>
    <x v="2"/>
    <x v="3"/>
  </r>
  <r>
    <d v="2023-04-07T21:06:54"/>
    <x v="0"/>
    <x v="598"/>
    <x v="0"/>
    <x v="4"/>
    <x v="2"/>
    <x v="0"/>
    <x v="0"/>
    <x v="0"/>
    <n v="3"/>
    <x v="6"/>
    <x v="1"/>
    <x v="6"/>
    <x v="359"/>
    <x v="2"/>
    <x v="1"/>
  </r>
  <r>
    <d v="2023-04-07T21:17:34"/>
    <x v="0"/>
    <x v="599"/>
    <x v="1"/>
    <x v="3"/>
    <x v="2"/>
    <x v="1"/>
    <x v="0"/>
    <x v="0"/>
    <n v="5"/>
    <x v="6"/>
    <x v="2"/>
    <x v="19"/>
    <x v="299"/>
    <x v="1"/>
    <x v="1"/>
  </r>
  <r>
    <d v="2023-04-07T21:29:04"/>
    <x v="0"/>
    <x v="502"/>
    <x v="1"/>
    <x v="3"/>
    <x v="1"/>
    <x v="0"/>
    <x v="0"/>
    <x v="0"/>
    <n v="4"/>
    <x v="6"/>
    <x v="1"/>
    <x v="17"/>
    <x v="174"/>
    <x v="0"/>
    <x v="3"/>
  </r>
  <r>
    <d v="2023-04-07T21:42:32"/>
    <x v="0"/>
    <x v="520"/>
    <x v="0"/>
    <x v="4"/>
    <x v="2"/>
    <x v="0"/>
    <x v="0"/>
    <x v="1"/>
    <n v="5"/>
    <x v="3"/>
    <x v="2"/>
    <x v="19"/>
    <x v="360"/>
    <x v="0"/>
    <x v="1"/>
  </r>
  <r>
    <d v="2023-04-07T21:46:27"/>
    <x v="0"/>
    <x v="600"/>
    <x v="1"/>
    <x v="0"/>
    <x v="0"/>
    <x v="1"/>
    <x v="1"/>
    <x v="0"/>
    <n v="5"/>
    <x v="5"/>
    <x v="2"/>
    <x v="9"/>
    <x v="361"/>
    <x v="1"/>
    <x v="1"/>
  </r>
  <r>
    <d v="2023-04-07T21:59:07"/>
    <x v="0"/>
    <x v="601"/>
    <x v="1"/>
    <x v="0"/>
    <x v="0"/>
    <x v="0"/>
    <x v="1"/>
    <x v="1"/>
    <n v="1"/>
    <x v="1"/>
    <x v="1"/>
    <x v="6"/>
    <x v="362"/>
    <x v="3"/>
    <x v="1"/>
  </r>
  <r>
    <d v="2023-04-07T22:10:26"/>
    <x v="0"/>
    <x v="602"/>
    <x v="1"/>
    <x v="0"/>
    <x v="0"/>
    <x v="0"/>
    <x v="0"/>
    <x v="0"/>
    <n v="10"/>
    <x v="6"/>
    <x v="2"/>
    <x v="16"/>
    <x v="363"/>
    <x v="1"/>
    <x v="3"/>
  </r>
  <r>
    <d v="2023-04-07T22:17:11"/>
    <x v="0"/>
    <x v="8"/>
    <x v="0"/>
    <x v="3"/>
    <x v="1"/>
    <x v="0"/>
    <x v="1"/>
    <x v="1"/>
    <n v="9"/>
    <x v="1"/>
    <x v="1"/>
    <x v="6"/>
    <x v="108"/>
    <x v="4"/>
    <x v="0"/>
  </r>
  <r>
    <d v="2023-04-07T22:43:27"/>
    <x v="0"/>
    <x v="603"/>
    <x v="1"/>
    <x v="4"/>
    <x v="2"/>
    <x v="1"/>
    <x v="0"/>
    <x v="0"/>
    <n v="6"/>
    <x v="1"/>
    <x v="1"/>
    <x v="11"/>
    <x v="183"/>
    <x v="0"/>
    <x v="3"/>
  </r>
  <r>
    <d v="2023-04-07T23:10:56"/>
    <x v="0"/>
    <x v="604"/>
    <x v="1"/>
    <x v="4"/>
    <x v="2"/>
    <x v="1"/>
    <x v="0"/>
    <x v="0"/>
    <n v="1"/>
    <x v="5"/>
    <x v="2"/>
    <x v="7"/>
    <x v="364"/>
    <x v="0"/>
    <x v="1"/>
  </r>
  <r>
    <d v="2023-04-07T23:15:14"/>
    <x v="0"/>
    <x v="605"/>
    <x v="0"/>
    <x v="4"/>
    <x v="1"/>
    <x v="1"/>
    <x v="0"/>
    <x v="0"/>
    <n v="8"/>
    <x v="6"/>
    <x v="1"/>
    <x v="9"/>
    <x v="141"/>
    <x v="0"/>
    <x v="1"/>
  </r>
  <r>
    <d v="2023-04-07T23:17:36"/>
    <x v="0"/>
    <x v="606"/>
    <x v="1"/>
    <x v="3"/>
    <x v="0"/>
    <x v="0"/>
    <x v="1"/>
    <x v="1"/>
    <n v="4"/>
    <x v="1"/>
    <x v="1"/>
    <x v="11"/>
    <x v="111"/>
    <x v="2"/>
    <x v="1"/>
  </r>
  <r>
    <d v="2023-04-07T23:23:07"/>
    <x v="0"/>
    <x v="607"/>
    <x v="0"/>
    <x v="4"/>
    <x v="2"/>
    <x v="3"/>
    <x v="0"/>
    <x v="0"/>
    <n v="8"/>
    <x v="3"/>
    <x v="2"/>
    <x v="9"/>
    <x v="167"/>
    <x v="2"/>
    <x v="15"/>
  </r>
  <r>
    <d v="2023-04-07T23:25:16"/>
    <x v="0"/>
    <x v="360"/>
    <x v="0"/>
    <x v="4"/>
    <x v="0"/>
    <x v="3"/>
    <x v="1"/>
    <x v="0"/>
    <n v="10"/>
    <x v="0"/>
    <x v="0"/>
    <x v="9"/>
    <x v="365"/>
    <x v="0"/>
    <x v="3"/>
  </r>
  <r>
    <d v="2023-04-07T23:56:21"/>
    <x v="0"/>
    <x v="608"/>
    <x v="1"/>
    <x v="0"/>
    <x v="0"/>
    <x v="0"/>
    <x v="0"/>
    <x v="1"/>
    <n v="7"/>
    <x v="1"/>
    <x v="2"/>
    <x v="9"/>
    <x v="214"/>
    <x v="2"/>
    <x v="0"/>
  </r>
  <r>
    <d v="2023-04-08T00:14:27"/>
    <x v="0"/>
    <x v="541"/>
    <x v="0"/>
    <x v="4"/>
    <x v="2"/>
    <x v="3"/>
    <x v="0"/>
    <x v="0"/>
    <n v="1"/>
    <x v="0"/>
    <x v="3"/>
    <x v="22"/>
    <x v="366"/>
    <x v="0"/>
    <x v="3"/>
  </r>
  <r>
    <d v="2023-04-08T00:32:27"/>
    <x v="0"/>
    <x v="247"/>
    <x v="0"/>
    <x v="3"/>
    <x v="2"/>
    <x v="0"/>
    <x v="1"/>
    <x v="0"/>
    <n v="9"/>
    <x v="1"/>
    <x v="1"/>
    <x v="8"/>
    <x v="367"/>
    <x v="4"/>
    <x v="2"/>
  </r>
  <r>
    <d v="2023-04-08T00:55:24"/>
    <x v="0"/>
    <x v="609"/>
    <x v="0"/>
    <x v="0"/>
    <x v="2"/>
    <x v="1"/>
    <x v="0"/>
    <x v="0"/>
    <n v="5"/>
    <x v="6"/>
    <x v="1"/>
    <x v="9"/>
    <x v="182"/>
    <x v="0"/>
    <x v="2"/>
  </r>
  <r>
    <d v="2023-04-08T00:55:54"/>
    <x v="0"/>
    <x v="610"/>
    <x v="0"/>
    <x v="1"/>
    <x v="0"/>
    <x v="1"/>
    <x v="0"/>
    <x v="0"/>
    <n v="5"/>
    <x v="6"/>
    <x v="1"/>
    <x v="24"/>
    <x v="368"/>
    <x v="0"/>
    <x v="2"/>
  </r>
  <r>
    <d v="2023-04-08T00:59:30"/>
    <x v="0"/>
    <x v="611"/>
    <x v="1"/>
    <x v="1"/>
    <x v="0"/>
    <x v="0"/>
    <x v="1"/>
    <x v="1"/>
    <n v="10"/>
    <x v="6"/>
    <x v="0"/>
    <x v="11"/>
    <x v="111"/>
    <x v="2"/>
    <x v="2"/>
  </r>
  <r>
    <d v="2023-04-08T01:06:12"/>
    <x v="0"/>
    <x v="612"/>
    <x v="1"/>
    <x v="0"/>
    <x v="1"/>
    <x v="0"/>
    <x v="0"/>
    <x v="1"/>
    <n v="7"/>
    <x v="0"/>
    <x v="3"/>
    <x v="6"/>
    <x v="369"/>
    <x v="1"/>
    <x v="0"/>
  </r>
  <r>
    <d v="2023-04-08T01:06:58"/>
    <x v="0"/>
    <x v="613"/>
    <x v="0"/>
    <x v="2"/>
    <x v="1"/>
    <x v="1"/>
    <x v="1"/>
    <x v="1"/>
    <n v="3"/>
    <x v="5"/>
    <x v="1"/>
    <x v="11"/>
    <x v="368"/>
    <x v="0"/>
    <x v="5"/>
  </r>
  <r>
    <d v="2023-04-08T01:11:27"/>
    <x v="0"/>
    <x v="382"/>
    <x v="0"/>
    <x v="2"/>
    <x v="0"/>
    <x v="0"/>
    <x v="0"/>
    <x v="0"/>
    <n v="4"/>
    <x v="6"/>
    <x v="1"/>
    <x v="17"/>
    <x v="97"/>
    <x v="0"/>
    <x v="1"/>
  </r>
  <r>
    <d v="2023-04-08T01:14:20"/>
    <x v="0"/>
    <x v="614"/>
    <x v="0"/>
    <x v="1"/>
    <x v="0"/>
    <x v="0"/>
    <x v="0"/>
    <x v="1"/>
    <n v="5"/>
    <x v="1"/>
    <x v="1"/>
    <x v="14"/>
    <x v="140"/>
    <x v="0"/>
    <x v="23"/>
  </r>
  <r>
    <d v="2023-04-08T01:17:20"/>
    <x v="0"/>
    <x v="615"/>
    <x v="0"/>
    <x v="1"/>
    <x v="2"/>
    <x v="1"/>
    <x v="0"/>
    <x v="0"/>
    <n v="4"/>
    <x v="1"/>
    <x v="2"/>
    <x v="11"/>
    <x v="132"/>
    <x v="2"/>
    <x v="1"/>
  </r>
  <r>
    <d v="2023-04-08T01:29:09"/>
    <x v="0"/>
    <x v="616"/>
    <x v="0"/>
    <x v="0"/>
    <x v="0"/>
    <x v="0"/>
    <x v="0"/>
    <x v="0"/>
    <n v="7"/>
    <x v="3"/>
    <x v="1"/>
    <x v="7"/>
    <x v="308"/>
    <x v="0"/>
    <x v="7"/>
  </r>
  <r>
    <d v="2023-04-08T01:43:29"/>
    <x v="0"/>
    <x v="617"/>
    <x v="1"/>
    <x v="3"/>
    <x v="2"/>
    <x v="1"/>
    <x v="1"/>
    <x v="1"/>
    <n v="5"/>
    <x v="1"/>
    <x v="0"/>
    <x v="9"/>
    <x v="222"/>
    <x v="2"/>
    <x v="1"/>
  </r>
  <r>
    <d v="2023-04-08T02:03:19"/>
    <x v="1"/>
    <x v="618"/>
    <x v="0"/>
    <x v="4"/>
    <x v="2"/>
    <x v="0"/>
    <x v="0"/>
    <x v="0"/>
    <n v="3"/>
    <x v="1"/>
    <x v="1"/>
    <x v="11"/>
    <x v="224"/>
    <x v="2"/>
    <x v="1"/>
  </r>
  <r>
    <d v="2023-04-08T03:29:12"/>
    <x v="0"/>
    <x v="83"/>
    <x v="0"/>
    <x v="2"/>
    <x v="2"/>
    <x v="1"/>
    <x v="1"/>
    <x v="0"/>
    <n v="5"/>
    <x v="1"/>
    <x v="0"/>
    <x v="17"/>
    <x v="155"/>
    <x v="0"/>
    <x v="2"/>
  </r>
  <r>
    <d v="2023-04-08T04:17:37"/>
    <x v="0"/>
    <x v="619"/>
    <x v="0"/>
    <x v="0"/>
    <x v="1"/>
    <x v="0"/>
    <x v="0"/>
    <x v="0"/>
    <n v="8"/>
    <x v="6"/>
    <x v="1"/>
    <x v="8"/>
    <x v="191"/>
    <x v="1"/>
    <x v="1"/>
  </r>
  <r>
    <d v="2023-04-08T06:32:43"/>
    <x v="0"/>
    <x v="469"/>
    <x v="1"/>
    <x v="4"/>
    <x v="0"/>
    <x v="3"/>
    <x v="1"/>
    <x v="0"/>
    <n v="3"/>
    <x v="6"/>
    <x v="1"/>
    <x v="8"/>
    <x v="370"/>
    <x v="1"/>
    <x v="1"/>
  </r>
  <r>
    <d v="2023-04-08T06:38:07"/>
    <x v="0"/>
    <x v="620"/>
    <x v="0"/>
    <x v="1"/>
    <x v="0"/>
    <x v="1"/>
    <x v="1"/>
    <x v="1"/>
    <n v="3"/>
    <x v="5"/>
    <x v="2"/>
    <x v="11"/>
    <x v="161"/>
    <x v="3"/>
    <x v="3"/>
  </r>
  <r>
    <d v="2023-04-08T06:47:20"/>
    <x v="0"/>
    <x v="621"/>
    <x v="1"/>
    <x v="0"/>
    <x v="0"/>
    <x v="1"/>
    <x v="0"/>
    <x v="0"/>
    <n v="5"/>
    <x v="1"/>
    <x v="0"/>
    <x v="13"/>
    <x v="181"/>
    <x v="0"/>
    <x v="1"/>
  </r>
  <r>
    <d v="2023-04-08T07:10:55"/>
    <x v="0"/>
    <x v="622"/>
    <x v="0"/>
    <x v="0"/>
    <x v="0"/>
    <x v="0"/>
    <x v="0"/>
    <x v="0"/>
    <n v="1"/>
    <x v="1"/>
    <x v="1"/>
    <x v="9"/>
    <x v="233"/>
    <x v="2"/>
    <x v="7"/>
  </r>
  <r>
    <d v="2023-04-08T07:29:43"/>
    <x v="0"/>
    <x v="623"/>
    <x v="0"/>
    <x v="4"/>
    <x v="0"/>
    <x v="1"/>
    <x v="1"/>
    <x v="0"/>
    <n v="9"/>
    <x v="6"/>
    <x v="2"/>
    <x v="19"/>
    <x v="111"/>
    <x v="0"/>
    <x v="1"/>
  </r>
  <r>
    <d v="2023-04-08T07:35:39"/>
    <x v="0"/>
    <x v="624"/>
    <x v="1"/>
    <x v="4"/>
    <x v="0"/>
    <x v="1"/>
    <x v="0"/>
    <x v="0"/>
    <n v="10"/>
    <x v="1"/>
    <x v="2"/>
    <x v="9"/>
    <x v="371"/>
    <x v="2"/>
    <x v="3"/>
  </r>
  <r>
    <d v="2023-04-08T07:57:35"/>
    <x v="0"/>
    <x v="625"/>
    <x v="0"/>
    <x v="2"/>
    <x v="0"/>
    <x v="0"/>
    <x v="0"/>
    <x v="0"/>
    <n v="7"/>
    <x v="6"/>
    <x v="2"/>
    <x v="14"/>
    <x v="111"/>
    <x v="2"/>
    <x v="9"/>
  </r>
  <r>
    <d v="2023-04-08T08:02:57"/>
    <x v="0"/>
    <x v="156"/>
    <x v="0"/>
    <x v="4"/>
    <x v="1"/>
    <x v="1"/>
    <x v="0"/>
    <x v="0"/>
    <n v="7"/>
    <x v="1"/>
    <x v="1"/>
    <x v="18"/>
    <x v="141"/>
    <x v="0"/>
    <x v="4"/>
  </r>
  <r>
    <d v="2023-04-08T08:06:05"/>
    <x v="0"/>
    <x v="626"/>
    <x v="0"/>
    <x v="4"/>
    <x v="0"/>
    <x v="0"/>
    <x v="0"/>
    <x v="0"/>
    <n v="1"/>
    <x v="3"/>
    <x v="2"/>
    <x v="16"/>
    <x v="372"/>
    <x v="1"/>
    <x v="1"/>
  </r>
  <r>
    <d v="2023-04-08T08:48:31"/>
    <x v="0"/>
    <x v="627"/>
    <x v="1"/>
    <x v="3"/>
    <x v="0"/>
    <x v="1"/>
    <x v="1"/>
    <x v="1"/>
    <n v="8"/>
    <x v="1"/>
    <x v="2"/>
    <x v="6"/>
    <x v="141"/>
    <x v="0"/>
    <x v="8"/>
  </r>
  <r>
    <d v="2023-04-08T09:02:11"/>
    <x v="0"/>
    <x v="628"/>
    <x v="0"/>
    <x v="0"/>
    <x v="0"/>
    <x v="0"/>
    <x v="0"/>
    <x v="0"/>
    <n v="1"/>
    <x v="1"/>
    <x v="1"/>
    <x v="17"/>
    <x v="110"/>
    <x v="0"/>
    <x v="1"/>
  </r>
  <r>
    <d v="2023-04-08T09:07:13"/>
    <x v="0"/>
    <x v="629"/>
    <x v="0"/>
    <x v="2"/>
    <x v="2"/>
    <x v="1"/>
    <x v="0"/>
    <x v="1"/>
    <n v="7"/>
    <x v="3"/>
    <x v="2"/>
    <x v="20"/>
    <x v="373"/>
    <x v="3"/>
    <x v="1"/>
  </r>
  <r>
    <d v="2023-04-08T09:44:44"/>
    <x v="5"/>
    <x v="630"/>
    <x v="1"/>
    <x v="3"/>
    <x v="0"/>
    <x v="1"/>
    <x v="1"/>
    <x v="1"/>
    <n v="6"/>
    <x v="5"/>
    <x v="2"/>
    <x v="18"/>
    <x v="343"/>
    <x v="0"/>
    <x v="3"/>
  </r>
  <r>
    <d v="2023-04-08T10:00:01"/>
    <x v="0"/>
    <x v="631"/>
    <x v="0"/>
    <x v="2"/>
    <x v="1"/>
    <x v="0"/>
    <x v="0"/>
    <x v="0"/>
    <n v="7"/>
    <x v="6"/>
    <x v="1"/>
    <x v="6"/>
    <x v="110"/>
    <x v="0"/>
    <x v="1"/>
  </r>
  <r>
    <d v="2023-04-08T10:00:05"/>
    <x v="0"/>
    <x v="385"/>
    <x v="1"/>
    <x v="3"/>
    <x v="0"/>
    <x v="0"/>
    <x v="1"/>
    <x v="0"/>
    <n v="3"/>
    <x v="6"/>
    <x v="1"/>
    <x v="6"/>
    <x v="142"/>
    <x v="0"/>
    <x v="5"/>
  </r>
  <r>
    <d v="2023-04-08T10:04:27"/>
    <x v="0"/>
    <x v="145"/>
    <x v="0"/>
    <x v="2"/>
    <x v="1"/>
    <x v="1"/>
    <x v="0"/>
    <x v="0"/>
    <n v="8"/>
    <x v="5"/>
    <x v="1"/>
    <x v="8"/>
    <x v="171"/>
    <x v="0"/>
    <x v="3"/>
  </r>
  <r>
    <d v="2023-04-08T10:19:10"/>
    <x v="0"/>
    <x v="632"/>
    <x v="0"/>
    <x v="4"/>
    <x v="0"/>
    <x v="0"/>
    <x v="0"/>
    <x v="0"/>
    <n v="7"/>
    <x v="1"/>
    <x v="1"/>
    <x v="11"/>
    <x v="188"/>
    <x v="2"/>
    <x v="4"/>
  </r>
  <r>
    <d v="2023-04-08T10:32:54"/>
    <x v="0"/>
    <x v="633"/>
    <x v="1"/>
    <x v="2"/>
    <x v="2"/>
    <x v="1"/>
    <x v="0"/>
    <x v="0"/>
    <n v="7"/>
    <x v="6"/>
    <x v="1"/>
    <x v="11"/>
    <x v="368"/>
    <x v="0"/>
    <x v="2"/>
  </r>
  <r>
    <d v="2023-04-08T10:33:08"/>
    <x v="0"/>
    <x v="634"/>
    <x v="0"/>
    <x v="2"/>
    <x v="0"/>
    <x v="0"/>
    <x v="1"/>
    <x v="1"/>
    <n v="7"/>
    <x v="6"/>
    <x v="2"/>
    <x v="11"/>
    <x v="374"/>
    <x v="0"/>
    <x v="8"/>
  </r>
  <r>
    <d v="2023-04-08T10:54:05"/>
    <x v="0"/>
    <x v="635"/>
    <x v="1"/>
    <x v="0"/>
    <x v="2"/>
    <x v="0"/>
    <x v="0"/>
    <x v="0"/>
    <n v="9"/>
    <x v="1"/>
    <x v="1"/>
    <x v="13"/>
    <x v="375"/>
    <x v="2"/>
    <x v="20"/>
  </r>
  <r>
    <d v="2023-04-08T11:12:42"/>
    <x v="0"/>
    <x v="636"/>
    <x v="0"/>
    <x v="0"/>
    <x v="2"/>
    <x v="1"/>
    <x v="0"/>
    <x v="0"/>
    <n v="7"/>
    <x v="3"/>
    <x v="2"/>
    <x v="9"/>
    <x v="180"/>
    <x v="2"/>
    <x v="14"/>
  </r>
  <r>
    <d v="2023-04-08T11:15:25"/>
    <x v="0"/>
    <x v="307"/>
    <x v="1"/>
    <x v="0"/>
    <x v="1"/>
    <x v="0"/>
    <x v="1"/>
    <x v="0"/>
    <n v="10"/>
    <x v="3"/>
    <x v="2"/>
    <x v="9"/>
    <x v="376"/>
    <x v="1"/>
    <x v="3"/>
  </r>
  <r>
    <d v="2023-04-08T11:37:32"/>
    <x v="0"/>
    <x v="329"/>
    <x v="0"/>
    <x v="0"/>
    <x v="1"/>
    <x v="0"/>
    <x v="0"/>
    <x v="0"/>
    <n v="4"/>
    <x v="6"/>
    <x v="1"/>
    <x v="15"/>
    <x v="110"/>
    <x v="0"/>
    <x v="1"/>
  </r>
  <r>
    <d v="2023-04-08T11:41:41"/>
    <x v="0"/>
    <x v="637"/>
    <x v="0"/>
    <x v="4"/>
    <x v="0"/>
    <x v="0"/>
    <x v="0"/>
    <x v="0"/>
    <n v="5"/>
    <x v="6"/>
    <x v="1"/>
    <x v="17"/>
    <x v="132"/>
    <x v="1"/>
    <x v="2"/>
  </r>
  <r>
    <d v="2023-04-08T11:50:10"/>
    <x v="0"/>
    <x v="638"/>
    <x v="0"/>
    <x v="4"/>
    <x v="0"/>
    <x v="1"/>
    <x v="0"/>
    <x v="0"/>
    <n v="5"/>
    <x v="5"/>
    <x v="1"/>
    <x v="11"/>
    <x v="320"/>
    <x v="0"/>
    <x v="1"/>
  </r>
  <r>
    <d v="2023-04-08T12:01:35"/>
    <x v="0"/>
    <x v="639"/>
    <x v="1"/>
    <x v="4"/>
    <x v="2"/>
    <x v="1"/>
    <x v="0"/>
    <x v="0"/>
    <n v="9"/>
    <x v="3"/>
    <x v="1"/>
    <x v="8"/>
    <x v="164"/>
    <x v="0"/>
    <x v="11"/>
  </r>
  <r>
    <d v="2023-04-08T12:11:00"/>
    <x v="0"/>
    <x v="640"/>
    <x v="0"/>
    <x v="3"/>
    <x v="0"/>
    <x v="0"/>
    <x v="0"/>
    <x v="0"/>
    <n v="3"/>
    <x v="5"/>
    <x v="0"/>
    <x v="11"/>
    <x v="161"/>
    <x v="1"/>
    <x v="3"/>
  </r>
  <r>
    <d v="2023-04-08T12:15:29"/>
    <x v="0"/>
    <x v="641"/>
    <x v="0"/>
    <x v="4"/>
    <x v="0"/>
    <x v="0"/>
    <x v="0"/>
    <x v="0"/>
    <n v="6"/>
    <x v="3"/>
    <x v="1"/>
    <x v="19"/>
    <x v="207"/>
    <x v="1"/>
    <x v="3"/>
  </r>
  <r>
    <d v="2023-04-08T12:24:36"/>
    <x v="0"/>
    <x v="642"/>
    <x v="0"/>
    <x v="3"/>
    <x v="2"/>
    <x v="0"/>
    <x v="0"/>
    <x v="0"/>
    <n v="2"/>
    <x v="6"/>
    <x v="1"/>
    <x v="9"/>
    <x v="141"/>
    <x v="3"/>
    <x v="3"/>
  </r>
  <r>
    <d v="2023-04-08T12:35:02"/>
    <x v="0"/>
    <x v="230"/>
    <x v="0"/>
    <x v="3"/>
    <x v="1"/>
    <x v="0"/>
    <x v="0"/>
    <x v="1"/>
    <n v="4"/>
    <x v="1"/>
    <x v="2"/>
    <x v="7"/>
    <x v="377"/>
    <x v="0"/>
    <x v="3"/>
  </r>
  <r>
    <d v="2023-04-08T12:43:17"/>
    <x v="0"/>
    <x v="294"/>
    <x v="0"/>
    <x v="0"/>
    <x v="1"/>
    <x v="0"/>
    <x v="0"/>
    <x v="0"/>
    <n v="7"/>
    <x v="6"/>
    <x v="1"/>
    <x v="21"/>
    <x v="266"/>
    <x v="0"/>
    <x v="3"/>
  </r>
  <r>
    <d v="2023-04-08T13:03:59"/>
    <x v="0"/>
    <x v="643"/>
    <x v="0"/>
    <x v="1"/>
    <x v="0"/>
    <x v="1"/>
    <x v="0"/>
    <x v="0"/>
    <n v="5"/>
    <x v="1"/>
    <x v="1"/>
    <x v="11"/>
    <x v="111"/>
    <x v="0"/>
    <x v="1"/>
  </r>
  <r>
    <d v="2023-04-08T13:17:57"/>
    <x v="0"/>
    <x v="644"/>
    <x v="1"/>
    <x v="2"/>
    <x v="0"/>
    <x v="0"/>
    <x v="0"/>
    <x v="0"/>
    <n v="3"/>
    <x v="1"/>
    <x v="1"/>
    <x v="9"/>
    <x v="200"/>
    <x v="0"/>
    <x v="4"/>
  </r>
  <r>
    <d v="2023-04-08T13:19:32"/>
    <x v="0"/>
    <x v="645"/>
    <x v="0"/>
    <x v="2"/>
    <x v="2"/>
    <x v="1"/>
    <x v="1"/>
    <x v="0"/>
    <n v="6"/>
    <x v="1"/>
    <x v="1"/>
    <x v="9"/>
    <x v="378"/>
    <x v="0"/>
    <x v="0"/>
  </r>
  <r>
    <d v="2023-04-08T13:50:40"/>
    <x v="0"/>
    <x v="503"/>
    <x v="0"/>
    <x v="2"/>
    <x v="0"/>
    <x v="0"/>
    <x v="0"/>
    <x v="0"/>
    <n v="4"/>
    <x v="3"/>
    <x v="1"/>
    <x v="10"/>
    <x v="379"/>
    <x v="3"/>
    <x v="1"/>
  </r>
  <r>
    <d v="2023-04-08T14:27:20"/>
    <x v="0"/>
    <x v="646"/>
    <x v="0"/>
    <x v="4"/>
    <x v="1"/>
    <x v="1"/>
    <x v="0"/>
    <x v="0"/>
    <n v="8"/>
    <x v="1"/>
    <x v="1"/>
    <x v="14"/>
    <x v="263"/>
    <x v="0"/>
    <x v="1"/>
  </r>
  <r>
    <d v="2023-04-08T14:50:30"/>
    <x v="5"/>
    <x v="647"/>
    <x v="0"/>
    <x v="0"/>
    <x v="0"/>
    <x v="3"/>
    <x v="0"/>
    <x v="0"/>
    <n v="2"/>
    <x v="1"/>
    <x v="0"/>
    <x v="13"/>
    <x v="380"/>
    <x v="3"/>
    <x v="3"/>
  </r>
  <r>
    <d v="2023-04-08T14:52:07"/>
    <x v="0"/>
    <x v="648"/>
    <x v="0"/>
    <x v="0"/>
    <x v="0"/>
    <x v="1"/>
    <x v="0"/>
    <x v="1"/>
    <n v="1"/>
    <x v="3"/>
    <x v="1"/>
    <x v="13"/>
    <x v="381"/>
    <x v="0"/>
    <x v="7"/>
  </r>
  <r>
    <d v="2023-04-08T15:06:56"/>
    <x v="0"/>
    <x v="649"/>
    <x v="1"/>
    <x v="3"/>
    <x v="1"/>
    <x v="0"/>
    <x v="1"/>
    <x v="1"/>
    <n v="5"/>
    <x v="6"/>
    <x v="0"/>
    <x v="9"/>
    <x v="382"/>
    <x v="0"/>
    <x v="1"/>
  </r>
  <r>
    <d v="2023-04-08T15:54:53"/>
    <x v="0"/>
    <x v="650"/>
    <x v="0"/>
    <x v="0"/>
    <x v="0"/>
    <x v="0"/>
    <x v="1"/>
    <x v="1"/>
    <n v="8"/>
    <x v="5"/>
    <x v="1"/>
    <x v="17"/>
    <x v="113"/>
    <x v="0"/>
    <x v="16"/>
  </r>
  <r>
    <d v="2023-04-08T17:02:06"/>
    <x v="0"/>
    <x v="230"/>
    <x v="0"/>
    <x v="3"/>
    <x v="1"/>
    <x v="0"/>
    <x v="1"/>
    <x v="0"/>
    <n v="4"/>
    <x v="6"/>
    <x v="0"/>
    <x v="8"/>
    <x v="131"/>
    <x v="0"/>
    <x v="1"/>
  </r>
  <r>
    <d v="2023-04-08T17:28:34"/>
    <x v="0"/>
    <x v="230"/>
    <x v="1"/>
    <x v="1"/>
    <x v="2"/>
    <x v="0"/>
    <x v="0"/>
    <x v="1"/>
    <n v="2"/>
    <x v="6"/>
    <x v="2"/>
    <x v="6"/>
    <x v="118"/>
    <x v="1"/>
    <x v="1"/>
  </r>
  <r>
    <d v="2023-04-08T17:29:04"/>
    <x v="1"/>
    <x v="618"/>
    <x v="1"/>
    <x v="0"/>
    <x v="0"/>
    <x v="0"/>
    <x v="0"/>
    <x v="0"/>
    <n v="5"/>
    <x v="3"/>
    <x v="2"/>
    <x v="10"/>
    <x v="166"/>
    <x v="3"/>
    <x v="7"/>
  </r>
  <r>
    <d v="2023-04-08T17:54:54"/>
    <x v="0"/>
    <x v="556"/>
    <x v="1"/>
    <x v="4"/>
    <x v="0"/>
    <x v="1"/>
    <x v="0"/>
    <x v="0"/>
    <n v="3"/>
    <x v="3"/>
    <x v="2"/>
    <x v="10"/>
    <x v="328"/>
    <x v="3"/>
    <x v="6"/>
  </r>
  <r>
    <d v="2023-04-08T17:56:15"/>
    <x v="0"/>
    <x v="556"/>
    <x v="1"/>
    <x v="3"/>
    <x v="1"/>
    <x v="0"/>
    <x v="0"/>
    <x v="0"/>
    <n v="6"/>
    <x v="3"/>
    <x v="0"/>
    <x v="11"/>
    <x v="284"/>
    <x v="1"/>
    <x v="3"/>
  </r>
  <r>
    <d v="2023-04-08T18:09:30"/>
    <x v="0"/>
    <x v="651"/>
    <x v="0"/>
    <x v="3"/>
    <x v="2"/>
    <x v="0"/>
    <x v="0"/>
    <x v="0"/>
    <n v="7"/>
    <x v="0"/>
    <x v="2"/>
    <x v="16"/>
    <x v="114"/>
    <x v="1"/>
    <x v="4"/>
  </r>
  <r>
    <d v="2023-04-08T18:15:43"/>
    <x v="0"/>
    <x v="626"/>
    <x v="1"/>
    <x v="0"/>
    <x v="2"/>
    <x v="1"/>
    <x v="0"/>
    <x v="0"/>
    <n v="1"/>
    <x v="3"/>
    <x v="1"/>
    <x v="15"/>
    <x v="383"/>
    <x v="0"/>
    <x v="18"/>
  </r>
  <r>
    <d v="2023-04-08T19:00:45"/>
    <x v="0"/>
    <x v="652"/>
    <x v="1"/>
    <x v="4"/>
    <x v="0"/>
    <x v="0"/>
    <x v="1"/>
    <x v="1"/>
    <n v="5"/>
    <x v="5"/>
    <x v="0"/>
    <x v="16"/>
    <x v="384"/>
    <x v="2"/>
    <x v="3"/>
  </r>
  <r>
    <d v="2023-04-08T20:13:31"/>
    <x v="0"/>
    <x v="640"/>
    <x v="0"/>
    <x v="0"/>
    <x v="0"/>
    <x v="1"/>
    <x v="0"/>
    <x v="0"/>
    <n v="5"/>
    <x v="5"/>
    <x v="0"/>
    <x v="9"/>
    <x v="114"/>
    <x v="0"/>
    <x v="3"/>
  </r>
  <r>
    <d v="2023-04-08T20:46:47"/>
    <x v="0"/>
    <x v="556"/>
    <x v="0"/>
    <x v="3"/>
    <x v="1"/>
    <x v="3"/>
    <x v="1"/>
    <x v="1"/>
    <n v="3"/>
    <x v="3"/>
    <x v="1"/>
    <x v="9"/>
    <x v="371"/>
    <x v="3"/>
    <x v="6"/>
  </r>
  <r>
    <d v="2023-04-08T21:01:49"/>
    <x v="0"/>
    <x v="653"/>
    <x v="0"/>
    <x v="2"/>
    <x v="1"/>
    <x v="1"/>
    <x v="1"/>
    <x v="0"/>
    <n v="7"/>
    <x v="6"/>
    <x v="1"/>
    <x v="17"/>
    <x v="179"/>
    <x v="1"/>
    <x v="6"/>
  </r>
  <r>
    <d v="2023-04-08T21:04:34"/>
    <x v="3"/>
    <x v="654"/>
    <x v="1"/>
    <x v="0"/>
    <x v="0"/>
    <x v="1"/>
    <x v="1"/>
    <x v="0"/>
    <n v="9"/>
    <x v="0"/>
    <x v="1"/>
    <x v="13"/>
    <x v="385"/>
    <x v="0"/>
    <x v="6"/>
  </r>
  <r>
    <d v="2023-04-08T23:05:16"/>
    <x v="0"/>
    <x v="655"/>
    <x v="1"/>
    <x v="3"/>
    <x v="2"/>
    <x v="0"/>
    <x v="0"/>
    <x v="0"/>
    <n v="5"/>
    <x v="6"/>
    <x v="1"/>
    <x v="19"/>
    <x v="101"/>
    <x v="0"/>
    <x v="3"/>
  </r>
  <r>
    <d v="2023-04-09T02:41:26"/>
    <x v="0"/>
    <x v="163"/>
    <x v="0"/>
    <x v="3"/>
    <x v="0"/>
    <x v="0"/>
    <x v="1"/>
    <x v="0"/>
    <n v="5"/>
    <x v="1"/>
    <x v="1"/>
    <x v="11"/>
    <x v="174"/>
    <x v="0"/>
    <x v="1"/>
  </r>
  <r>
    <d v="2023-04-09T07:34:30"/>
    <x v="0"/>
    <x v="656"/>
    <x v="0"/>
    <x v="0"/>
    <x v="0"/>
    <x v="0"/>
    <x v="0"/>
    <x v="0"/>
    <n v="8"/>
    <x v="6"/>
    <x v="1"/>
    <x v="11"/>
    <x v="197"/>
    <x v="0"/>
    <x v="1"/>
  </r>
  <r>
    <d v="2023-04-09T09:43:17"/>
    <x v="0"/>
    <x v="125"/>
    <x v="0"/>
    <x v="3"/>
    <x v="2"/>
    <x v="1"/>
    <x v="1"/>
    <x v="0"/>
    <n v="6"/>
    <x v="5"/>
    <x v="1"/>
    <x v="8"/>
    <x v="217"/>
    <x v="0"/>
    <x v="1"/>
  </r>
  <r>
    <d v="2023-04-09T11:19:27"/>
    <x v="0"/>
    <x v="657"/>
    <x v="1"/>
    <x v="1"/>
    <x v="0"/>
    <x v="0"/>
    <x v="0"/>
    <x v="0"/>
    <n v="2"/>
    <x v="1"/>
    <x v="1"/>
    <x v="11"/>
    <x v="188"/>
    <x v="0"/>
    <x v="2"/>
  </r>
  <r>
    <d v="2023-04-09T14:10:29"/>
    <x v="0"/>
    <x v="307"/>
    <x v="0"/>
    <x v="4"/>
    <x v="0"/>
    <x v="3"/>
    <x v="0"/>
    <x v="0"/>
    <n v="1"/>
    <x v="1"/>
    <x v="2"/>
    <x v="6"/>
    <x v="223"/>
    <x v="4"/>
    <x v="2"/>
  </r>
  <r>
    <d v="2023-04-09T14:15:56"/>
    <x v="0"/>
    <x v="307"/>
    <x v="1"/>
    <x v="3"/>
    <x v="1"/>
    <x v="0"/>
    <x v="1"/>
    <x v="1"/>
    <n v="8"/>
    <x v="1"/>
    <x v="3"/>
    <x v="24"/>
    <x v="386"/>
    <x v="0"/>
    <x v="1"/>
  </r>
  <r>
    <d v="2023-04-09T15:15:11"/>
    <x v="0"/>
    <x v="658"/>
    <x v="0"/>
    <x v="3"/>
    <x v="2"/>
    <x v="3"/>
    <x v="1"/>
    <x v="1"/>
    <n v="5"/>
    <x v="6"/>
    <x v="1"/>
    <x v="11"/>
    <x v="191"/>
    <x v="1"/>
    <x v="1"/>
  </r>
  <r>
    <d v="2023-04-09T16:35:40"/>
    <x v="0"/>
    <x v="68"/>
    <x v="0"/>
    <x v="4"/>
    <x v="0"/>
    <x v="1"/>
    <x v="1"/>
    <x v="1"/>
    <n v="5"/>
    <x v="1"/>
    <x v="1"/>
    <x v="9"/>
    <x v="387"/>
    <x v="1"/>
    <x v="3"/>
  </r>
  <r>
    <d v="2023-04-09T16:37:45"/>
    <x v="0"/>
    <x v="382"/>
    <x v="1"/>
    <x v="4"/>
    <x v="0"/>
    <x v="1"/>
    <x v="0"/>
    <x v="1"/>
    <n v="10"/>
    <x v="3"/>
    <x v="2"/>
    <x v="9"/>
    <x v="174"/>
    <x v="2"/>
    <x v="7"/>
  </r>
  <r>
    <d v="2023-04-09T16:38:11"/>
    <x v="0"/>
    <x v="68"/>
    <x v="1"/>
    <x v="2"/>
    <x v="0"/>
    <x v="1"/>
    <x v="0"/>
    <x v="1"/>
    <n v="3"/>
    <x v="3"/>
    <x v="2"/>
    <x v="21"/>
    <x v="200"/>
    <x v="3"/>
    <x v="2"/>
  </r>
  <r>
    <d v="2023-04-09T16:40:09"/>
    <x v="0"/>
    <x v="189"/>
    <x v="0"/>
    <x v="4"/>
    <x v="0"/>
    <x v="0"/>
    <x v="0"/>
    <x v="0"/>
    <n v="3"/>
    <x v="5"/>
    <x v="1"/>
    <x v="9"/>
    <x v="201"/>
    <x v="0"/>
    <x v="4"/>
  </r>
  <r>
    <d v="2023-04-09T16:42:39"/>
    <x v="0"/>
    <x v="8"/>
    <x v="0"/>
    <x v="0"/>
    <x v="1"/>
    <x v="1"/>
    <x v="0"/>
    <x v="0"/>
    <n v="5"/>
    <x v="1"/>
    <x v="0"/>
    <x v="18"/>
    <x v="388"/>
    <x v="0"/>
    <x v="4"/>
  </r>
  <r>
    <d v="2023-04-09T17:09:52"/>
    <x v="0"/>
    <x v="659"/>
    <x v="0"/>
    <x v="2"/>
    <x v="2"/>
    <x v="1"/>
    <x v="0"/>
    <x v="0"/>
    <n v="5"/>
    <x v="6"/>
    <x v="1"/>
    <x v="6"/>
    <x v="316"/>
    <x v="0"/>
    <x v="2"/>
  </r>
  <r>
    <d v="2023-04-09T17:18:36"/>
    <x v="0"/>
    <x v="563"/>
    <x v="1"/>
    <x v="4"/>
    <x v="0"/>
    <x v="0"/>
    <x v="0"/>
    <x v="0"/>
    <n v="8"/>
    <x v="1"/>
    <x v="2"/>
    <x v="9"/>
    <x v="389"/>
    <x v="0"/>
    <x v="7"/>
  </r>
  <r>
    <d v="2023-04-09T17:27:28"/>
    <x v="0"/>
    <x v="579"/>
    <x v="0"/>
    <x v="2"/>
    <x v="2"/>
    <x v="1"/>
    <x v="0"/>
    <x v="1"/>
    <n v="1"/>
    <x v="3"/>
    <x v="0"/>
    <x v="6"/>
    <x v="174"/>
    <x v="3"/>
    <x v="6"/>
  </r>
  <r>
    <d v="2023-04-09T17:52:50"/>
    <x v="0"/>
    <x v="660"/>
    <x v="0"/>
    <x v="0"/>
    <x v="1"/>
    <x v="0"/>
    <x v="0"/>
    <x v="0"/>
    <n v="9"/>
    <x v="6"/>
    <x v="1"/>
    <x v="9"/>
    <x v="316"/>
    <x v="0"/>
    <x v="14"/>
  </r>
  <r>
    <d v="2023-04-09T18:24:30"/>
    <x v="0"/>
    <x v="289"/>
    <x v="0"/>
    <x v="2"/>
    <x v="0"/>
    <x v="0"/>
    <x v="0"/>
    <x v="0"/>
    <n v="1"/>
    <x v="5"/>
    <x v="1"/>
    <x v="18"/>
    <x v="390"/>
    <x v="0"/>
    <x v="3"/>
  </r>
  <r>
    <d v="2023-04-09T19:22:11"/>
    <x v="0"/>
    <x v="641"/>
    <x v="0"/>
    <x v="0"/>
    <x v="0"/>
    <x v="0"/>
    <x v="1"/>
    <x v="0"/>
    <n v="4"/>
    <x v="6"/>
    <x v="1"/>
    <x v="25"/>
    <x v="391"/>
    <x v="0"/>
    <x v="2"/>
  </r>
  <r>
    <d v="2023-04-09T19:33:31"/>
    <x v="0"/>
    <x v="293"/>
    <x v="1"/>
    <x v="4"/>
    <x v="1"/>
    <x v="1"/>
    <x v="0"/>
    <x v="0"/>
    <n v="1"/>
    <x v="1"/>
    <x v="2"/>
    <x v="6"/>
    <x v="179"/>
    <x v="0"/>
    <x v="19"/>
  </r>
  <r>
    <d v="2023-04-09T20:42:30"/>
    <x v="0"/>
    <x v="63"/>
    <x v="1"/>
    <x v="0"/>
    <x v="2"/>
    <x v="0"/>
    <x v="0"/>
    <x v="0"/>
    <n v="3"/>
    <x v="6"/>
    <x v="2"/>
    <x v="17"/>
    <x v="333"/>
    <x v="0"/>
    <x v="3"/>
  </r>
  <r>
    <d v="2023-04-09T20:45:06"/>
    <x v="0"/>
    <x v="63"/>
    <x v="1"/>
    <x v="2"/>
    <x v="1"/>
    <x v="1"/>
    <x v="0"/>
    <x v="0"/>
    <n v="4"/>
    <x v="1"/>
    <x v="2"/>
    <x v="8"/>
    <x v="392"/>
    <x v="0"/>
    <x v="3"/>
  </r>
  <r>
    <d v="2023-04-09T22:27:21"/>
    <x v="0"/>
    <x v="441"/>
    <x v="1"/>
    <x v="3"/>
    <x v="1"/>
    <x v="0"/>
    <x v="0"/>
    <x v="0"/>
    <n v="3"/>
    <x v="6"/>
    <x v="1"/>
    <x v="6"/>
    <x v="308"/>
    <x v="0"/>
    <x v="1"/>
  </r>
  <r>
    <d v="2023-04-10T09:49:56"/>
    <x v="0"/>
    <x v="661"/>
    <x v="1"/>
    <x v="3"/>
    <x v="1"/>
    <x v="0"/>
    <x v="1"/>
    <x v="1"/>
    <n v="5"/>
    <x v="5"/>
    <x v="1"/>
    <x v="18"/>
    <x v="393"/>
    <x v="0"/>
    <x v="1"/>
  </r>
  <r>
    <d v="2023-04-10T11:23:55"/>
    <x v="0"/>
    <x v="662"/>
    <x v="0"/>
    <x v="4"/>
    <x v="0"/>
    <x v="1"/>
    <x v="1"/>
    <x v="1"/>
    <n v="2"/>
    <x v="3"/>
    <x v="4"/>
    <x v="21"/>
    <x v="394"/>
    <x v="4"/>
    <x v="7"/>
  </r>
  <r>
    <d v="2023-04-10T11:42:49"/>
    <x v="0"/>
    <x v="663"/>
    <x v="0"/>
    <x v="4"/>
    <x v="1"/>
    <x v="0"/>
    <x v="0"/>
    <x v="0"/>
    <n v="2"/>
    <x v="6"/>
    <x v="1"/>
    <x v="24"/>
    <x v="224"/>
    <x v="0"/>
    <x v="1"/>
  </r>
  <r>
    <d v="2023-04-10T11:47:20"/>
    <x v="0"/>
    <x v="302"/>
    <x v="0"/>
    <x v="0"/>
    <x v="0"/>
    <x v="0"/>
    <x v="0"/>
    <x v="0"/>
    <n v="5"/>
    <x v="1"/>
    <x v="1"/>
    <x v="9"/>
    <x v="188"/>
    <x v="2"/>
    <x v="1"/>
  </r>
  <r>
    <d v="2023-04-10T12:03:42"/>
    <x v="0"/>
    <x v="660"/>
    <x v="0"/>
    <x v="0"/>
    <x v="2"/>
    <x v="0"/>
    <x v="0"/>
    <x v="0"/>
    <n v="7"/>
    <x v="3"/>
    <x v="2"/>
    <x v="11"/>
    <x v="261"/>
    <x v="2"/>
    <x v="1"/>
  </r>
  <r>
    <d v="2023-04-11T13:19:26"/>
    <x v="0"/>
    <x v="664"/>
    <x v="1"/>
    <x v="0"/>
    <x v="0"/>
    <x v="0"/>
    <x v="1"/>
    <x v="0"/>
    <n v="5"/>
    <x v="6"/>
    <x v="1"/>
    <x v="18"/>
    <x v="225"/>
    <x v="0"/>
    <x v="3"/>
  </r>
  <r>
    <d v="2023-04-11T13:31:17"/>
    <x v="2"/>
    <x v="665"/>
    <x v="0"/>
    <x v="1"/>
    <x v="0"/>
    <x v="1"/>
    <x v="0"/>
    <x v="0"/>
    <n v="1"/>
    <x v="6"/>
    <x v="1"/>
    <x v="7"/>
    <x v="395"/>
    <x v="1"/>
    <x v="1"/>
  </r>
  <r>
    <d v="2023-04-11T13:36:41"/>
    <x v="0"/>
    <x v="639"/>
    <x v="1"/>
    <x v="4"/>
    <x v="2"/>
    <x v="1"/>
    <x v="0"/>
    <x v="0"/>
    <n v="7"/>
    <x v="5"/>
    <x v="1"/>
    <x v="8"/>
    <x v="396"/>
    <x v="0"/>
    <x v="2"/>
  </r>
  <r>
    <d v="2023-04-11T22:42:29"/>
    <x v="0"/>
    <x v="666"/>
    <x v="0"/>
    <x v="1"/>
    <x v="2"/>
    <x v="1"/>
    <x v="1"/>
    <x v="1"/>
    <n v="8"/>
    <x v="0"/>
    <x v="0"/>
    <x v="18"/>
    <x v="197"/>
    <x v="2"/>
    <x v="1"/>
  </r>
  <r>
    <d v="2023-04-12T09:23:39"/>
    <x v="0"/>
    <x v="667"/>
    <x v="0"/>
    <x v="2"/>
    <x v="1"/>
    <x v="1"/>
    <x v="0"/>
    <x v="0"/>
    <n v="7"/>
    <x v="3"/>
    <x v="2"/>
    <x v="15"/>
    <x v="140"/>
    <x v="0"/>
    <x v="3"/>
  </r>
  <r>
    <d v="2023-04-13T15:22:43"/>
    <x v="0"/>
    <x v="497"/>
    <x v="0"/>
    <x v="4"/>
    <x v="2"/>
    <x v="0"/>
    <x v="0"/>
    <x v="0"/>
    <n v="7"/>
    <x v="1"/>
    <x v="0"/>
    <x v="14"/>
    <x v="240"/>
    <x v="1"/>
    <x v="1"/>
  </r>
  <r>
    <d v="2023-04-14T10:21:47"/>
    <x v="5"/>
    <x v="668"/>
    <x v="0"/>
    <x v="0"/>
    <x v="0"/>
    <x v="1"/>
    <x v="0"/>
    <x v="0"/>
    <n v="1"/>
    <x v="3"/>
    <x v="1"/>
    <x v="7"/>
    <x v="147"/>
    <x v="0"/>
    <x v="0"/>
  </r>
  <r>
    <d v="2023-04-17T16:05:51"/>
    <x v="0"/>
    <x v="639"/>
    <x v="0"/>
    <x v="0"/>
    <x v="1"/>
    <x v="1"/>
    <x v="0"/>
    <x v="0"/>
    <n v="1"/>
    <x v="1"/>
    <x v="1"/>
    <x v="17"/>
    <x v="397"/>
    <x v="0"/>
    <x v="7"/>
  </r>
  <r>
    <d v="2023-04-17T17:49:34"/>
    <x v="0"/>
    <x v="669"/>
    <x v="0"/>
    <x v="0"/>
    <x v="0"/>
    <x v="0"/>
    <x v="0"/>
    <x v="0"/>
    <n v="5"/>
    <x v="6"/>
    <x v="1"/>
    <x v="6"/>
    <x v="125"/>
    <x v="1"/>
    <x v="1"/>
  </r>
  <r>
    <d v="2023-04-17T17:54:17"/>
    <x v="0"/>
    <x v="670"/>
    <x v="1"/>
    <x v="4"/>
    <x v="0"/>
    <x v="0"/>
    <x v="0"/>
    <x v="0"/>
    <n v="6"/>
    <x v="5"/>
    <x v="2"/>
    <x v="9"/>
    <x v="306"/>
    <x v="2"/>
    <x v="3"/>
  </r>
  <r>
    <d v="2023-04-23T12:23:22"/>
    <x v="0"/>
    <x v="115"/>
    <x v="0"/>
    <x v="4"/>
    <x v="0"/>
    <x v="0"/>
    <x v="0"/>
    <x v="0"/>
    <n v="7"/>
    <x v="6"/>
    <x v="1"/>
    <x v="17"/>
    <x v="224"/>
    <x v="0"/>
    <x v="1"/>
  </r>
  <r>
    <d v="2023-04-27T20:55:47"/>
    <x v="0"/>
    <x v="671"/>
    <x v="0"/>
    <x v="2"/>
    <x v="0"/>
    <x v="0"/>
    <x v="0"/>
    <x v="0"/>
    <n v="7"/>
    <x v="6"/>
    <x v="1"/>
    <x v="17"/>
    <x v="398"/>
    <x v="0"/>
    <x v="7"/>
  </r>
  <r>
    <d v="2023-04-27T21:03:12"/>
    <x v="0"/>
    <x v="672"/>
    <x v="0"/>
    <x v="2"/>
    <x v="1"/>
    <x v="0"/>
    <x v="0"/>
    <x v="0"/>
    <n v="4"/>
    <x v="1"/>
    <x v="1"/>
    <x v="8"/>
    <x v="399"/>
    <x v="0"/>
    <x v="11"/>
  </r>
  <r>
    <d v="2023-04-27T21:04:00"/>
    <x v="0"/>
    <x v="552"/>
    <x v="0"/>
    <x v="4"/>
    <x v="0"/>
    <x v="1"/>
    <x v="1"/>
    <x v="1"/>
    <n v="6"/>
    <x v="5"/>
    <x v="2"/>
    <x v="17"/>
    <x v="302"/>
    <x v="1"/>
    <x v="1"/>
  </r>
  <r>
    <d v="2023-04-27T21:05:08"/>
    <x v="0"/>
    <x v="673"/>
    <x v="0"/>
    <x v="2"/>
    <x v="1"/>
    <x v="0"/>
    <x v="0"/>
    <x v="0"/>
    <n v="5"/>
    <x v="6"/>
    <x v="0"/>
    <x v="6"/>
    <x v="125"/>
    <x v="1"/>
    <x v="3"/>
  </r>
  <r>
    <d v="2023-04-27T21:05:43"/>
    <x v="0"/>
    <x v="64"/>
    <x v="0"/>
    <x v="1"/>
    <x v="0"/>
    <x v="0"/>
    <x v="0"/>
    <x v="1"/>
    <n v="8"/>
    <x v="6"/>
    <x v="1"/>
    <x v="19"/>
    <x v="400"/>
    <x v="1"/>
    <x v="12"/>
  </r>
  <r>
    <d v="2023-04-27T21:06:16"/>
    <x v="0"/>
    <x v="674"/>
    <x v="1"/>
    <x v="0"/>
    <x v="2"/>
    <x v="0"/>
    <x v="0"/>
    <x v="0"/>
    <n v="8"/>
    <x v="6"/>
    <x v="1"/>
    <x v="17"/>
    <x v="111"/>
    <x v="0"/>
    <x v="4"/>
  </r>
  <r>
    <d v="2023-04-27T21:06:39"/>
    <x v="0"/>
    <x v="675"/>
    <x v="0"/>
    <x v="0"/>
    <x v="0"/>
    <x v="0"/>
    <x v="0"/>
    <x v="0"/>
    <n v="6"/>
    <x v="6"/>
    <x v="1"/>
    <x v="12"/>
    <x v="401"/>
    <x v="0"/>
    <x v="1"/>
  </r>
  <r>
    <d v="2023-04-27T21:07:05"/>
    <x v="0"/>
    <x v="676"/>
    <x v="0"/>
    <x v="0"/>
    <x v="2"/>
    <x v="0"/>
    <x v="0"/>
    <x v="0"/>
    <n v="5"/>
    <x v="6"/>
    <x v="0"/>
    <x v="15"/>
    <x v="124"/>
    <x v="0"/>
    <x v="2"/>
  </r>
  <r>
    <d v="2023-04-27T21:07:39"/>
    <x v="0"/>
    <x v="614"/>
    <x v="0"/>
    <x v="1"/>
    <x v="0"/>
    <x v="0"/>
    <x v="0"/>
    <x v="0"/>
    <n v="8"/>
    <x v="0"/>
    <x v="1"/>
    <x v="7"/>
    <x v="323"/>
    <x v="0"/>
    <x v="1"/>
  </r>
  <r>
    <d v="2023-04-27T21:08:59"/>
    <x v="0"/>
    <x v="677"/>
    <x v="0"/>
    <x v="2"/>
    <x v="0"/>
    <x v="1"/>
    <x v="0"/>
    <x v="0"/>
    <n v="7"/>
    <x v="5"/>
    <x v="0"/>
    <x v="7"/>
    <x v="348"/>
    <x v="0"/>
    <x v="7"/>
  </r>
  <r>
    <d v="2023-04-27T21:09:34"/>
    <x v="0"/>
    <x v="17"/>
    <x v="1"/>
    <x v="3"/>
    <x v="2"/>
    <x v="1"/>
    <x v="0"/>
    <x v="0"/>
    <n v="4"/>
    <x v="6"/>
    <x v="1"/>
    <x v="6"/>
    <x v="174"/>
    <x v="0"/>
    <x v="12"/>
  </r>
  <r>
    <d v="2023-04-27T21:10:20"/>
    <x v="0"/>
    <x v="678"/>
    <x v="1"/>
    <x v="4"/>
    <x v="0"/>
    <x v="0"/>
    <x v="1"/>
    <x v="0"/>
    <n v="8"/>
    <x v="6"/>
    <x v="1"/>
    <x v="8"/>
    <x v="348"/>
    <x v="0"/>
    <x v="2"/>
  </r>
  <r>
    <d v="2023-04-27T21:12:07"/>
    <x v="0"/>
    <x v="679"/>
    <x v="0"/>
    <x v="3"/>
    <x v="2"/>
    <x v="0"/>
    <x v="1"/>
    <x v="1"/>
    <n v="4"/>
    <x v="6"/>
    <x v="1"/>
    <x v="6"/>
    <x v="125"/>
    <x v="0"/>
    <x v="3"/>
  </r>
  <r>
    <d v="2023-04-27T21:12:16"/>
    <x v="0"/>
    <x v="680"/>
    <x v="1"/>
    <x v="0"/>
    <x v="0"/>
    <x v="1"/>
    <x v="0"/>
    <x v="0"/>
    <n v="2"/>
    <x v="1"/>
    <x v="0"/>
    <x v="8"/>
    <x v="239"/>
    <x v="0"/>
    <x v="2"/>
  </r>
  <r>
    <d v="2023-04-27T21:12:27"/>
    <x v="0"/>
    <x v="681"/>
    <x v="0"/>
    <x v="2"/>
    <x v="2"/>
    <x v="1"/>
    <x v="0"/>
    <x v="0"/>
    <n v="7"/>
    <x v="6"/>
    <x v="1"/>
    <x v="17"/>
    <x v="201"/>
    <x v="0"/>
    <x v="3"/>
  </r>
  <r>
    <d v="2023-04-27T21:12:38"/>
    <x v="0"/>
    <x v="682"/>
    <x v="0"/>
    <x v="3"/>
    <x v="0"/>
    <x v="0"/>
    <x v="0"/>
    <x v="0"/>
    <n v="5"/>
    <x v="6"/>
    <x v="1"/>
    <x v="6"/>
    <x v="402"/>
    <x v="0"/>
    <x v="1"/>
  </r>
  <r>
    <d v="2023-04-27T21:13:10"/>
    <x v="0"/>
    <x v="342"/>
    <x v="0"/>
    <x v="3"/>
    <x v="0"/>
    <x v="1"/>
    <x v="0"/>
    <x v="0"/>
    <n v="2"/>
    <x v="6"/>
    <x v="1"/>
    <x v="6"/>
    <x v="403"/>
    <x v="0"/>
    <x v="3"/>
  </r>
  <r>
    <d v="2023-04-27T21:13:33"/>
    <x v="0"/>
    <x v="100"/>
    <x v="1"/>
    <x v="0"/>
    <x v="1"/>
    <x v="1"/>
    <x v="1"/>
    <x v="1"/>
    <n v="10"/>
    <x v="1"/>
    <x v="1"/>
    <x v="7"/>
    <x v="95"/>
    <x v="0"/>
    <x v="11"/>
  </r>
  <r>
    <d v="2023-04-27T21:13:59"/>
    <x v="0"/>
    <x v="683"/>
    <x v="0"/>
    <x v="3"/>
    <x v="0"/>
    <x v="1"/>
    <x v="0"/>
    <x v="0"/>
    <n v="5"/>
    <x v="6"/>
    <x v="1"/>
    <x v="9"/>
    <x v="400"/>
    <x v="1"/>
    <x v="1"/>
  </r>
  <r>
    <d v="2023-04-27T21:17:22"/>
    <x v="0"/>
    <x v="684"/>
    <x v="1"/>
    <x v="3"/>
    <x v="0"/>
    <x v="0"/>
    <x v="0"/>
    <x v="0"/>
    <n v="3"/>
    <x v="1"/>
    <x v="1"/>
    <x v="7"/>
    <x v="174"/>
    <x v="0"/>
    <x v="3"/>
  </r>
  <r>
    <d v="2023-04-27T21:18:01"/>
    <x v="0"/>
    <x v="685"/>
    <x v="1"/>
    <x v="3"/>
    <x v="2"/>
    <x v="1"/>
    <x v="0"/>
    <x v="0"/>
    <n v="2"/>
    <x v="5"/>
    <x v="1"/>
    <x v="18"/>
    <x v="238"/>
    <x v="0"/>
    <x v="5"/>
  </r>
  <r>
    <d v="2023-04-27T21:18:31"/>
    <x v="0"/>
    <x v="686"/>
    <x v="1"/>
    <x v="2"/>
    <x v="0"/>
    <x v="1"/>
    <x v="0"/>
    <x v="0"/>
    <n v="7"/>
    <x v="5"/>
    <x v="1"/>
    <x v="8"/>
    <x v="109"/>
    <x v="0"/>
    <x v="1"/>
  </r>
  <r>
    <d v="2023-04-27T21:20:55"/>
    <x v="0"/>
    <x v="687"/>
    <x v="1"/>
    <x v="4"/>
    <x v="2"/>
    <x v="0"/>
    <x v="0"/>
    <x v="0"/>
    <n v="4"/>
    <x v="6"/>
    <x v="2"/>
    <x v="9"/>
    <x v="239"/>
    <x v="0"/>
    <x v="3"/>
  </r>
  <r>
    <d v="2023-04-27T21:21:20"/>
    <x v="0"/>
    <x v="374"/>
    <x v="1"/>
    <x v="2"/>
    <x v="2"/>
    <x v="1"/>
    <x v="0"/>
    <x v="0"/>
    <n v="8"/>
    <x v="3"/>
    <x v="2"/>
    <x v="9"/>
    <x v="111"/>
    <x v="0"/>
    <x v="3"/>
  </r>
  <r>
    <d v="2023-04-27T21:21:38"/>
    <x v="0"/>
    <x v="47"/>
    <x v="1"/>
    <x v="2"/>
    <x v="1"/>
    <x v="0"/>
    <x v="1"/>
    <x v="0"/>
    <n v="7"/>
    <x v="3"/>
    <x v="1"/>
    <x v="19"/>
    <x v="286"/>
    <x v="1"/>
    <x v="5"/>
  </r>
  <r>
    <d v="2023-04-27T21:23:38"/>
    <x v="0"/>
    <x v="660"/>
    <x v="0"/>
    <x v="0"/>
    <x v="0"/>
    <x v="0"/>
    <x v="0"/>
    <x v="0"/>
    <n v="2"/>
    <x v="1"/>
    <x v="1"/>
    <x v="6"/>
    <x v="174"/>
    <x v="0"/>
    <x v="1"/>
  </r>
  <r>
    <d v="2023-04-27T21:24:10"/>
    <x v="0"/>
    <x v="566"/>
    <x v="0"/>
    <x v="3"/>
    <x v="0"/>
    <x v="3"/>
    <x v="0"/>
    <x v="0"/>
    <n v="2"/>
    <x v="3"/>
    <x v="1"/>
    <x v="6"/>
    <x v="404"/>
    <x v="0"/>
    <x v="19"/>
  </r>
  <r>
    <d v="2023-04-27T21:24:55"/>
    <x v="0"/>
    <x v="688"/>
    <x v="0"/>
    <x v="0"/>
    <x v="2"/>
    <x v="0"/>
    <x v="0"/>
    <x v="0"/>
    <n v="7"/>
    <x v="1"/>
    <x v="1"/>
    <x v="19"/>
    <x v="110"/>
    <x v="0"/>
    <x v="0"/>
  </r>
  <r>
    <d v="2023-04-27T21:25:04"/>
    <x v="0"/>
    <x v="689"/>
    <x v="1"/>
    <x v="3"/>
    <x v="0"/>
    <x v="0"/>
    <x v="0"/>
    <x v="0"/>
    <n v="7"/>
    <x v="6"/>
    <x v="1"/>
    <x v="17"/>
    <x v="111"/>
    <x v="0"/>
    <x v="5"/>
  </r>
  <r>
    <d v="2023-04-27T21:25:37"/>
    <x v="0"/>
    <x v="134"/>
    <x v="1"/>
    <x v="0"/>
    <x v="0"/>
    <x v="0"/>
    <x v="0"/>
    <x v="0"/>
    <n v="5"/>
    <x v="5"/>
    <x v="2"/>
    <x v="9"/>
    <x v="253"/>
    <x v="0"/>
    <x v="15"/>
  </r>
  <r>
    <d v="2023-04-27T21:25:50"/>
    <x v="0"/>
    <x v="225"/>
    <x v="0"/>
    <x v="4"/>
    <x v="2"/>
    <x v="0"/>
    <x v="1"/>
    <x v="0"/>
    <n v="6"/>
    <x v="6"/>
    <x v="2"/>
    <x v="25"/>
    <x v="292"/>
    <x v="0"/>
    <x v="3"/>
  </r>
  <r>
    <d v="2023-04-27T21:26:21"/>
    <x v="0"/>
    <x v="690"/>
    <x v="1"/>
    <x v="3"/>
    <x v="0"/>
    <x v="1"/>
    <x v="0"/>
    <x v="1"/>
    <n v="6"/>
    <x v="1"/>
    <x v="2"/>
    <x v="17"/>
    <x v="405"/>
    <x v="0"/>
    <x v="3"/>
  </r>
  <r>
    <d v="2023-04-27T21:26:38"/>
    <x v="0"/>
    <x v="691"/>
    <x v="1"/>
    <x v="4"/>
    <x v="2"/>
    <x v="0"/>
    <x v="0"/>
    <x v="0"/>
    <n v="8"/>
    <x v="1"/>
    <x v="1"/>
    <x v="8"/>
    <x v="245"/>
    <x v="0"/>
    <x v="1"/>
  </r>
  <r>
    <d v="2023-04-27T21:27:54"/>
    <x v="0"/>
    <x v="692"/>
    <x v="0"/>
    <x v="1"/>
    <x v="0"/>
    <x v="1"/>
    <x v="0"/>
    <x v="0"/>
    <n v="4"/>
    <x v="3"/>
    <x v="2"/>
    <x v="14"/>
    <x v="138"/>
    <x v="2"/>
    <x v="6"/>
  </r>
  <r>
    <d v="2023-04-27T21:27:59"/>
    <x v="0"/>
    <x v="693"/>
    <x v="0"/>
    <x v="3"/>
    <x v="1"/>
    <x v="0"/>
    <x v="1"/>
    <x v="1"/>
    <n v="5"/>
    <x v="6"/>
    <x v="1"/>
    <x v="9"/>
    <x v="406"/>
    <x v="0"/>
    <x v="1"/>
  </r>
  <r>
    <d v="2023-04-27T21:31:49"/>
    <x v="0"/>
    <x v="694"/>
    <x v="0"/>
    <x v="1"/>
    <x v="2"/>
    <x v="0"/>
    <x v="1"/>
    <x v="0"/>
    <n v="8"/>
    <x v="1"/>
    <x v="0"/>
    <x v="16"/>
    <x v="407"/>
    <x v="2"/>
    <x v="4"/>
  </r>
  <r>
    <d v="2023-04-27T21:32:05"/>
    <x v="0"/>
    <x v="684"/>
    <x v="0"/>
    <x v="4"/>
    <x v="1"/>
    <x v="0"/>
    <x v="0"/>
    <x v="0"/>
    <n v="1"/>
    <x v="6"/>
    <x v="1"/>
    <x v="19"/>
    <x v="200"/>
    <x v="0"/>
    <x v="3"/>
  </r>
  <r>
    <d v="2023-04-27T21:33:00"/>
    <x v="0"/>
    <x v="695"/>
    <x v="0"/>
    <x v="3"/>
    <x v="0"/>
    <x v="1"/>
    <x v="0"/>
    <x v="0"/>
    <n v="4"/>
    <x v="3"/>
    <x v="2"/>
    <x v="9"/>
    <x v="111"/>
    <x v="0"/>
    <x v="1"/>
  </r>
  <r>
    <d v="2023-04-27T21:33:24"/>
    <x v="5"/>
    <x v="696"/>
    <x v="0"/>
    <x v="2"/>
    <x v="0"/>
    <x v="0"/>
    <x v="1"/>
    <x v="1"/>
    <n v="7"/>
    <x v="6"/>
    <x v="1"/>
    <x v="15"/>
    <x v="298"/>
    <x v="4"/>
    <x v="7"/>
  </r>
  <r>
    <d v="2023-04-27T21:34:21"/>
    <x v="0"/>
    <x v="697"/>
    <x v="0"/>
    <x v="4"/>
    <x v="0"/>
    <x v="0"/>
    <x v="0"/>
    <x v="1"/>
    <n v="7"/>
    <x v="1"/>
    <x v="0"/>
    <x v="22"/>
    <x v="120"/>
    <x v="0"/>
    <x v="11"/>
  </r>
  <r>
    <d v="2023-04-27T21:34:43"/>
    <x v="5"/>
    <x v="698"/>
    <x v="0"/>
    <x v="4"/>
    <x v="0"/>
    <x v="0"/>
    <x v="1"/>
    <x v="1"/>
    <n v="10"/>
    <x v="6"/>
    <x v="1"/>
    <x v="13"/>
    <x v="408"/>
    <x v="2"/>
    <x v="9"/>
  </r>
  <r>
    <d v="2023-04-27T21:37:31"/>
    <x v="0"/>
    <x v="39"/>
    <x v="1"/>
    <x v="0"/>
    <x v="0"/>
    <x v="1"/>
    <x v="0"/>
    <x v="0"/>
    <n v="8"/>
    <x v="5"/>
    <x v="2"/>
    <x v="25"/>
    <x v="111"/>
    <x v="0"/>
    <x v="2"/>
  </r>
  <r>
    <d v="2023-04-27T21:40:10"/>
    <x v="0"/>
    <x v="683"/>
    <x v="0"/>
    <x v="0"/>
    <x v="1"/>
    <x v="1"/>
    <x v="0"/>
    <x v="0"/>
    <n v="6"/>
    <x v="0"/>
    <x v="2"/>
    <x v="12"/>
    <x v="409"/>
    <x v="0"/>
    <x v="3"/>
  </r>
  <r>
    <d v="2023-04-27T21:40:34"/>
    <x v="0"/>
    <x v="355"/>
    <x v="0"/>
    <x v="1"/>
    <x v="2"/>
    <x v="0"/>
    <x v="1"/>
    <x v="1"/>
    <n v="8"/>
    <x v="6"/>
    <x v="0"/>
    <x v="14"/>
    <x v="410"/>
    <x v="1"/>
    <x v="1"/>
  </r>
  <r>
    <d v="2023-04-27T21:41:15"/>
    <x v="0"/>
    <x v="660"/>
    <x v="1"/>
    <x v="0"/>
    <x v="2"/>
    <x v="0"/>
    <x v="0"/>
    <x v="0"/>
    <n v="5"/>
    <x v="5"/>
    <x v="1"/>
    <x v="11"/>
    <x v="411"/>
    <x v="0"/>
    <x v="4"/>
  </r>
  <r>
    <d v="2023-04-27T21:46:06"/>
    <x v="0"/>
    <x v="683"/>
    <x v="0"/>
    <x v="3"/>
    <x v="0"/>
    <x v="0"/>
    <x v="0"/>
    <x v="0"/>
    <n v="5"/>
    <x v="6"/>
    <x v="1"/>
    <x v="7"/>
    <x v="141"/>
    <x v="0"/>
    <x v="4"/>
  </r>
  <r>
    <d v="2023-04-27T21:47:09"/>
    <x v="0"/>
    <x v="324"/>
    <x v="1"/>
    <x v="3"/>
    <x v="2"/>
    <x v="1"/>
    <x v="0"/>
    <x v="1"/>
    <n v="8"/>
    <x v="3"/>
    <x v="1"/>
    <x v="11"/>
    <x v="179"/>
    <x v="0"/>
    <x v="12"/>
  </r>
  <r>
    <d v="2023-04-27T21:50:58"/>
    <x v="0"/>
    <x v="699"/>
    <x v="0"/>
    <x v="2"/>
    <x v="0"/>
    <x v="0"/>
    <x v="0"/>
    <x v="0"/>
    <n v="5"/>
    <x v="1"/>
    <x v="1"/>
    <x v="6"/>
    <x v="412"/>
    <x v="0"/>
    <x v="2"/>
  </r>
  <r>
    <d v="2023-04-27T21:55:45"/>
    <x v="0"/>
    <x v="700"/>
    <x v="1"/>
    <x v="0"/>
    <x v="2"/>
    <x v="1"/>
    <x v="1"/>
    <x v="0"/>
    <n v="4"/>
    <x v="3"/>
    <x v="1"/>
    <x v="19"/>
    <x v="371"/>
    <x v="0"/>
    <x v="3"/>
  </r>
  <r>
    <d v="2023-04-27T21:57:11"/>
    <x v="0"/>
    <x v="701"/>
    <x v="1"/>
    <x v="0"/>
    <x v="0"/>
    <x v="1"/>
    <x v="0"/>
    <x v="0"/>
    <n v="8"/>
    <x v="3"/>
    <x v="2"/>
    <x v="10"/>
    <x v="143"/>
    <x v="0"/>
    <x v="7"/>
  </r>
  <r>
    <d v="2023-04-27T21:58:42"/>
    <x v="0"/>
    <x v="536"/>
    <x v="1"/>
    <x v="0"/>
    <x v="0"/>
    <x v="0"/>
    <x v="0"/>
    <x v="0"/>
    <n v="4"/>
    <x v="6"/>
    <x v="1"/>
    <x v="15"/>
    <x v="167"/>
    <x v="1"/>
    <x v="1"/>
  </r>
  <r>
    <d v="2023-04-27T21:59:43"/>
    <x v="0"/>
    <x v="702"/>
    <x v="0"/>
    <x v="4"/>
    <x v="1"/>
    <x v="0"/>
    <x v="1"/>
    <x v="0"/>
    <n v="5"/>
    <x v="5"/>
    <x v="1"/>
    <x v="10"/>
    <x v="413"/>
    <x v="2"/>
    <x v="3"/>
  </r>
  <r>
    <d v="2023-04-27T22:00:02"/>
    <x v="0"/>
    <x v="359"/>
    <x v="1"/>
    <x v="4"/>
    <x v="0"/>
    <x v="0"/>
    <x v="0"/>
    <x v="0"/>
    <n v="4"/>
    <x v="1"/>
    <x v="1"/>
    <x v="17"/>
    <x v="371"/>
    <x v="0"/>
    <x v="1"/>
  </r>
  <r>
    <d v="2023-04-27T22:02:16"/>
    <x v="0"/>
    <x v="703"/>
    <x v="0"/>
    <x v="3"/>
    <x v="0"/>
    <x v="3"/>
    <x v="0"/>
    <x v="0"/>
    <n v="2"/>
    <x v="1"/>
    <x v="1"/>
    <x v="17"/>
    <x v="299"/>
    <x v="1"/>
    <x v="3"/>
  </r>
  <r>
    <d v="2023-04-27T22:08:02"/>
    <x v="0"/>
    <x v="704"/>
    <x v="1"/>
    <x v="3"/>
    <x v="2"/>
    <x v="0"/>
    <x v="1"/>
    <x v="0"/>
    <n v="7"/>
    <x v="6"/>
    <x v="2"/>
    <x v="11"/>
    <x v="399"/>
    <x v="0"/>
    <x v="3"/>
  </r>
  <r>
    <d v="2023-04-27T22:08:34"/>
    <x v="0"/>
    <x v="702"/>
    <x v="1"/>
    <x v="4"/>
    <x v="0"/>
    <x v="0"/>
    <x v="0"/>
    <x v="0"/>
    <n v="5"/>
    <x v="6"/>
    <x v="2"/>
    <x v="7"/>
    <x v="191"/>
    <x v="0"/>
    <x v="1"/>
  </r>
  <r>
    <d v="2023-04-27T22:08:51"/>
    <x v="0"/>
    <x v="705"/>
    <x v="1"/>
    <x v="3"/>
    <x v="2"/>
    <x v="0"/>
    <x v="0"/>
    <x v="0"/>
    <n v="8"/>
    <x v="1"/>
    <x v="1"/>
    <x v="6"/>
    <x v="414"/>
    <x v="1"/>
    <x v="3"/>
  </r>
  <r>
    <d v="2023-04-27T22:10:51"/>
    <x v="0"/>
    <x v="706"/>
    <x v="1"/>
    <x v="1"/>
    <x v="2"/>
    <x v="0"/>
    <x v="0"/>
    <x v="0"/>
    <n v="5"/>
    <x v="6"/>
    <x v="1"/>
    <x v="6"/>
    <x v="129"/>
    <x v="0"/>
    <x v="7"/>
  </r>
  <r>
    <d v="2023-04-27T22:11:27"/>
    <x v="0"/>
    <x v="707"/>
    <x v="0"/>
    <x v="0"/>
    <x v="1"/>
    <x v="0"/>
    <x v="0"/>
    <x v="0"/>
    <n v="5"/>
    <x v="0"/>
    <x v="1"/>
    <x v="6"/>
    <x v="327"/>
    <x v="1"/>
    <x v="8"/>
  </r>
  <r>
    <d v="2023-04-27T22:14:25"/>
    <x v="0"/>
    <x v="340"/>
    <x v="1"/>
    <x v="3"/>
    <x v="2"/>
    <x v="0"/>
    <x v="0"/>
    <x v="0"/>
    <n v="5"/>
    <x v="1"/>
    <x v="2"/>
    <x v="9"/>
    <x v="306"/>
    <x v="2"/>
    <x v="11"/>
  </r>
  <r>
    <d v="2023-04-27T22:14:45"/>
    <x v="0"/>
    <x v="708"/>
    <x v="0"/>
    <x v="1"/>
    <x v="0"/>
    <x v="1"/>
    <x v="0"/>
    <x v="0"/>
    <n v="6"/>
    <x v="6"/>
    <x v="1"/>
    <x v="16"/>
    <x v="170"/>
    <x v="0"/>
    <x v="1"/>
  </r>
  <r>
    <d v="2023-04-27T22:15:05"/>
    <x v="0"/>
    <x v="709"/>
    <x v="1"/>
    <x v="2"/>
    <x v="2"/>
    <x v="0"/>
    <x v="1"/>
    <x v="0"/>
    <n v="6"/>
    <x v="3"/>
    <x v="1"/>
    <x v="15"/>
    <x v="121"/>
    <x v="0"/>
    <x v="5"/>
  </r>
  <r>
    <d v="2023-04-27T22:15:34"/>
    <x v="0"/>
    <x v="710"/>
    <x v="0"/>
    <x v="0"/>
    <x v="1"/>
    <x v="0"/>
    <x v="1"/>
    <x v="0"/>
    <n v="8"/>
    <x v="1"/>
    <x v="1"/>
    <x v="11"/>
    <x v="144"/>
    <x v="0"/>
    <x v="7"/>
  </r>
  <r>
    <d v="2023-04-27T22:15:55"/>
    <x v="0"/>
    <x v="578"/>
    <x v="1"/>
    <x v="4"/>
    <x v="0"/>
    <x v="1"/>
    <x v="0"/>
    <x v="1"/>
    <n v="1"/>
    <x v="1"/>
    <x v="1"/>
    <x v="17"/>
    <x v="132"/>
    <x v="2"/>
    <x v="20"/>
  </r>
  <r>
    <d v="2023-04-27T22:16:10"/>
    <x v="0"/>
    <x v="412"/>
    <x v="0"/>
    <x v="1"/>
    <x v="1"/>
    <x v="0"/>
    <x v="1"/>
    <x v="0"/>
    <n v="8"/>
    <x v="5"/>
    <x v="2"/>
    <x v="19"/>
    <x v="95"/>
    <x v="0"/>
    <x v="1"/>
  </r>
  <r>
    <d v="2023-04-27T22:16:21"/>
    <x v="0"/>
    <x v="711"/>
    <x v="1"/>
    <x v="2"/>
    <x v="2"/>
    <x v="3"/>
    <x v="0"/>
    <x v="0"/>
    <n v="2"/>
    <x v="1"/>
    <x v="2"/>
    <x v="11"/>
    <x v="410"/>
    <x v="0"/>
    <x v="3"/>
  </r>
  <r>
    <d v="2023-04-27T22:16:37"/>
    <x v="0"/>
    <x v="614"/>
    <x v="1"/>
    <x v="1"/>
    <x v="2"/>
    <x v="1"/>
    <x v="0"/>
    <x v="0"/>
    <n v="7"/>
    <x v="6"/>
    <x v="1"/>
    <x v="13"/>
    <x v="365"/>
    <x v="0"/>
    <x v="4"/>
  </r>
  <r>
    <d v="2023-04-27T22:20:11"/>
    <x v="0"/>
    <x v="712"/>
    <x v="0"/>
    <x v="2"/>
    <x v="0"/>
    <x v="0"/>
    <x v="0"/>
    <x v="1"/>
    <n v="10"/>
    <x v="5"/>
    <x v="1"/>
    <x v="6"/>
    <x v="113"/>
    <x v="2"/>
    <x v="3"/>
  </r>
  <r>
    <d v="2023-04-27T22:20:55"/>
    <x v="0"/>
    <x v="713"/>
    <x v="1"/>
    <x v="3"/>
    <x v="0"/>
    <x v="0"/>
    <x v="0"/>
    <x v="0"/>
    <n v="5"/>
    <x v="6"/>
    <x v="2"/>
    <x v="9"/>
    <x v="415"/>
    <x v="0"/>
    <x v="6"/>
  </r>
  <r>
    <d v="2023-04-27T22:20:56"/>
    <x v="0"/>
    <x v="714"/>
    <x v="1"/>
    <x v="0"/>
    <x v="2"/>
    <x v="0"/>
    <x v="0"/>
    <x v="0"/>
    <n v="1"/>
    <x v="1"/>
    <x v="1"/>
    <x v="19"/>
    <x v="331"/>
    <x v="0"/>
    <x v="1"/>
  </r>
  <r>
    <d v="2023-04-27T22:22:21"/>
    <x v="0"/>
    <x v="715"/>
    <x v="0"/>
    <x v="4"/>
    <x v="0"/>
    <x v="0"/>
    <x v="1"/>
    <x v="1"/>
    <n v="5"/>
    <x v="3"/>
    <x v="1"/>
    <x v="17"/>
    <x v="200"/>
    <x v="2"/>
    <x v="6"/>
  </r>
  <r>
    <d v="2023-04-27T22:22:58"/>
    <x v="0"/>
    <x v="716"/>
    <x v="1"/>
    <x v="0"/>
    <x v="0"/>
    <x v="1"/>
    <x v="0"/>
    <x v="0"/>
    <n v="5"/>
    <x v="1"/>
    <x v="1"/>
    <x v="11"/>
    <x v="416"/>
    <x v="0"/>
    <x v="4"/>
  </r>
  <r>
    <d v="2023-04-27T22:23:03"/>
    <x v="0"/>
    <x v="717"/>
    <x v="0"/>
    <x v="1"/>
    <x v="2"/>
    <x v="0"/>
    <x v="0"/>
    <x v="0"/>
    <n v="8"/>
    <x v="1"/>
    <x v="1"/>
    <x v="17"/>
    <x v="197"/>
    <x v="0"/>
    <x v="1"/>
  </r>
  <r>
    <d v="2023-04-27T22:24:42"/>
    <x v="0"/>
    <x v="718"/>
    <x v="1"/>
    <x v="4"/>
    <x v="0"/>
    <x v="1"/>
    <x v="0"/>
    <x v="0"/>
    <n v="10"/>
    <x v="3"/>
    <x v="2"/>
    <x v="14"/>
    <x v="140"/>
    <x v="2"/>
    <x v="3"/>
  </r>
  <r>
    <d v="2023-04-27T22:25:50"/>
    <x v="0"/>
    <x v="340"/>
    <x v="1"/>
    <x v="0"/>
    <x v="1"/>
    <x v="0"/>
    <x v="0"/>
    <x v="0"/>
    <n v="2"/>
    <x v="1"/>
    <x v="1"/>
    <x v="6"/>
    <x v="153"/>
    <x v="2"/>
    <x v="1"/>
  </r>
  <r>
    <d v="2023-04-27T22:30:12"/>
    <x v="0"/>
    <x v="719"/>
    <x v="1"/>
    <x v="4"/>
    <x v="0"/>
    <x v="0"/>
    <x v="0"/>
    <x v="0"/>
    <n v="4"/>
    <x v="1"/>
    <x v="0"/>
    <x v="7"/>
    <x v="266"/>
    <x v="1"/>
    <x v="8"/>
  </r>
  <r>
    <d v="2023-04-27T22:32:09"/>
    <x v="0"/>
    <x v="720"/>
    <x v="1"/>
    <x v="0"/>
    <x v="1"/>
    <x v="1"/>
    <x v="0"/>
    <x v="0"/>
    <n v="6"/>
    <x v="5"/>
    <x v="1"/>
    <x v="6"/>
    <x v="348"/>
    <x v="0"/>
    <x v="2"/>
  </r>
  <r>
    <d v="2023-04-27T22:32:17"/>
    <x v="0"/>
    <x v="721"/>
    <x v="0"/>
    <x v="3"/>
    <x v="0"/>
    <x v="0"/>
    <x v="1"/>
    <x v="1"/>
    <n v="6"/>
    <x v="3"/>
    <x v="1"/>
    <x v="11"/>
    <x v="284"/>
    <x v="1"/>
    <x v="7"/>
  </r>
  <r>
    <d v="2023-04-27T22:37:25"/>
    <x v="0"/>
    <x v="635"/>
    <x v="1"/>
    <x v="4"/>
    <x v="0"/>
    <x v="1"/>
    <x v="0"/>
    <x v="0"/>
    <n v="5"/>
    <x v="1"/>
    <x v="1"/>
    <x v="11"/>
    <x v="415"/>
    <x v="0"/>
    <x v="5"/>
  </r>
  <r>
    <d v="2023-04-27T22:37:57"/>
    <x v="0"/>
    <x v="343"/>
    <x v="1"/>
    <x v="4"/>
    <x v="0"/>
    <x v="0"/>
    <x v="0"/>
    <x v="0"/>
    <n v="7"/>
    <x v="3"/>
    <x v="2"/>
    <x v="10"/>
    <x v="286"/>
    <x v="0"/>
    <x v="1"/>
  </r>
  <r>
    <d v="2023-04-27T22:39:16"/>
    <x v="0"/>
    <x v="722"/>
    <x v="0"/>
    <x v="1"/>
    <x v="0"/>
    <x v="1"/>
    <x v="0"/>
    <x v="0"/>
    <n v="10"/>
    <x v="3"/>
    <x v="1"/>
    <x v="19"/>
    <x v="192"/>
    <x v="0"/>
    <x v="15"/>
  </r>
  <r>
    <d v="2023-04-27T22:39:28"/>
    <x v="0"/>
    <x v="688"/>
    <x v="1"/>
    <x v="4"/>
    <x v="1"/>
    <x v="0"/>
    <x v="0"/>
    <x v="1"/>
    <n v="7"/>
    <x v="1"/>
    <x v="1"/>
    <x v="10"/>
    <x v="257"/>
    <x v="2"/>
    <x v="11"/>
  </r>
  <r>
    <d v="2023-04-27T22:39:33"/>
    <x v="0"/>
    <x v="722"/>
    <x v="0"/>
    <x v="0"/>
    <x v="2"/>
    <x v="0"/>
    <x v="1"/>
    <x v="0"/>
    <n v="8"/>
    <x v="1"/>
    <x v="1"/>
    <x v="11"/>
    <x v="417"/>
    <x v="0"/>
    <x v="1"/>
  </r>
  <r>
    <d v="2023-04-27T22:42:02"/>
    <x v="0"/>
    <x v="723"/>
    <x v="0"/>
    <x v="4"/>
    <x v="2"/>
    <x v="0"/>
    <x v="0"/>
    <x v="0"/>
    <n v="7"/>
    <x v="1"/>
    <x v="1"/>
    <x v="17"/>
    <x v="418"/>
    <x v="0"/>
    <x v="6"/>
  </r>
  <r>
    <d v="2023-04-27T22:42:23"/>
    <x v="0"/>
    <x v="614"/>
    <x v="0"/>
    <x v="0"/>
    <x v="0"/>
    <x v="0"/>
    <x v="0"/>
    <x v="0"/>
    <n v="1"/>
    <x v="1"/>
    <x v="2"/>
    <x v="17"/>
    <x v="128"/>
    <x v="0"/>
    <x v="4"/>
  </r>
  <r>
    <d v="2023-04-27T22:49:21"/>
    <x v="0"/>
    <x v="724"/>
    <x v="0"/>
    <x v="3"/>
    <x v="2"/>
    <x v="1"/>
    <x v="0"/>
    <x v="0"/>
    <n v="5"/>
    <x v="1"/>
    <x v="2"/>
    <x v="9"/>
    <x v="101"/>
    <x v="2"/>
    <x v="1"/>
  </r>
  <r>
    <d v="2023-04-27T22:50:00"/>
    <x v="0"/>
    <x v="725"/>
    <x v="0"/>
    <x v="2"/>
    <x v="2"/>
    <x v="1"/>
    <x v="0"/>
    <x v="0"/>
    <n v="7"/>
    <x v="1"/>
    <x v="1"/>
    <x v="6"/>
    <x v="325"/>
    <x v="0"/>
    <x v="3"/>
  </r>
  <r>
    <d v="2023-04-27T22:50:28"/>
    <x v="0"/>
    <x v="329"/>
    <x v="0"/>
    <x v="0"/>
    <x v="0"/>
    <x v="0"/>
    <x v="0"/>
    <x v="0"/>
    <n v="6"/>
    <x v="3"/>
    <x v="2"/>
    <x v="9"/>
    <x v="200"/>
    <x v="2"/>
    <x v="3"/>
  </r>
  <r>
    <d v="2023-04-27T22:51:09"/>
    <x v="0"/>
    <x v="708"/>
    <x v="0"/>
    <x v="3"/>
    <x v="0"/>
    <x v="1"/>
    <x v="0"/>
    <x v="1"/>
    <n v="8"/>
    <x v="5"/>
    <x v="2"/>
    <x v="11"/>
    <x v="141"/>
    <x v="1"/>
    <x v="1"/>
  </r>
  <r>
    <d v="2023-04-27T22:53:06"/>
    <x v="0"/>
    <x v="726"/>
    <x v="0"/>
    <x v="4"/>
    <x v="2"/>
    <x v="0"/>
    <x v="1"/>
    <x v="0"/>
    <n v="3"/>
    <x v="3"/>
    <x v="2"/>
    <x v="21"/>
    <x v="264"/>
    <x v="3"/>
    <x v="0"/>
  </r>
  <r>
    <d v="2023-04-27T22:53:08"/>
    <x v="0"/>
    <x v="727"/>
    <x v="0"/>
    <x v="3"/>
    <x v="1"/>
    <x v="0"/>
    <x v="1"/>
    <x v="1"/>
    <n v="9"/>
    <x v="1"/>
    <x v="2"/>
    <x v="6"/>
    <x v="403"/>
    <x v="0"/>
    <x v="1"/>
  </r>
  <r>
    <d v="2023-04-27T22:53:22"/>
    <x v="0"/>
    <x v="718"/>
    <x v="1"/>
    <x v="4"/>
    <x v="0"/>
    <x v="0"/>
    <x v="0"/>
    <x v="0"/>
    <n v="9"/>
    <x v="6"/>
    <x v="2"/>
    <x v="17"/>
    <x v="197"/>
    <x v="0"/>
    <x v="3"/>
  </r>
  <r>
    <d v="2023-04-27T22:54:40"/>
    <x v="0"/>
    <x v="728"/>
    <x v="1"/>
    <x v="4"/>
    <x v="1"/>
    <x v="0"/>
    <x v="0"/>
    <x v="0"/>
    <n v="1"/>
    <x v="1"/>
    <x v="2"/>
    <x v="16"/>
    <x v="249"/>
    <x v="2"/>
    <x v="3"/>
  </r>
  <r>
    <d v="2023-04-27T23:03:07"/>
    <x v="0"/>
    <x v="309"/>
    <x v="0"/>
    <x v="1"/>
    <x v="2"/>
    <x v="1"/>
    <x v="0"/>
    <x v="0"/>
    <n v="5"/>
    <x v="6"/>
    <x v="2"/>
    <x v="18"/>
    <x v="419"/>
    <x v="0"/>
    <x v="1"/>
  </r>
  <r>
    <d v="2023-04-27T23:04:38"/>
    <x v="0"/>
    <x v="371"/>
    <x v="0"/>
    <x v="2"/>
    <x v="2"/>
    <x v="0"/>
    <x v="0"/>
    <x v="0"/>
    <n v="4"/>
    <x v="1"/>
    <x v="2"/>
    <x v="9"/>
    <x v="325"/>
    <x v="0"/>
    <x v="8"/>
  </r>
  <r>
    <d v="2023-04-27T23:11:27"/>
    <x v="0"/>
    <x v="729"/>
    <x v="1"/>
    <x v="4"/>
    <x v="1"/>
    <x v="1"/>
    <x v="1"/>
    <x v="1"/>
    <n v="10"/>
    <x v="1"/>
    <x v="2"/>
    <x v="9"/>
    <x v="299"/>
    <x v="1"/>
    <x v="1"/>
  </r>
  <r>
    <d v="2023-04-27T23:11:50"/>
    <x v="0"/>
    <x v="730"/>
    <x v="0"/>
    <x v="2"/>
    <x v="2"/>
    <x v="1"/>
    <x v="1"/>
    <x v="1"/>
    <n v="7"/>
    <x v="1"/>
    <x v="1"/>
    <x v="11"/>
    <x v="179"/>
    <x v="0"/>
    <x v="4"/>
  </r>
  <r>
    <d v="2023-04-27T23:13:16"/>
    <x v="0"/>
    <x v="731"/>
    <x v="0"/>
    <x v="0"/>
    <x v="0"/>
    <x v="0"/>
    <x v="1"/>
    <x v="0"/>
    <n v="5"/>
    <x v="1"/>
    <x v="1"/>
    <x v="17"/>
    <x v="420"/>
    <x v="0"/>
    <x v="16"/>
  </r>
  <r>
    <d v="2023-04-27T23:13:57"/>
    <x v="0"/>
    <x v="371"/>
    <x v="0"/>
    <x v="2"/>
    <x v="2"/>
    <x v="0"/>
    <x v="0"/>
    <x v="0"/>
    <n v="8"/>
    <x v="1"/>
    <x v="1"/>
    <x v="6"/>
    <x v="146"/>
    <x v="0"/>
    <x v="1"/>
  </r>
  <r>
    <d v="2023-04-27T23:14:46"/>
    <x v="0"/>
    <x v="688"/>
    <x v="1"/>
    <x v="2"/>
    <x v="0"/>
    <x v="0"/>
    <x v="1"/>
    <x v="0"/>
    <n v="7"/>
    <x v="1"/>
    <x v="0"/>
    <x v="19"/>
    <x v="421"/>
    <x v="0"/>
    <x v="1"/>
  </r>
  <r>
    <d v="2023-04-27T23:15:15"/>
    <x v="0"/>
    <x v="732"/>
    <x v="0"/>
    <x v="0"/>
    <x v="1"/>
    <x v="0"/>
    <x v="0"/>
    <x v="0"/>
    <n v="3"/>
    <x v="1"/>
    <x v="1"/>
    <x v="6"/>
    <x v="140"/>
    <x v="2"/>
    <x v="2"/>
  </r>
  <r>
    <d v="2023-04-27T23:16:29"/>
    <x v="0"/>
    <x v="733"/>
    <x v="0"/>
    <x v="3"/>
    <x v="1"/>
    <x v="0"/>
    <x v="0"/>
    <x v="0"/>
    <n v="8"/>
    <x v="6"/>
    <x v="2"/>
    <x v="22"/>
    <x v="415"/>
    <x v="1"/>
    <x v="0"/>
  </r>
  <r>
    <d v="2023-04-27T23:16:49"/>
    <x v="0"/>
    <x v="734"/>
    <x v="0"/>
    <x v="0"/>
    <x v="1"/>
    <x v="1"/>
    <x v="0"/>
    <x v="0"/>
    <n v="1"/>
    <x v="1"/>
    <x v="1"/>
    <x v="8"/>
    <x v="200"/>
    <x v="0"/>
    <x v="15"/>
  </r>
  <r>
    <d v="2023-04-27T23:16:57"/>
    <x v="0"/>
    <x v="735"/>
    <x v="1"/>
    <x v="4"/>
    <x v="0"/>
    <x v="0"/>
    <x v="0"/>
    <x v="1"/>
    <n v="5"/>
    <x v="6"/>
    <x v="2"/>
    <x v="16"/>
    <x v="196"/>
    <x v="2"/>
    <x v="3"/>
  </r>
  <r>
    <d v="2023-04-27T23:18:06"/>
    <x v="0"/>
    <x v="736"/>
    <x v="0"/>
    <x v="4"/>
    <x v="0"/>
    <x v="1"/>
    <x v="0"/>
    <x v="0"/>
    <n v="1"/>
    <x v="3"/>
    <x v="0"/>
    <x v="21"/>
    <x v="113"/>
    <x v="0"/>
    <x v="7"/>
  </r>
  <r>
    <d v="2023-04-27T23:19:21"/>
    <x v="0"/>
    <x v="470"/>
    <x v="1"/>
    <x v="0"/>
    <x v="0"/>
    <x v="1"/>
    <x v="0"/>
    <x v="0"/>
    <n v="5"/>
    <x v="1"/>
    <x v="1"/>
    <x v="11"/>
    <x v="422"/>
    <x v="1"/>
    <x v="1"/>
  </r>
  <r>
    <d v="2023-04-27T23:20:15"/>
    <x v="0"/>
    <x v="721"/>
    <x v="1"/>
    <x v="3"/>
    <x v="2"/>
    <x v="0"/>
    <x v="0"/>
    <x v="0"/>
    <n v="7"/>
    <x v="5"/>
    <x v="1"/>
    <x v="9"/>
    <x v="309"/>
    <x v="2"/>
    <x v="6"/>
  </r>
  <r>
    <d v="2023-04-27T23:30:34"/>
    <x v="0"/>
    <x v="737"/>
    <x v="0"/>
    <x v="4"/>
    <x v="2"/>
    <x v="1"/>
    <x v="0"/>
    <x v="0"/>
    <n v="7"/>
    <x v="6"/>
    <x v="2"/>
    <x v="9"/>
    <x v="423"/>
    <x v="3"/>
    <x v="3"/>
  </r>
  <r>
    <d v="2023-04-27T23:31:04"/>
    <x v="0"/>
    <x v="738"/>
    <x v="1"/>
    <x v="0"/>
    <x v="2"/>
    <x v="0"/>
    <x v="1"/>
    <x v="1"/>
    <n v="5"/>
    <x v="1"/>
    <x v="1"/>
    <x v="8"/>
    <x v="325"/>
    <x v="0"/>
    <x v="15"/>
  </r>
  <r>
    <d v="2023-04-27T23:32:21"/>
    <x v="0"/>
    <x v="739"/>
    <x v="1"/>
    <x v="0"/>
    <x v="0"/>
    <x v="1"/>
    <x v="0"/>
    <x v="0"/>
    <n v="7"/>
    <x v="6"/>
    <x v="1"/>
    <x v="21"/>
    <x v="232"/>
    <x v="1"/>
    <x v="4"/>
  </r>
  <r>
    <d v="2023-04-27T23:32:23"/>
    <x v="0"/>
    <x v="740"/>
    <x v="1"/>
    <x v="3"/>
    <x v="2"/>
    <x v="0"/>
    <x v="1"/>
    <x v="1"/>
    <n v="3"/>
    <x v="5"/>
    <x v="2"/>
    <x v="8"/>
    <x v="197"/>
    <x v="3"/>
    <x v="15"/>
  </r>
  <r>
    <d v="2023-04-27T23:32:44"/>
    <x v="0"/>
    <x v="741"/>
    <x v="1"/>
    <x v="0"/>
    <x v="2"/>
    <x v="0"/>
    <x v="0"/>
    <x v="0"/>
    <n v="1"/>
    <x v="5"/>
    <x v="1"/>
    <x v="11"/>
    <x v="402"/>
    <x v="0"/>
    <x v="3"/>
  </r>
  <r>
    <d v="2023-04-27T23:32:44"/>
    <x v="0"/>
    <x v="742"/>
    <x v="1"/>
    <x v="4"/>
    <x v="1"/>
    <x v="1"/>
    <x v="1"/>
    <x v="0"/>
    <n v="8"/>
    <x v="1"/>
    <x v="0"/>
    <x v="19"/>
    <x v="424"/>
    <x v="0"/>
    <x v="16"/>
  </r>
  <r>
    <d v="2023-04-27T23:33:20"/>
    <x v="0"/>
    <x v="743"/>
    <x v="0"/>
    <x v="2"/>
    <x v="0"/>
    <x v="1"/>
    <x v="0"/>
    <x v="0"/>
    <n v="5"/>
    <x v="1"/>
    <x v="0"/>
    <x v="9"/>
    <x v="294"/>
    <x v="0"/>
    <x v="3"/>
  </r>
  <r>
    <d v="2023-04-27T23:36:58"/>
    <x v="0"/>
    <x v="744"/>
    <x v="1"/>
    <x v="4"/>
    <x v="2"/>
    <x v="1"/>
    <x v="1"/>
    <x v="0"/>
    <n v="6"/>
    <x v="1"/>
    <x v="1"/>
    <x v="6"/>
    <x v="127"/>
    <x v="0"/>
    <x v="3"/>
  </r>
  <r>
    <d v="2023-04-27T23:44:01"/>
    <x v="0"/>
    <x v="745"/>
    <x v="1"/>
    <x v="1"/>
    <x v="1"/>
    <x v="0"/>
    <x v="0"/>
    <x v="0"/>
    <n v="8"/>
    <x v="5"/>
    <x v="1"/>
    <x v="9"/>
    <x v="243"/>
    <x v="0"/>
    <x v="1"/>
  </r>
  <r>
    <d v="2023-04-27T23:45:06"/>
    <x v="0"/>
    <x v="746"/>
    <x v="0"/>
    <x v="3"/>
    <x v="2"/>
    <x v="0"/>
    <x v="1"/>
    <x v="1"/>
    <n v="8"/>
    <x v="6"/>
    <x v="1"/>
    <x v="18"/>
    <x v="105"/>
    <x v="0"/>
    <x v="5"/>
  </r>
  <r>
    <d v="2023-04-27T23:48:42"/>
    <x v="0"/>
    <x v="564"/>
    <x v="0"/>
    <x v="1"/>
    <x v="2"/>
    <x v="1"/>
    <x v="0"/>
    <x v="0"/>
    <n v="5"/>
    <x v="1"/>
    <x v="0"/>
    <x v="21"/>
    <x v="321"/>
    <x v="0"/>
    <x v="2"/>
  </r>
  <r>
    <d v="2023-04-27T23:50:22"/>
    <x v="0"/>
    <x v="747"/>
    <x v="1"/>
    <x v="4"/>
    <x v="0"/>
    <x v="1"/>
    <x v="1"/>
    <x v="1"/>
    <n v="10"/>
    <x v="0"/>
    <x v="2"/>
    <x v="7"/>
    <x v="425"/>
    <x v="2"/>
    <x v="6"/>
  </r>
  <r>
    <d v="2023-04-27T23:50:30"/>
    <x v="0"/>
    <x v="384"/>
    <x v="0"/>
    <x v="2"/>
    <x v="1"/>
    <x v="0"/>
    <x v="0"/>
    <x v="0"/>
    <n v="5"/>
    <x v="6"/>
    <x v="0"/>
    <x v="9"/>
    <x v="426"/>
    <x v="0"/>
    <x v="3"/>
  </r>
  <r>
    <d v="2023-04-27T23:50:38"/>
    <x v="0"/>
    <x v="737"/>
    <x v="0"/>
    <x v="4"/>
    <x v="2"/>
    <x v="1"/>
    <x v="0"/>
    <x v="0"/>
    <n v="8"/>
    <x v="5"/>
    <x v="1"/>
    <x v="9"/>
    <x v="180"/>
    <x v="2"/>
    <x v="1"/>
  </r>
  <r>
    <d v="2023-04-27T23:57:33"/>
    <x v="0"/>
    <x v="669"/>
    <x v="1"/>
    <x v="0"/>
    <x v="2"/>
    <x v="0"/>
    <x v="0"/>
    <x v="0"/>
    <n v="1"/>
    <x v="1"/>
    <x v="1"/>
    <x v="7"/>
    <x v="427"/>
    <x v="0"/>
    <x v="3"/>
  </r>
  <r>
    <d v="2023-04-27T23:57:49"/>
    <x v="0"/>
    <x v="277"/>
    <x v="0"/>
    <x v="4"/>
    <x v="2"/>
    <x v="1"/>
    <x v="0"/>
    <x v="0"/>
    <n v="1"/>
    <x v="6"/>
    <x v="1"/>
    <x v="11"/>
    <x v="267"/>
    <x v="0"/>
    <x v="7"/>
  </r>
  <r>
    <d v="2023-04-28T00:02:07"/>
    <x v="0"/>
    <x v="748"/>
    <x v="1"/>
    <x v="3"/>
    <x v="0"/>
    <x v="0"/>
    <x v="0"/>
    <x v="0"/>
    <n v="1"/>
    <x v="3"/>
    <x v="2"/>
    <x v="14"/>
    <x v="291"/>
    <x v="2"/>
    <x v="4"/>
  </r>
  <r>
    <d v="2023-04-28T00:03:05"/>
    <x v="0"/>
    <x v="749"/>
    <x v="0"/>
    <x v="3"/>
    <x v="0"/>
    <x v="1"/>
    <x v="0"/>
    <x v="0"/>
    <n v="8"/>
    <x v="3"/>
    <x v="3"/>
    <x v="11"/>
    <x v="161"/>
    <x v="1"/>
    <x v="6"/>
  </r>
  <r>
    <d v="2023-04-28T00:09:12"/>
    <x v="0"/>
    <x v="669"/>
    <x v="1"/>
    <x v="1"/>
    <x v="0"/>
    <x v="1"/>
    <x v="0"/>
    <x v="0"/>
    <n v="5"/>
    <x v="1"/>
    <x v="4"/>
    <x v="18"/>
    <x v="428"/>
    <x v="0"/>
    <x v="3"/>
  </r>
  <r>
    <d v="2023-04-28T00:11:13"/>
    <x v="0"/>
    <x v="750"/>
    <x v="0"/>
    <x v="0"/>
    <x v="1"/>
    <x v="3"/>
    <x v="1"/>
    <x v="1"/>
    <n v="7"/>
    <x v="6"/>
    <x v="1"/>
    <x v="22"/>
    <x v="429"/>
    <x v="3"/>
    <x v="1"/>
  </r>
  <r>
    <d v="2023-04-28T00:14:41"/>
    <x v="0"/>
    <x v="751"/>
    <x v="0"/>
    <x v="3"/>
    <x v="2"/>
    <x v="1"/>
    <x v="1"/>
    <x v="0"/>
    <n v="7"/>
    <x v="3"/>
    <x v="1"/>
    <x v="15"/>
    <x v="108"/>
    <x v="0"/>
    <x v="5"/>
  </r>
  <r>
    <d v="2023-04-28T00:15:03"/>
    <x v="1"/>
    <x v="752"/>
    <x v="0"/>
    <x v="3"/>
    <x v="2"/>
    <x v="0"/>
    <x v="0"/>
    <x v="0"/>
    <n v="9"/>
    <x v="3"/>
    <x v="2"/>
    <x v="7"/>
    <x v="340"/>
    <x v="0"/>
    <x v="4"/>
  </r>
  <r>
    <d v="2023-04-28T00:15:29"/>
    <x v="0"/>
    <x v="96"/>
    <x v="0"/>
    <x v="2"/>
    <x v="2"/>
    <x v="0"/>
    <x v="0"/>
    <x v="0"/>
    <n v="8"/>
    <x v="1"/>
    <x v="2"/>
    <x v="18"/>
    <x v="373"/>
    <x v="0"/>
    <x v="3"/>
  </r>
  <r>
    <d v="2023-04-28T00:16:52"/>
    <x v="0"/>
    <x v="753"/>
    <x v="0"/>
    <x v="3"/>
    <x v="0"/>
    <x v="0"/>
    <x v="1"/>
    <x v="0"/>
    <n v="2"/>
    <x v="6"/>
    <x v="1"/>
    <x v="17"/>
    <x v="371"/>
    <x v="0"/>
    <x v="7"/>
  </r>
  <r>
    <d v="2023-04-28T00:23:34"/>
    <x v="0"/>
    <x v="754"/>
    <x v="0"/>
    <x v="4"/>
    <x v="1"/>
    <x v="0"/>
    <x v="0"/>
    <x v="0"/>
    <n v="1"/>
    <x v="6"/>
    <x v="1"/>
    <x v="17"/>
    <x v="171"/>
    <x v="0"/>
    <x v="6"/>
  </r>
  <r>
    <d v="2023-04-28T00:28:58"/>
    <x v="0"/>
    <x v="669"/>
    <x v="1"/>
    <x v="4"/>
    <x v="1"/>
    <x v="0"/>
    <x v="1"/>
    <x v="0"/>
    <n v="7"/>
    <x v="1"/>
    <x v="1"/>
    <x v="13"/>
    <x v="430"/>
    <x v="1"/>
    <x v="3"/>
  </r>
  <r>
    <d v="2023-04-28T00:45:50"/>
    <x v="0"/>
    <x v="278"/>
    <x v="1"/>
    <x v="3"/>
    <x v="0"/>
    <x v="1"/>
    <x v="1"/>
    <x v="1"/>
    <n v="5"/>
    <x v="5"/>
    <x v="2"/>
    <x v="9"/>
    <x v="111"/>
    <x v="0"/>
    <x v="1"/>
  </r>
  <r>
    <d v="2023-04-28T00:46:03"/>
    <x v="0"/>
    <x v="564"/>
    <x v="1"/>
    <x v="3"/>
    <x v="0"/>
    <x v="0"/>
    <x v="0"/>
    <x v="0"/>
    <n v="6"/>
    <x v="6"/>
    <x v="0"/>
    <x v="6"/>
    <x v="247"/>
    <x v="0"/>
    <x v="1"/>
  </r>
  <r>
    <d v="2023-04-28T01:03:21"/>
    <x v="0"/>
    <x v="755"/>
    <x v="1"/>
    <x v="4"/>
    <x v="0"/>
    <x v="0"/>
    <x v="0"/>
    <x v="0"/>
    <n v="2"/>
    <x v="3"/>
    <x v="2"/>
    <x v="8"/>
    <x v="431"/>
    <x v="0"/>
    <x v="3"/>
  </r>
  <r>
    <d v="2023-04-28T01:10:18"/>
    <x v="0"/>
    <x v="756"/>
    <x v="0"/>
    <x v="0"/>
    <x v="2"/>
    <x v="1"/>
    <x v="0"/>
    <x v="1"/>
    <n v="8"/>
    <x v="6"/>
    <x v="1"/>
    <x v="19"/>
    <x v="143"/>
    <x v="0"/>
    <x v="2"/>
  </r>
  <r>
    <d v="2023-04-28T01:11:52"/>
    <x v="0"/>
    <x v="277"/>
    <x v="1"/>
    <x v="4"/>
    <x v="0"/>
    <x v="0"/>
    <x v="0"/>
    <x v="0"/>
    <n v="5"/>
    <x v="5"/>
    <x v="2"/>
    <x v="9"/>
    <x v="140"/>
    <x v="2"/>
    <x v="8"/>
  </r>
  <r>
    <d v="2023-04-28T01:17:18"/>
    <x v="0"/>
    <x v="757"/>
    <x v="1"/>
    <x v="3"/>
    <x v="2"/>
    <x v="0"/>
    <x v="0"/>
    <x v="1"/>
    <n v="6"/>
    <x v="1"/>
    <x v="0"/>
    <x v="8"/>
    <x v="432"/>
    <x v="0"/>
    <x v="3"/>
  </r>
  <r>
    <d v="2023-04-28T01:24:43"/>
    <x v="0"/>
    <x v="343"/>
    <x v="1"/>
    <x v="3"/>
    <x v="1"/>
    <x v="1"/>
    <x v="0"/>
    <x v="0"/>
    <n v="1"/>
    <x v="5"/>
    <x v="0"/>
    <x v="9"/>
    <x v="301"/>
    <x v="1"/>
    <x v="1"/>
  </r>
  <r>
    <d v="2023-04-28T02:28:12"/>
    <x v="0"/>
    <x v="758"/>
    <x v="1"/>
    <x v="2"/>
    <x v="0"/>
    <x v="0"/>
    <x v="0"/>
    <x v="0"/>
    <n v="1"/>
    <x v="3"/>
    <x v="2"/>
    <x v="9"/>
    <x v="134"/>
    <x v="0"/>
    <x v="4"/>
  </r>
  <r>
    <d v="2023-04-28T03:47:19"/>
    <x v="0"/>
    <x v="759"/>
    <x v="1"/>
    <x v="2"/>
    <x v="1"/>
    <x v="1"/>
    <x v="0"/>
    <x v="1"/>
    <n v="8"/>
    <x v="6"/>
    <x v="1"/>
    <x v="11"/>
    <x v="278"/>
    <x v="0"/>
    <x v="9"/>
  </r>
  <r>
    <d v="2023-04-28T04:46:34"/>
    <x v="0"/>
    <x v="760"/>
    <x v="0"/>
    <x v="0"/>
    <x v="2"/>
    <x v="1"/>
    <x v="0"/>
    <x v="0"/>
    <n v="6"/>
    <x v="0"/>
    <x v="2"/>
    <x v="11"/>
    <x v="114"/>
    <x v="0"/>
    <x v="1"/>
  </r>
  <r>
    <d v="2023-04-28T04:54:01"/>
    <x v="5"/>
    <x v="761"/>
    <x v="1"/>
    <x v="0"/>
    <x v="0"/>
    <x v="1"/>
    <x v="0"/>
    <x v="0"/>
    <n v="8"/>
    <x v="1"/>
    <x v="1"/>
    <x v="11"/>
    <x v="433"/>
    <x v="0"/>
    <x v="4"/>
  </r>
  <r>
    <d v="2023-04-28T05:11:22"/>
    <x v="0"/>
    <x v="359"/>
    <x v="0"/>
    <x v="0"/>
    <x v="1"/>
    <x v="1"/>
    <x v="1"/>
    <x v="1"/>
    <n v="5"/>
    <x v="3"/>
    <x v="0"/>
    <x v="9"/>
    <x v="318"/>
    <x v="0"/>
    <x v="3"/>
  </r>
  <r>
    <d v="2023-04-28T05:18:40"/>
    <x v="0"/>
    <x v="762"/>
    <x v="1"/>
    <x v="4"/>
    <x v="1"/>
    <x v="0"/>
    <x v="1"/>
    <x v="0"/>
    <n v="8"/>
    <x v="5"/>
    <x v="1"/>
    <x v="7"/>
    <x v="419"/>
    <x v="0"/>
    <x v="3"/>
  </r>
  <r>
    <d v="2023-04-28T05:23:51"/>
    <x v="0"/>
    <x v="763"/>
    <x v="1"/>
    <x v="4"/>
    <x v="2"/>
    <x v="0"/>
    <x v="0"/>
    <x v="0"/>
    <n v="3"/>
    <x v="3"/>
    <x v="1"/>
    <x v="9"/>
    <x v="257"/>
    <x v="0"/>
    <x v="1"/>
  </r>
  <r>
    <d v="2023-04-28T06:03:44"/>
    <x v="0"/>
    <x v="635"/>
    <x v="0"/>
    <x v="3"/>
    <x v="2"/>
    <x v="0"/>
    <x v="0"/>
    <x v="0"/>
    <n v="5"/>
    <x v="1"/>
    <x v="1"/>
    <x v="7"/>
    <x v="245"/>
    <x v="0"/>
    <x v="3"/>
  </r>
  <r>
    <d v="2023-04-28T06:16:29"/>
    <x v="0"/>
    <x v="350"/>
    <x v="1"/>
    <x v="4"/>
    <x v="0"/>
    <x v="1"/>
    <x v="0"/>
    <x v="0"/>
    <n v="5"/>
    <x v="1"/>
    <x v="1"/>
    <x v="15"/>
    <x v="434"/>
    <x v="1"/>
    <x v="1"/>
  </r>
  <r>
    <d v="2023-04-28T06:19:31"/>
    <x v="0"/>
    <x v="635"/>
    <x v="1"/>
    <x v="4"/>
    <x v="0"/>
    <x v="3"/>
    <x v="0"/>
    <x v="0"/>
    <n v="1"/>
    <x v="1"/>
    <x v="1"/>
    <x v="9"/>
    <x v="315"/>
    <x v="0"/>
    <x v="3"/>
  </r>
  <r>
    <d v="2023-04-28T06:22:29"/>
    <x v="0"/>
    <x v="764"/>
    <x v="0"/>
    <x v="2"/>
    <x v="1"/>
    <x v="0"/>
    <x v="0"/>
    <x v="0"/>
    <n v="1"/>
    <x v="1"/>
    <x v="2"/>
    <x v="11"/>
    <x v="403"/>
    <x v="0"/>
    <x v="1"/>
  </r>
  <r>
    <d v="2023-04-28T06:23:52"/>
    <x v="0"/>
    <x v="765"/>
    <x v="1"/>
    <x v="2"/>
    <x v="2"/>
    <x v="0"/>
    <x v="0"/>
    <x v="0"/>
    <n v="4"/>
    <x v="1"/>
    <x v="1"/>
    <x v="9"/>
    <x v="435"/>
    <x v="0"/>
    <x v="6"/>
  </r>
  <r>
    <d v="2023-04-28T06:28:47"/>
    <x v="0"/>
    <x v="766"/>
    <x v="1"/>
    <x v="4"/>
    <x v="1"/>
    <x v="1"/>
    <x v="0"/>
    <x v="0"/>
    <n v="4"/>
    <x v="6"/>
    <x v="2"/>
    <x v="7"/>
    <x v="132"/>
    <x v="3"/>
    <x v="1"/>
  </r>
  <r>
    <d v="2023-04-28T06:37:17"/>
    <x v="0"/>
    <x v="767"/>
    <x v="0"/>
    <x v="0"/>
    <x v="2"/>
    <x v="0"/>
    <x v="0"/>
    <x v="0"/>
    <n v="8"/>
    <x v="6"/>
    <x v="1"/>
    <x v="9"/>
    <x v="141"/>
    <x v="2"/>
    <x v="0"/>
  </r>
  <r>
    <d v="2023-04-28T06:47:00"/>
    <x v="0"/>
    <x v="768"/>
    <x v="0"/>
    <x v="1"/>
    <x v="2"/>
    <x v="0"/>
    <x v="1"/>
    <x v="0"/>
    <n v="4"/>
    <x v="1"/>
    <x v="1"/>
    <x v="8"/>
    <x v="109"/>
    <x v="0"/>
    <x v="1"/>
  </r>
  <r>
    <d v="2023-04-28T06:54:26"/>
    <x v="0"/>
    <x v="764"/>
    <x v="1"/>
    <x v="0"/>
    <x v="0"/>
    <x v="1"/>
    <x v="0"/>
    <x v="0"/>
    <n v="5"/>
    <x v="3"/>
    <x v="1"/>
    <x v="7"/>
    <x v="164"/>
    <x v="0"/>
    <x v="7"/>
  </r>
  <r>
    <d v="2023-04-28T06:58:04"/>
    <x v="0"/>
    <x v="769"/>
    <x v="1"/>
    <x v="4"/>
    <x v="0"/>
    <x v="0"/>
    <x v="0"/>
    <x v="0"/>
    <n v="10"/>
    <x v="1"/>
    <x v="1"/>
    <x v="7"/>
    <x v="436"/>
    <x v="1"/>
    <x v="3"/>
  </r>
  <r>
    <d v="2023-04-28T07:10:28"/>
    <x v="0"/>
    <x v="635"/>
    <x v="1"/>
    <x v="3"/>
    <x v="2"/>
    <x v="0"/>
    <x v="0"/>
    <x v="0"/>
    <n v="5"/>
    <x v="6"/>
    <x v="1"/>
    <x v="9"/>
    <x v="437"/>
    <x v="2"/>
    <x v="3"/>
  </r>
  <r>
    <d v="2023-04-28T07:38:29"/>
    <x v="0"/>
    <x v="770"/>
    <x v="0"/>
    <x v="0"/>
    <x v="0"/>
    <x v="0"/>
    <x v="0"/>
    <x v="0"/>
    <n v="9"/>
    <x v="1"/>
    <x v="1"/>
    <x v="16"/>
    <x v="373"/>
    <x v="2"/>
    <x v="6"/>
  </r>
  <r>
    <d v="2023-04-28T07:40:45"/>
    <x v="0"/>
    <x v="771"/>
    <x v="0"/>
    <x v="3"/>
    <x v="2"/>
    <x v="1"/>
    <x v="0"/>
    <x v="0"/>
    <n v="2"/>
    <x v="3"/>
    <x v="2"/>
    <x v="18"/>
    <x v="132"/>
    <x v="0"/>
    <x v="1"/>
  </r>
  <r>
    <d v="2023-04-28T07:51:55"/>
    <x v="0"/>
    <x v="738"/>
    <x v="1"/>
    <x v="3"/>
    <x v="1"/>
    <x v="0"/>
    <x v="0"/>
    <x v="0"/>
    <n v="1"/>
    <x v="6"/>
    <x v="1"/>
    <x v="9"/>
    <x v="438"/>
    <x v="0"/>
    <x v="2"/>
  </r>
  <r>
    <d v="2023-04-28T07:59:03"/>
    <x v="0"/>
    <x v="772"/>
    <x v="1"/>
    <x v="0"/>
    <x v="2"/>
    <x v="1"/>
    <x v="0"/>
    <x v="0"/>
    <n v="3"/>
    <x v="3"/>
    <x v="2"/>
    <x v="9"/>
    <x v="439"/>
    <x v="0"/>
    <x v="7"/>
  </r>
  <r>
    <d v="2023-04-28T08:02:37"/>
    <x v="0"/>
    <x v="773"/>
    <x v="0"/>
    <x v="2"/>
    <x v="0"/>
    <x v="1"/>
    <x v="0"/>
    <x v="0"/>
    <n v="6"/>
    <x v="6"/>
    <x v="2"/>
    <x v="7"/>
    <x v="440"/>
    <x v="0"/>
    <x v="9"/>
  </r>
  <r>
    <d v="2023-04-28T08:05:51"/>
    <x v="0"/>
    <x v="774"/>
    <x v="1"/>
    <x v="2"/>
    <x v="2"/>
    <x v="0"/>
    <x v="1"/>
    <x v="0"/>
    <n v="5"/>
    <x v="6"/>
    <x v="1"/>
    <x v="18"/>
    <x v="168"/>
    <x v="0"/>
    <x v="1"/>
  </r>
  <r>
    <d v="2023-04-28T08:06:22"/>
    <x v="5"/>
    <x v="775"/>
    <x v="1"/>
    <x v="4"/>
    <x v="0"/>
    <x v="0"/>
    <x v="0"/>
    <x v="0"/>
    <n v="5"/>
    <x v="6"/>
    <x v="1"/>
    <x v="11"/>
    <x v="338"/>
    <x v="0"/>
    <x v="3"/>
  </r>
  <r>
    <d v="2023-04-28T08:11:06"/>
    <x v="0"/>
    <x v="340"/>
    <x v="1"/>
    <x v="0"/>
    <x v="2"/>
    <x v="0"/>
    <x v="0"/>
    <x v="0"/>
    <n v="2"/>
    <x v="6"/>
    <x v="1"/>
    <x v="17"/>
    <x v="197"/>
    <x v="0"/>
    <x v="1"/>
  </r>
  <r>
    <d v="2023-04-28T08:13:06"/>
    <x v="0"/>
    <x v="776"/>
    <x v="0"/>
    <x v="0"/>
    <x v="1"/>
    <x v="0"/>
    <x v="0"/>
    <x v="0"/>
    <n v="8"/>
    <x v="3"/>
    <x v="1"/>
    <x v="9"/>
    <x v="439"/>
    <x v="1"/>
    <x v="4"/>
  </r>
  <r>
    <d v="2023-04-28T08:17:17"/>
    <x v="0"/>
    <x v="777"/>
    <x v="0"/>
    <x v="4"/>
    <x v="0"/>
    <x v="1"/>
    <x v="0"/>
    <x v="0"/>
    <n v="6"/>
    <x v="6"/>
    <x v="1"/>
    <x v="22"/>
    <x v="200"/>
    <x v="0"/>
    <x v="15"/>
  </r>
  <r>
    <d v="2023-04-28T08:20:54"/>
    <x v="0"/>
    <x v="778"/>
    <x v="1"/>
    <x v="0"/>
    <x v="0"/>
    <x v="1"/>
    <x v="1"/>
    <x v="1"/>
    <n v="10"/>
    <x v="3"/>
    <x v="2"/>
    <x v="14"/>
    <x v="420"/>
    <x v="2"/>
    <x v="1"/>
  </r>
  <r>
    <d v="2023-04-28T08:25:09"/>
    <x v="0"/>
    <x v="779"/>
    <x v="0"/>
    <x v="1"/>
    <x v="0"/>
    <x v="1"/>
    <x v="0"/>
    <x v="0"/>
    <n v="8"/>
    <x v="5"/>
    <x v="2"/>
    <x v="14"/>
    <x v="266"/>
    <x v="2"/>
    <x v="1"/>
  </r>
  <r>
    <d v="2023-04-28T08:25:13"/>
    <x v="0"/>
    <x v="780"/>
    <x v="0"/>
    <x v="3"/>
    <x v="0"/>
    <x v="0"/>
    <x v="0"/>
    <x v="1"/>
    <n v="6"/>
    <x v="1"/>
    <x v="1"/>
    <x v="17"/>
    <x v="118"/>
    <x v="0"/>
    <x v="1"/>
  </r>
  <r>
    <d v="2023-04-28T08:35:14"/>
    <x v="0"/>
    <x v="781"/>
    <x v="1"/>
    <x v="3"/>
    <x v="0"/>
    <x v="0"/>
    <x v="0"/>
    <x v="0"/>
    <n v="5"/>
    <x v="0"/>
    <x v="2"/>
    <x v="6"/>
    <x v="243"/>
    <x v="0"/>
    <x v="7"/>
  </r>
  <r>
    <d v="2023-04-28T08:47:13"/>
    <x v="0"/>
    <x v="782"/>
    <x v="1"/>
    <x v="0"/>
    <x v="0"/>
    <x v="0"/>
    <x v="0"/>
    <x v="0"/>
    <n v="8"/>
    <x v="5"/>
    <x v="2"/>
    <x v="9"/>
    <x v="140"/>
    <x v="4"/>
    <x v="1"/>
  </r>
  <r>
    <d v="2023-04-28T08:55:35"/>
    <x v="0"/>
    <x v="783"/>
    <x v="0"/>
    <x v="0"/>
    <x v="1"/>
    <x v="0"/>
    <x v="1"/>
    <x v="1"/>
    <n v="9"/>
    <x v="6"/>
    <x v="3"/>
    <x v="19"/>
    <x v="441"/>
    <x v="0"/>
    <x v="1"/>
  </r>
  <r>
    <d v="2023-04-28T09:11:18"/>
    <x v="0"/>
    <x v="784"/>
    <x v="0"/>
    <x v="0"/>
    <x v="0"/>
    <x v="0"/>
    <x v="0"/>
    <x v="0"/>
    <n v="5"/>
    <x v="1"/>
    <x v="1"/>
    <x v="6"/>
    <x v="442"/>
    <x v="0"/>
    <x v="1"/>
  </r>
  <r>
    <d v="2023-04-28T09:13:40"/>
    <x v="0"/>
    <x v="785"/>
    <x v="0"/>
    <x v="4"/>
    <x v="1"/>
    <x v="0"/>
    <x v="0"/>
    <x v="0"/>
    <n v="3"/>
    <x v="5"/>
    <x v="2"/>
    <x v="11"/>
    <x v="395"/>
    <x v="2"/>
    <x v="2"/>
  </r>
  <r>
    <d v="2023-04-28T09:14:28"/>
    <x v="0"/>
    <x v="745"/>
    <x v="1"/>
    <x v="4"/>
    <x v="0"/>
    <x v="1"/>
    <x v="0"/>
    <x v="0"/>
    <n v="1"/>
    <x v="1"/>
    <x v="1"/>
    <x v="7"/>
    <x v="285"/>
    <x v="0"/>
    <x v="3"/>
  </r>
  <r>
    <d v="2023-04-28T09:18:56"/>
    <x v="0"/>
    <x v="786"/>
    <x v="0"/>
    <x v="3"/>
    <x v="2"/>
    <x v="0"/>
    <x v="0"/>
    <x v="0"/>
    <n v="3"/>
    <x v="1"/>
    <x v="4"/>
    <x v="8"/>
    <x v="109"/>
    <x v="0"/>
    <x v="3"/>
  </r>
  <r>
    <d v="2023-04-28T09:24:10"/>
    <x v="0"/>
    <x v="678"/>
    <x v="1"/>
    <x v="4"/>
    <x v="0"/>
    <x v="1"/>
    <x v="0"/>
    <x v="0"/>
    <n v="5"/>
    <x v="3"/>
    <x v="2"/>
    <x v="9"/>
    <x v="443"/>
    <x v="1"/>
    <x v="6"/>
  </r>
  <r>
    <d v="2023-04-28T09:37:43"/>
    <x v="0"/>
    <x v="787"/>
    <x v="1"/>
    <x v="4"/>
    <x v="2"/>
    <x v="1"/>
    <x v="0"/>
    <x v="0"/>
    <n v="3"/>
    <x v="6"/>
    <x v="0"/>
    <x v="7"/>
    <x v="132"/>
    <x v="2"/>
    <x v="0"/>
  </r>
  <r>
    <d v="2023-04-28T09:48:46"/>
    <x v="0"/>
    <x v="788"/>
    <x v="1"/>
    <x v="4"/>
    <x v="0"/>
    <x v="0"/>
    <x v="0"/>
    <x v="0"/>
    <n v="5"/>
    <x v="1"/>
    <x v="1"/>
    <x v="6"/>
    <x v="362"/>
    <x v="0"/>
    <x v="1"/>
  </r>
  <r>
    <d v="2023-04-28T09:52:50"/>
    <x v="0"/>
    <x v="789"/>
    <x v="1"/>
    <x v="0"/>
    <x v="0"/>
    <x v="0"/>
    <x v="0"/>
    <x v="0"/>
    <n v="3"/>
    <x v="1"/>
    <x v="1"/>
    <x v="11"/>
    <x v="331"/>
    <x v="0"/>
    <x v="1"/>
  </r>
  <r>
    <d v="2023-04-28T09:57:53"/>
    <x v="0"/>
    <x v="790"/>
    <x v="0"/>
    <x v="4"/>
    <x v="0"/>
    <x v="1"/>
    <x v="1"/>
    <x v="1"/>
    <n v="5"/>
    <x v="3"/>
    <x v="1"/>
    <x v="15"/>
    <x v="444"/>
    <x v="2"/>
    <x v="4"/>
  </r>
  <r>
    <d v="2023-04-28T10:03:25"/>
    <x v="0"/>
    <x v="789"/>
    <x v="1"/>
    <x v="0"/>
    <x v="1"/>
    <x v="0"/>
    <x v="0"/>
    <x v="0"/>
    <n v="6"/>
    <x v="6"/>
    <x v="1"/>
    <x v="6"/>
    <x v="114"/>
    <x v="0"/>
    <x v="3"/>
  </r>
  <r>
    <d v="2023-04-28T10:04:59"/>
    <x v="0"/>
    <x v="791"/>
    <x v="0"/>
    <x v="2"/>
    <x v="1"/>
    <x v="1"/>
    <x v="0"/>
    <x v="0"/>
    <n v="10"/>
    <x v="3"/>
    <x v="1"/>
    <x v="6"/>
    <x v="124"/>
    <x v="0"/>
    <x v="1"/>
  </r>
  <r>
    <d v="2023-04-28T10:06:49"/>
    <x v="0"/>
    <x v="278"/>
    <x v="0"/>
    <x v="4"/>
    <x v="0"/>
    <x v="1"/>
    <x v="0"/>
    <x v="1"/>
    <n v="4"/>
    <x v="1"/>
    <x v="0"/>
    <x v="14"/>
    <x v="445"/>
    <x v="2"/>
    <x v="6"/>
  </r>
  <r>
    <d v="2023-04-28T10:07:03"/>
    <x v="0"/>
    <x v="421"/>
    <x v="0"/>
    <x v="2"/>
    <x v="0"/>
    <x v="0"/>
    <x v="0"/>
    <x v="0"/>
    <n v="8"/>
    <x v="6"/>
    <x v="2"/>
    <x v="19"/>
    <x v="301"/>
    <x v="2"/>
    <x v="1"/>
  </r>
  <r>
    <d v="2023-04-28T10:09:44"/>
    <x v="0"/>
    <x v="792"/>
    <x v="1"/>
    <x v="0"/>
    <x v="0"/>
    <x v="0"/>
    <x v="0"/>
    <x v="0"/>
    <n v="7"/>
    <x v="6"/>
    <x v="2"/>
    <x v="8"/>
    <x v="101"/>
    <x v="0"/>
    <x v="3"/>
  </r>
  <r>
    <d v="2023-04-28T10:10:36"/>
    <x v="0"/>
    <x v="793"/>
    <x v="0"/>
    <x v="2"/>
    <x v="0"/>
    <x v="0"/>
    <x v="0"/>
    <x v="0"/>
    <n v="6"/>
    <x v="6"/>
    <x v="1"/>
    <x v="7"/>
    <x v="194"/>
    <x v="0"/>
    <x v="11"/>
  </r>
  <r>
    <d v="2023-04-28T10:11:44"/>
    <x v="0"/>
    <x v="794"/>
    <x v="0"/>
    <x v="0"/>
    <x v="1"/>
    <x v="0"/>
    <x v="1"/>
    <x v="0"/>
    <n v="2"/>
    <x v="5"/>
    <x v="1"/>
    <x v="24"/>
    <x v="446"/>
    <x v="2"/>
    <x v="9"/>
  </r>
  <r>
    <d v="2023-04-28T10:13:08"/>
    <x v="0"/>
    <x v="371"/>
    <x v="0"/>
    <x v="4"/>
    <x v="0"/>
    <x v="0"/>
    <x v="0"/>
    <x v="0"/>
    <n v="6"/>
    <x v="3"/>
    <x v="2"/>
    <x v="20"/>
    <x v="251"/>
    <x v="2"/>
    <x v="4"/>
  </r>
  <r>
    <d v="2023-04-28T10:22:51"/>
    <x v="0"/>
    <x v="791"/>
    <x v="0"/>
    <x v="3"/>
    <x v="0"/>
    <x v="1"/>
    <x v="0"/>
    <x v="0"/>
    <n v="7"/>
    <x v="6"/>
    <x v="0"/>
    <x v="11"/>
    <x v="194"/>
    <x v="1"/>
    <x v="15"/>
  </r>
  <r>
    <d v="2023-04-28T10:23:42"/>
    <x v="0"/>
    <x v="260"/>
    <x v="0"/>
    <x v="4"/>
    <x v="2"/>
    <x v="1"/>
    <x v="1"/>
    <x v="1"/>
    <n v="7"/>
    <x v="5"/>
    <x v="1"/>
    <x v="9"/>
    <x v="160"/>
    <x v="0"/>
    <x v="7"/>
  </r>
  <r>
    <d v="2023-04-28T10:25:18"/>
    <x v="0"/>
    <x v="795"/>
    <x v="1"/>
    <x v="3"/>
    <x v="0"/>
    <x v="0"/>
    <x v="0"/>
    <x v="0"/>
    <n v="6"/>
    <x v="6"/>
    <x v="1"/>
    <x v="15"/>
    <x v="109"/>
    <x v="0"/>
    <x v="1"/>
  </r>
  <r>
    <d v="2023-04-28T10:25:32"/>
    <x v="0"/>
    <x v="796"/>
    <x v="0"/>
    <x v="4"/>
    <x v="0"/>
    <x v="3"/>
    <x v="1"/>
    <x v="1"/>
    <n v="8"/>
    <x v="1"/>
    <x v="1"/>
    <x v="9"/>
    <x v="447"/>
    <x v="1"/>
    <x v="2"/>
  </r>
  <r>
    <d v="2023-04-28T10:35:40"/>
    <x v="0"/>
    <x v="151"/>
    <x v="0"/>
    <x v="4"/>
    <x v="2"/>
    <x v="1"/>
    <x v="0"/>
    <x v="0"/>
    <n v="6"/>
    <x v="5"/>
    <x v="2"/>
    <x v="8"/>
    <x v="349"/>
    <x v="2"/>
    <x v="15"/>
  </r>
  <r>
    <d v="2023-04-28T10:36:34"/>
    <x v="1"/>
    <x v="797"/>
    <x v="0"/>
    <x v="3"/>
    <x v="1"/>
    <x v="1"/>
    <x v="0"/>
    <x v="0"/>
    <n v="2"/>
    <x v="5"/>
    <x v="2"/>
    <x v="22"/>
    <x v="448"/>
    <x v="3"/>
    <x v="6"/>
  </r>
  <r>
    <d v="2023-04-28T10:39:28"/>
    <x v="0"/>
    <x v="798"/>
    <x v="0"/>
    <x v="4"/>
    <x v="2"/>
    <x v="0"/>
    <x v="0"/>
    <x v="0"/>
    <n v="5"/>
    <x v="3"/>
    <x v="0"/>
    <x v="7"/>
    <x v="403"/>
    <x v="1"/>
    <x v="3"/>
  </r>
  <r>
    <d v="2023-04-28T10:42:20"/>
    <x v="0"/>
    <x v="725"/>
    <x v="1"/>
    <x v="4"/>
    <x v="2"/>
    <x v="1"/>
    <x v="0"/>
    <x v="0"/>
    <n v="6"/>
    <x v="5"/>
    <x v="1"/>
    <x v="7"/>
    <x v="449"/>
    <x v="0"/>
    <x v="11"/>
  </r>
  <r>
    <d v="2023-04-28T10:42:25"/>
    <x v="0"/>
    <x v="799"/>
    <x v="0"/>
    <x v="4"/>
    <x v="2"/>
    <x v="1"/>
    <x v="0"/>
    <x v="0"/>
    <n v="4"/>
    <x v="1"/>
    <x v="0"/>
    <x v="11"/>
    <x v="217"/>
    <x v="2"/>
    <x v="11"/>
  </r>
  <r>
    <d v="2023-04-28T10:42:28"/>
    <x v="0"/>
    <x v="463"/>
    <x v="0"/>
    <x v="2"/>
    <x v="2"/>
    <x v="1"/>
    <x v="0"/>
    <x v="0"/>
    <n v="5"/>
    <x v="1"/>
    <x v="1"/>
    <x v="11"/>
    <x v="197"/>
    <x v="2"/>
    <x v="3"/>
  </r>
  <r>
    <d v="2023-04-28T10:42:52"/>
    <x v="0"/>
    <x v="800"/>
    <x v="0"/>
    <x v="2"/>
    <x v="1"/>
    <x v="1"/>
    <x v="0"/>
    <x v="0"/>
    <n v="3"/>
    <x v="1"/>
    <x v="1"/>
    <x v="11"/>
    <x v="450"/>
    <x v="0"/>
    <x v="5"/>
  </r>
  <r>
    <d v="2023-04-28T10:44:07"/>
    <x v="0"/>
    <x v="801"/>
    <x v="0"/>
    <x v="3"/>
    <x v="1"/>
    <x v="0"/>
    <x v="1"/>
    <x v="1"/>
    <n v="3"/>
    <x v="0"/>
    <x v="2"/>
    <x v="14"/>
    <x v="451"/>
    <x v="2"/>
    <x v="3"/>
  </r>
  <r>
    <d v="2023-04-28T10:44:46"/>
    <x v="0"/>
    <x v="802"/>
    <x v="0"/>
    <x v="2"/>
    <x v="0"/>
    <x v="0"/>
    <x v="0"/>
    <x v="0"/>
    <n v="10"/>
    <x v="3"/>
    <x v="1"/>
    <x v="6"/>
    <x v="452"/>
    <x v="0"/>
    <x v="1"/>
  </r>
  <r>
    <d v="2023-04-28T10:45:06"/>
    <x v="0"/>
    <x v="803"/>
    <x v="1"/>
    <x v="4"/>
    <x v="0"/>
    <x v="0"/>
    <x v="0"/>
    <x v="0"/>
    <n v="5"/>
    <x v="1"/>
    <x v="1"/>
    <x v="19"/>
    <x v="338"/>
    <x v="0"/>
    <x v="4"/>
  </r>
  <r>
    <d v="2023-04-28T10:45:47"/>
    <x v="0"/>
    <x v="804"/>
    <x v="0"/>
    <x v="1"/>
    <x v="2"/>
    <x v="1"/>
    <x v="1"/>
    <x v="1"/>
    <n v="10"/>
    <x v="1"/>
    <x v="0"/>
    <x v="10"/>
    <x v="453"/>
    <x v="2"/>
    <x v="3"/>
  </r>
  <r>
    <d v="2023-04-28T10:46:11"/>
    <x v="0"/>
    <x v="805"/>
    <x v="0"/>
    <x v="1"/>
    <x v="1"/>
    <x v="0"/>
    <x v="0"/>
    <x v="0"/>
    <n v="5"/>
    <x v="0"/>
    <x v="1"/>
    <x v="8"/>
    <x v="454"/>
    <x v="0"/>
    <x v="3"/>
  </r>
  <r>
    <d v="2023-04-28T10:46:41"/>
    <x v="0"/>
    <x v="806"/>
    <x v="1"/>
    <x v="0"/>
    <x v="2"/>
    <x v="1"/>
    <x v="0"/>
    <x v="0"/>
    <n v="3"/>
    <x v="6"/>
    <x v="2"/>
    <x v="9"/>
    <x v="455"/>
    <x v="2"/>
    <x v="7"/>
  </r>
  <r>
    <d v="2023-04-28T10:46:42"/>
    <x v="0"/>
    <x v="807"/>
    <x v="0"/>
    <x v="2"/>
    <x v="2"/>
    <x v="0"/>
    <x v="0"/>
    <x v="0"/>
    <n v="1"/>
    <x v="5"/>
    <x v="2"/>
    <x v="18"/>
    <x v="243"/>
    <x v="0"/>
    <x v="1"/>
  </r>
  <r>
    <d v="2023-04-28T10:47:22"/>
    <x v="0"/>
    <x v="808"/>
    <x v="0"/>
    <x v="4"/>
    <x v="0"/>
    <x v="1"/>
    <x v="0"/>
    <x v="1"/>
    <n v="8"/>
    <x v="6"/>
    <x v="0"/>
    <x v="18"/>
    <x v="141"/>
    <x v="1"/>
    <x v="1"/>
  </r>
  <r>
    <d v="2023-04-28T10:48:38"/>
    <x v="0"/>
    <x v="784"/>
    <x v="0"/>
    <x v="3"/>
    <x v="0"/>
    <x v="0"/>
    <x v="0"/>
    <x v="0"/>
    <n v="1"/>
    <x v="5"/>
    <x v="1"/>
    <x v="8"/>
    <x v="456"/>
    <x v="1"/>
    <x v="3"/>
  </r>
  <r>
    <d v="2023-04-28T10:50:46"/>
    <x v="0"/>
    <x v="805"/>
    <x v="0"/>
    <x v="2"/>
    <x v="0"/>
    <x v="1"/>
    <x v="1"/>
    <x v="1"/>
    <n v="10"/>
    <x v="3"/>
    <x v="1"/>
    <x v="11"/>
    <x v="281"/>
    <x v="0"/>
    <x v="15"/>
  </r>
  <r>
    <d v="2023-04-28T10:51:05"/>
    <x v="0"/>
    <x v="669"/>
    <x v="0"/>
    <x v="1"/>
    <x v="0"/>
    <x v="1"/>
    <x v="0"/>
    <x v="0"/>
    <n v="5"/>
    <x v="1"/>
    <x v="2"/>
    <x v="11"/>
    <x v="101"/>
    <x v="0"/>
    <x v="1"/>
  </r>
  <r>
    <d v="2023-04-28T10:51:58"/>
    <x v="0"/>
    <x v="809"/>
    <x v="0"/>
    <x v="0"/>
    <x v="2"/>
    <x v="1"/>
    <x v="0"/>
    <x v="0"/>
    <n v="1"/>
    <x v="1"/>
    <x v="1"/>
    <x v="6"/>
    <x v="284"/>
    <x v="2"/>
    <x v="1"/>
  </r>
  <r>
    <d v="2023-04-28T10:52:00"/>
    <x v="0"/>
    <x v="810"/>
    <x v="0"/>
    <x v="0"/>
    <x v="0"/>
    <x v="1"/>
    <x v="0"/>
    <x v="0"/>
    <n v="2"/>
    <x v="3"/>
    <x v="1"/>
    <x v="15"/>
    <x v="276"/>
    <x v="0"/>
    <x v="7"/>
  </r>
  <r>
    <d v="2023-04-28T10:52:07"/>
    <x v="0"/>
    <x v="811"/>
    <x v="0"/>
    <x v="3"/>
    <x v="0"/>
    <x v="0"/>
    <x v="0"/>
    <x v="0"/>
    <n v="1"/>
    <x v="5"/>
    <x v="0"/>
    <x v="9"/>
    <x v="308"/>
    <x v="2"/>
    <x v="3"/>
  </r>
  <r>
    <d v="2023-04-28T10:54:33"/>
    <x v="0"/>
    <x v="104"/>
    <x v="0"/>
    <x v="0"/>
    <x v="0"/>
    <x v="0"/>
    <x v="0"/>
    <x v="0"/>
    <n v="8"/>
    <x v="6"/>
    <x v="1"/>
    <x v="19"/>
    <x v="118"/>
    <x v="1"/>
    <x v="15"/>
  </r>
  <r>
    <d v="2023-04-28T10:58:25"/>
    <x v="0"/>
    <x v="812"/>
    <x v="0"/>
    <x v="4"/>
    <x v="2"/>
    <x v="0"/>
    <x v="0"/>
    <x v="0"/>
    <n v="1"/>
    <x v="1"/>
    <x v="1"/>
    <x v="7"/>
    <x v="233"/>
    <x v="0"/>
    <x v="3"/>
  </r>
  <r>
    <d v="2023-04-28T10:58:58"/>
    <x v="0"/>
    <x v="813"/>
    <x v="1"/>
    <x v="3"/>
    <x v="2"/>
    <x v="1"/>
    <x v="0"/>
    <x v="0"/>
    <n v="3"/>
    <x v="6"/>
    <x v="1"/>
    <x v="22"/>
    <x v="111"/>
    <x v="0"/>
    <x v="16"/>
  </r>
  <r>
    <d v="2023-04-28T11:00:30"/>
    <x v="0"/>
    <x v="787"/>
    <x v="1"/>
    <x v="4"/>
    <x v="0"/>
    <x v="0"/>
    <x v="1"/>
    <x v="0"/>
    <n v="3"/>
    <x v="6"/>
    <x v="2"/>
    <x v="17"/>
    <x v="161"/>
    <x v="1"/>
    <x v="3"/>
  </r>
  <r>
    <d v="2023-04-28T11:00:35"/>
    <x v="0"/>
    <x v="70"/>
    <x v="0"/>
    <x v="4"/>
    <x v="1"/>
    <x v="0"/>
    <x v="0"/>
    <x v="0"/>
    <n v="7"/>
    <x v="5"/>
    <x v="2"/>
    <x v="18"/>
    <x v="430"/>
    <x v="0"/>
    <x v="1"/>
  </r>
  <r>
    <d v="2023-04-28T11:03:45"/>
    <x v="0"/>
    <x v="814"/>
    <x v="1"/>
    <x v="2"/>
    <x v="2"/>
    <x v="1"/>
    <x v="0"/>
    <x v="0"/>
    <n v="7"/>
    <x v="6"/>
    <x v="1"/>
    <x v="8"/>
    <x v="211"/>
    <x v="0"/>
    <x v="7"/>
  </r>
  <r>
    <d v="2023-04-28T11:07:28"/>
    <x v="0"/>
    <x v="725"/>
    <x v="0"/>
    <x v="4"/>
    <x v="2"/>
    <x v="1"/>
    <x v="0"/>
    <x v="0"/>
    <n v="6"/>
    <x v="6"/>
    <x v="2"/>
    <x v="7"/>
    <x v="198"/>
    <x v="1"/>
    <x v="1"/>
  </r>
  <r>
    <d v="2023-04-28T11:07:35"/>
    <x v="0"/>
    <x v="815"/>
    <x v="1"/>
    <x v="3"/>
    <x v="2"/>
    <x v="0"/>
    <x v="1"/>
    <x v="0"/>
    <n v="9"/>
    <x v="6"/>
    <x v="2"/>
    <x v="8"/>
    <x v="110"/>
    <x v="2"/>
    <x v="11"/>
  </r>
  <r>
    <d v="2023-04-28T11:12:26"/>
    <x v="0"/>
    <x v="816"/>
    <x v="0"/>
    <x v="4"/>
    <x v="2"/>
    <x v="1"/>
    <x v="1"/>
    <x v="1"/>
    <n v="10"/>
    <x v="3"/>
    <x v="0"/>
    <x v="12"/>
    <x v="457"/>
    <x v="3"/>
    <x v="7"/>
  </r>
  <r>
    <d v="2023-04-28T11:13:28"/>
    <x v="0"/>
    <x v="801"/>
    <x v="1"/>
    <x v="4"/>
    <x v="0"/>
    <x v="0"/>
    <x v="1"/>
    <x v="1"/>
    <n v="10"/>
    <x v="5"/>
    <x v="0"/>
    <x v="10"/>
    <x v="458"/>
    <x v="2"/>
    <x v="3"/>
  </r>
  <r>
    <d v="2023-04-28T11:14:49"/>
    <x v="0"/>
    <x v="817"/>
    <x v="0"/>
    <x v="4"/>
    <x v="1"/>
    <x v="0"/>
    <x v="0"/>
    <x v="1"/>
    <n v="10"/>
    <x v="5"/>
    <x v="0"/>
    <x v="8"/>
    <x v="459"/>
    <x v="0"/>
    <x v="1"/>
  </r>
  <r>
    <d v="2023-04-28T11:16:27"/>
    <x v="0"/>
    <x v="509"/>
    <x v="1"/>
    <x v="4"/>
    <x v="2"/>
    <x v="1"/>
    <x v="0"/>
    <x v="0"/>
    <n v="4"/>
    <x v="5"/>
    <x v="1"/>
    <x v="15"/>
    <x v="124"/>
    <x v="0"/>
    <x v="0"/>
  </r>
  <r>
    <d v="2023-04-28T11:25:03"/>
    <x v="0"/>
    <x v="70"/>
    <x v="1"/>
    <x v="4"/>
    <x v="0"/>
    <x v="0"/>
    <x v="1"/>
    <x v="0"/>
    <n v="2"/>
    <x v="6"/>
    <x v="1"/>
    <x v="16"/>
    <x v="174"/>
    <x v="1"/>
    <x v="4"/>
  </r>
  <r>
    <d v="2023-04-28T11:25:41"/>
    <x v="0"/>
    <x v="818"/>
    <x v="1"/>
    <x v="3"/>
    <x v="0"/>
    <x v="0"/>
    <x v="0"/>
    <x v="0"/>
    <n v="6"/>
    <x v="5"/>
    <x v="1"/>
    <x v="11"/>
    <x v="460"/>
    <x v="0"/>
    <x v="3"/>
  </r>
  <r>
    <d v="2023-04-28T11:25:42"/>
    <x v="0"/>
    <x v="278"/>
    <x v="1"/>
    <x v="0"/>
    <x v="0"/>
    <x v="1"/>
    <x v="0"/>
    <x v="0"/>
    <n v="4"/>
    <x v="5"/>
    <x v="0"/>
    <x v="11"/>
    <x v="156"/>
    <x v="0"/>
    <x v="4"/>
  </r>
  <r>
    <d v="2023-04-28T11:30:57"/>
    <x v="0"/>
    <x v="166"/>
    <x v="0"/>
    <x v="3"/>
    <x v="0"/>
    <x v="1"/>
    <x v="0"/>
    <x v="0"/>
    <n v="6"/>
    <x v="6"/>
    <x v="1"/>
    <x v="17"/>
    <x v="201"/>
    <x v="0"/>
    <x v="9"/>
  </r>
  <r>
    <d v="2023-04-28T11:31:12"/>
    <x v="0"/>
    <x v="681"/>
    <x v="0"/>
    <x v="1"/>
    <x v="2"/>
    <x v="0"/>
    <x v="0"/>
    <x v="0"/>
    <n v="4"/>
    <x v="5"/>
    <x v="2"/>
    <x v="18"/>
    <x v="179"/>
    <x v="0"/>
    <x v="2"/>
  </r>
  <r>
    <d v="2023-04-28T11:32:24"/>
    <x v="0"/>
    <x v="293"/>
    <x v="1"/>
    <x v="2"/>
    <x v="2"/>
    <x v="0"/>
    <x v="0"/>
    <x v="0"/>
    <n v="4"/>
    <x v="3"/>
    <x v="1"/>
    <x v="18"/>
    <x v="111"/>
    <x v="0"/>
    <x v="1"/>
  </r>
  <r>
    <d v="2023-04-28T11:38:51"/>
    <x v="0"/>
    <x v="371"/>
    <x v="1"/>
    <x v="4"/>
    <x v="2"/>
    <x v="1"/>
    <x v="0"/>
    <x v="1"/>
    <n v="6"/>
    <x v="0"/>
    <x v="1"/>
    <x v="17"/>
    <x v="418"/>
    <x v="0"/>
    <x v="3"/>
  </r>
  <r>
    <d v="2023-04-28T11:40:24"/>
    <x v="0"/>
    <x v="819"/>
    <x v="0"/>
    <x v="0"/>
    <x v="0"/>
    <x v="1"/>
    <x v="0"/>
    <x v="0"/>
    <n v="1"/>
    <x v="1"/>
    <x v="2"/>
    <x v="9"/>
    <x v="195"/>
    <x v="0"/>
    <x v="0"/>
  </r>
  <r>
    <d v="2023-04-28T11:43:03"/>
    <x v="0"/>
    <x v="343"/>
    <x v="1"/>
    <x v="4"/>
    <x v="0"/>
    <x v="0"/>
    <x v="1"/>
    <x v="0"/>
    <n v="8"/>
    <x v="5"/>
    <x v="1"/>
    <x v="15"/>
    <x v="160"/>
    <x v="0"/>
    <x v="15"/>
  </r>
  <r>
    <d v="2023-04-28T11:46:53"/>
    <x v="0"/>
    <x v="31"/>
    <x v="0"/>
    <x v="3"/>
    <x v="0"/>
    <x v="0"/>
    <x v="0"/>
    <x v="0"/>
    <n v="6"/>
    <x v="5"/>
    <x v="1"/>
    <x v="6"/>
    <x v="380"/>
    <x v="2"/>
    <x v="5"/>
  </r>
  <r>
    <d v="2023-04-28T11:50:06"/>
    <x v="0"/>
    <x v="820"/>
    <x v="0"/>
    <x v="2"/>
    <x v="0"/>
    <x v="0"/>
    <x v="0"/>
    <x v="0"/>
    <n v="10"/>
    <x v="1"/>
    <x v="1"/>
    <x v="21"/>
    <x v="99"/>
    <x v="0"/>
    <x v="2"/>
  </r>
  <r>
    <d v="2023-04-28T11:54:39"/>
    <x v="0"/>
    <x v="821"/>
    <x v="1"/>
    <x v="4"/>
    <x v="2"/>
    <x v="0"/>
    <x v="0"/>
    <x v="0"/>
    <n v="1"/>
    <x v="6"/>
    <x v="1"/>
    <x v="9"/>
    <x v="461"/>
    <x v="0"/>
    <x v="4"/>
  </r>
  <r>
    <d v="2023-04-28T11:55:29"/>
    <x v="0"/>
    <x v="712"/>
    <x v="1"/>
    <x v="3"/>
    <x v="2"/>
    <x v="1"/>
    <x v="0"/>
    <x v="0"/>
    <n v="5"/>
    <x v="6"/>
    <x v="2"/>
    <x v="9"/>
    <x v="147"/>
    <x v="2"/>
    <x v="1"/>
  </r>
  <r>
    <d v="2023-04-28T11:57:58"/>
    <x v="0"/>
    <x v="822"/>
    <x v="0"/>
    <x v="3"/>
    <x v="2"/>
    <x v="1"/>
    <x v="0"/>
    <x v="0"/>
    <n v="5"/>
    <x v="6"/>
    <x v="1"/>
    <x v="10"/>
    <x v="462"/>
    <x v="0"/>
    <x v="1"/>
  </r>
  <r>
    <d v="2023-04-28T12:02:11"/>
    <x v="0"/>
    <x v="823"/>
    <x v="0"/>
    <x v="0"/>
    <x v="1"/>
    <x v="0"/>
    <x v="0"/>
    <x v="0"/>
    <n v="4"/>
    <x v="6"/>
    <x v="0"/>
    <x v="6"/>
    <x v="463"/>
    <x v="0"/>
    <x v="1"/>
  </r>
  <r>
    <d v="2023-04-28T12:14:55"/>
    <x v="0"/>
    <x v="824"/>
    <x v="1"/>
    <x v="3"/>
    <x v="2"/>
    <x v="1"/>
    <x v="1"/>
    <x v="1"/>
    <n v="5"/>
    <x v="6"/>
    <x v="0"/>
    <x v="8"/>
    <x v="132"/>
    <x v="2"/>
    <x v="2"/>
  </r>
  <r>
    <d v="2023-04-28T12:18:50"/>
    <x v="0"/>
    <x v="810"/>
    <x v="0"/>
    <x v="0"/>
    <x v="1"/>
    <x v="1"/>
    <x v="0"/>
    <x v="1"/>
    <n v="8"/>
    <x v="5"/>
    <x v="0"/>
    <x v="9"/>
    <x v="464"/>
    <x v="0"/>
    <x v="1"/>
  </r>
  <r>
    <d v="2023-04-28T12:23:50"/>
    <x v="0"/>
    <x v="825"/>
    <x v="0"/>
    <x v="0"/>
    <x v="0"/>
    <x v="0"/>
    <x v="1"/>
    <x v="0"/>
    <n v="2"/>
    <x v="1"/>
    <x v="1"/>
    <x v="17"/>
    <x v="97"/>
    <x v="1"/>
    <x v="7"/>
  </r>
  <r>
    <d v="2023-04-28T12:25:17"/>
    <x v="0"/>
    <x v="826"/>
    <x v="1"/>
    <x v="3"/>
    <x v="0"/>
    <x v="0"/>
    <x v="0"/>
    <x v="0"/>
    <n v="8"/>
    <x v="3"/>
    <x v="2"/>
    <x v="9"/>
    <x v="279"/>
    <x v="0"/>
    <x v="3"/>
  </r>
  <r>
    <d v="2023-04-28T12:27:12"/>
    <x v="0"/>
    <x v="827"/>
    <x v="0"/>
    <x v="3"/>
    <x v="0"/>
    <x v="0"/>
    <x v="0"/>
    <x v="0"/>
    <n v="8"/>
    <x v="6"/>
    <x v="2"/>
    <x v="19"/>
    <x v="224"/>
    <x v="0"/>
    <x v="3"/>
  </r>
  <r>
    <d v="2023-04-28T12:27:57"/>
    <x v="0"/>
    <x v="828"/>
    <x v="1"/>
    <x v="1"/>
    <x v="2"/>
    <x v="0"/>
    <x v="0"/>
    <x v="0"/>
    <n v="5"/>
    <x v="1"/>
    <x v="0"/>
    <x v="21"/>
    <x v="214"/>
    <x v="0"/>
    <x v="7"/>
  </r>
  <r>
    <d v="2023-04-28T12:28:07"/>
    <x v="0"/>
    <x v="829"/>
    <x v="1"/>
    <x v="1"/>
    <x v="1"/>
    <x v="1"/>
    <x v="0"/>
    <x v="0"/>
    <n v="5"/>
    <x v="1"/>
    <x v="0"/>
    <x v="11"/>
    <x v="308"/>
    <x v="0"/>
    <x v="1"/>
  </r>
  <r>
    <d v="2023-04-28T12:30:06"/>
    <x v="0"/>
    <x v="830"/>
    <x v="0"/>
    <x v="4"/>
    <x v="2"/>
    <x v="1"/>
    <x v="0"/>
    <x v="0"/>
    <n v="7"/>
    <x v="6"/>
    <x v="2"/>
    <x v="7"/>
    <x v="111"/>
    <x v="1"/>
    <x v="3"/>
  </r>
  <r>
    <d v="2023-04-28T12:30:27"/>
    <x v="0"/>
    <x v="278"/>
    <x v="1"/>
    <x v="0"/>
    <x v="2"/>
    <x v="1"/>
    <x v="0"/>
    <x v="0"/>
    <n v="4"/>
    <x v="1"/>
    <x v="2"/>
    <x v="18"/>
    <x v="109"/>
    <x v="0"/>
    <x v="7"/>
  </r>
  <r>
    <d v="2023-04-28T12:30:28"/>
    <x v="0"/>
    <x v="831"/>
    <x v="1"/>
    <x v="4"/>
    <x v="0"/>
    <x v="1"/>
    <x v="0"/>
    <x v="0"/>
    <n v="5"/>
    <x v="1"/>
    <x v="2"/>
    <x v="24"/>
    <x v="465"/>
    <x v="1"/>
    <x v="1"/>
  </r>
  <r>
    <d v="2023-04-28T12:31:03"/>
    <x v="0"/>
    <x v="832"/>
    <x v="0"/>
    <x v="0"/>
    <x v="0"/>
    <x v="1"/>
    <x v="0"/>
    <x v="0"/>
    <n v="5"/>
    <x v="3"/>
    <x v="1"/>
    <x v="9"/>
    <x v="420"/>
    <x v="1"/>
    <x v="1"/>
  </r>
  <r>
    <d v="2023-04-28T12:36:27"/>
    <x v="0"/>
    <x v="257"/>
    <x v="0"/>
    <x v="4"/>
    <x v="2"/>
    <x v="1"/>
    <x v="1"/>
    <x v="1"/>
    <n v="8"/>
    <x v="6"/>
    <x v="1"/>
    <x v="13"/>
    <x v="466"/>
    <x v="0"/>
    <x v="9"/>
  </r>
  <r>
    <d v="2023-04-28T12:38:38"/>
    <x v="0"/>
    <x v="833"/>
    <x v="1"/>
    <x v="4"/>
    <x v="0"/>
    <x v="1"/>
    <x v="1"/>
    <x v="0"/>
    <n v="5"/>
    <x v="3"/>
    <x v="2"/>
    <x v="8"/>
    <x v="198"/>
    <x v="1"/>
    <x v="3"/>
  </r>
  <r>
    <d v="2023-04-28T12:39:52"/>
    <x v="0"/>
    <x v="834"/>
    <x v="0"/>
    <x v="0"/>
    <x v="0"/>
    <x v="0"/>
    <x v="0"/>
    <x v="0"/>
    <n v="2"/>
    <x v="1"/>
    <x v="1"/>
    <x v="19"/>
    <x v="119"/>
    <x v="0"/>
    <x v="8"/>
  </r>
  <r>
    <d v="2023-04-28T12:42:01"/>
    <x v="0"/>
    <x v="801"/>
    <x v="1"/>
    <x v="3"/>
    <x v="0"/>
    <x v="0"/>
    <x v="0"/>
    <x v="0"/>
    <n v="5"/>
    <x v="1"/>
    <x v="2"/>
    <x v="7"/>
    <x v="158"/>
    <x v="1"/>
    <x v="6"/>
  </r>
  <r>
    <d v="2023-04-28T12:43:34"/>
    <x v="5"/>
    <x v="835"/>
    <x v="1"/>
    <x v="0"/>
    <x v="1"/>
    <x v="3"/>
    <x v="1"/>
    <x v="1"/>
    <n v="5"/>
    <x v="0"/>
    <x v="4"/>
    <x v="9"/>
    <x v="467"/>
    <x v="1"/>
    <x v="7"/>
  </r>
  <r>
    <d v="2023-04-28T12:45:59"/>
    <x v="0"/>
    <x v="836"/>
    <x v="0"/>
    <x v="3"/>
    <x v="2"/>
    <x v="0"/>
    <x v="0"/>
    <x v="0"/>
    <n v="8"/>
    <x v="1"/>
    <x v="1"/>
    <x v="17"/>
    <x v="113"/>
    <x v="0"/>
    <x v="1"/>
  </r>
  <r>
    <d v="2023-04-28T12:47:07"/>
    <x v="0"/>
    <x v="837"/>
    <x v="1"/>
    <x v="3"/>
    <x v="1"/>
    <x v="0"/>
    <x v="1"/>
    <x v="0"/>
    <n v="9"/>
    <x v="1"/>
    <x v="2"/>
    <x v="20"/>
    <x v="468"/>
    <x v="2"/>
    <x v="1"/>
  </r>
  <r>
    <d v="2023-04-28T12:50:23"/>
    <x v="0"/>
    <x v="838"/>
    <x v="1"/>
    <x v="3"/>
    <x v="0"/>
    <x v="0"/>
    <x v="0"/>
    <x v="0"/>
    <n v="7"/>
    <x v="5"/>
    <x v="2"/>
    <x v="9"/>
    <x v="299"/>
    <x v="0"/>
    <x v="7"/>
  </r>
  <r>
    <d v="2023-04-28T12:50:52"/>
    <x v="0"/>
    <x v="839"/>
    <x v="0"/>
    <x v="2"/>
    <x v="0"/>
    <x v="0"/>
    <x v="0"/>
    <x v="1"/>
    <n v="7"/>
    <x v="6"/>
    <x v="1"/>
    <x v="9"/>
    <x v="469"/>
    <x v="2"/>
    <x v="1"/>
  </r>
  <r>
    <d v="2023-04-28T12:51:40"/>
    <x v="0"/>
    <x v="840"/>
    <x v="0"/>
    <x v="4"/>
    <x v="0"/>
    <x v="1"/>
    <x v="1"/>
    <x v="1"/>
    <n v="8"/>
    <x v="3"/>
    <x v="0"/>
    <x v="12"/>
    <x v="470"/>
    <x v="0"/>
    <x v="1"/>
  </r>
  <r>
    <d v="2023-04-28T12:53:05"/>
    <x v="0"/>
    <x v="456"/>
    <x v="1"/>
    <x v="1"/>
    <x v="0"/>
    <x v="0"/>
    <x v="0"/>
    <x v="0"/>
    <n v="5"/>
    <x v="1"/>
    <x v="2"/>
    <x v="17"/>
    <x v="126"/>
    <x v="1"/>
    <x v="1"/>
  </r>
  <r>
    <d v="2023-04-28T12:55:03"/>
    <x v="0"/>
    <x v="841"/>
    <x v="0"/>
    <x v="0"/>
    <x v="0"/>
    <x v="0"/>
    <x v="0"/>
    <x v="0"/>
    <n v="5"/>
    <x v="1"/>
    <x v="1"/>
    <x v="17"/>
    <x v="335"/>
    <x v="0"/>
    <x v="3"/>
  </r>
  <r>
    <d v="2023-04-28T12:58:30"/>
    <x v="0"/>
    <x v="792"/>
    <x v="1"/>
    <x v="3"/>
    <x v="2"/>
    <x v="0"/>
    <x v="0"/>
    <x v="1"/>
    <n v="8"/>
    <x v="5"/>
    <x v="2"/>
    <x v="8"/>
    <x v="179"/>
    <x v="1"/>
    <x v="3"/>
  </r>
  <r>
    <d v="2023-04-28T12:59:51"/>
    <x v="0"/>
    <x v="792"/>
    <x v="0"/>
    <x v="2"/>
    <x v="2"/>
    <x v="0"/>
    <x v="0"/>
    <x v="0"/>
    <n v="7"/>
    <x v="6"/>
    <x v="0"/>
    <x v="17"/>
    <x v="471"/>
    <x v="0"/>
    <x v="3"/>
  </r>
  <r>
    <d v="2023-04-28T12:59:56"/>
    <x v="0"/>
    <x v="842"/>
    <x v="0"/>
    <x v="2"/>
    <x v="1"/>
    <x v="0"/>
    <x v="0"/>
    <x v="0"/>
    <n v="4"/>
    <x v="6"/>
    <x v="1"/>
    <x v="6"/>
    <x v="261"/>
    <x v="0"/>
    <x v="1"/>
  </r>
  <r>
    <d v="2023-04-28T13:00:06"/>
    <x v="0"/>
    <x v="736"/>
    <x v="1"/>
    <x v="1"/>
    <x v="0"/>
    <x v="0"/>
    <x v="1"/>
    <x v="0"/>
    <n v="3"/>
    <x v="6"/>
    <x v="3"/>
    <x v="6"/>
    <x v="121"/>
    <x v="3"/>
    <x v="8"/>
  </r>
  <r>
    <d v="2023-04-28T13:04:22"/>
    <x v="0"/>
    <x v="843"/>
    <x v="0"/>
    <x v="2"/>
    <x v="1"/>
    <x v="0"/>
    <x v="0"/>
    <x v="0"/>
    <n v="7"/>
    <x v="6"/>
    <x v="1"/>
    <x v="11"/>
    <x v="470"/>
    <x v="0"/>
    <x v="3"/>
  </r>
  <r>
    <d v="2023-04-28T13:09:24"/>
    <x v="0"/>
    <x v="844"/>
    <x v="0"/>
    <x v="0"/>
    <x v="2"/>
    <x v="0"/>
    <x v="0"/>
    <x v="0"/>
    <n v="7"/>
    <x v="1"/>
    <x v="0"/>
    <x v="9"/>
    <x v="141"/>
    <x v="2"/>
    <x v="1"/>
  </r>
  <r>
    <d v="2023-04-28T13:10:04"/>
    <x v="0"/>
    <x v="845"/>
    <x v="1"/>
    <x v="2"/>
    <x v="0"/>
    <x v="0"/>
    <x v="0"/>
    <x v="0"/>
    <n v="10"/>
    <x v="6"/>
    <x v="2"/>
    <x v="11"/>
    <x v="155"/>
    <x v="1"/>
    <x v="7"/>
  </r>
  <r>
    <d v="2023-04-28T13:14:41"/>
    <x v="0"/>
    <x v="536"/>
    <x v="0"/>
    <x v="2"/>
    <x v="2"/>
    <x v="1"/>
    <x v="0"/>
    <x v="0"/>
    <n v="10"/>
    <x v="6"/>
    <x v="0"/>
    <x v="15"/>
    <x v="94"/>
    <x v="0"/>
    <x v="15"/>
  </r>
  <r>
    <d v="2023-04-28T13:18:48"/>
    <x v="0"/>
    <x v="842"/>
    <x v="0"/>
    <x v="1"/>
    <x v="2"/>
    <x v="1"/>
    <x v="1"/>
    <x v="1"/>
    <n v="8"/>
    <x v="1"/>
    <x v="2"/>
    <x v="9"/>
    <x v="239"/>
    <x v="2"/>
    <x v="7"/>
  </r>
  <r>
    <d v="2023-04-28T13:19:16"/>
    <x v="0"/>
    <x v="617"/>
    <x v="0"/>
    <x v="4"/>
    <x v="0"/>
    <x v="1"/>
    <x v="1"/>
    <x v="0"/>
    <n v="10"/>
    <x v="5"/>
    <x v="2"/>
    <x v="16"/>
    <x v="301"/>
    <x v="2"/>
    <x v="18"/>
  </r>
  <r>
    <d v="2023-04-28T13:20:49"/>
    <x v="0"/>
    <x v="739"/>
    <x v="1"/>
    <x v="4"/>
    <x v="2"/>
    <x v="0"/>
    <x v="0"/>
    <x v="0"/>
    <n v="5"/>
    <x v="6"/>
    <x v="2"/>
    <x v="9"/>
    <x v="402"/>
    <x v="0"/>
    <x v="1"/>
  </r>
  <r>
    <d v="2023-04-28T13:21:41"/>
    <x v="0"/>
    <x v="846"/>
    <x v="1"/>
    <x v="4"/>
    <x v="1"/>
    <x v="0"/>
    <x v="0"/>
    <x v="0"/>
    <n v="5"/>
    <x v="1"/>
    <x v="1"/>
    <x v="17"/>
    <x v="224"/>
    <x v="0"/>
    <x v="0"/>
  </r>
  <r>
    <d v="2023-04-28T13:25:21"/>
    <x v="0"/>
    <x v="725"/>
    <x v="0"/>
    <x v="2"/>
    <x v="1"/>
    <x v="1"/>
    <x v="1"/>
    <x v="0"/>
    <n v="8"/>
    <x v="6"/>
    <x v="1"/>
    <x v="9"/>
    <x v="139"/>
    <x v="0"/>
    <x v="2"/>
  </r>
  <r>
    <d v="2023-04-28T13:31:44"/>
    <x v="0"/>
    <x v="330"/>
    <x v="1"/>
    <x v="0"/>
    <x v="1"/>
    <x v="0"/>
    <x v="0"/>
    <x v="0"/>
    <n v="1"/>
    <x v="1"/>
    <x v="1"/>
    <x v="11"/>
    <x v="358"/>
    <x v="0"/>
    <x v="7"/>
  </r>
  <r>
    <d v="2023-04-28T13:37:41"/>
    <x v="0"/>
    <x v="564"/>
    <x v="0"/>
    <x v="0"/>
    <x v="2"/>
    <x v="1"/>
    <x v="0"/>
    <x v="0"/>
    <n v="6"/>
    <x v="3"/>
    <x v="1"/>
    <x v="19"/>
    <x v="282"/>
    <x v="0"/>
    <x v="0"/>
  </r>
  <r>
    <d v="2023-04-28T13:43:06"/>
    <x v="0"/>
    <x v="725"/>
    <x v="0"/>
    <x v="4"/>
    <x v="2"/>
    <x v="0"/>
    <x v="0"/>
    <x v="0"/>
    <n v="7"/>
    <x v="1"/>
    <x v="1"/>
    <x v="9"/>
    <x v="123"/>
    <x v="1"/>
    <x v="4"/>
  </r>
  <r>
    <d v="2023-04-28T13:48:41"/>
    <x v="0"/>
    <x v="847"/>
    <x v="0"/>
    <x v="0"/>
    <x v="0"/>
    <x v="0"/>
    <x v="0"/>
    <x v="0"/>
    <n v="5"/>
    <x v="1"/>
    <x v="0"/>
    <x v="7"/>
    <x v="111"/>
    <x v="0"/>
    <x v="2"/>
  </r>
  <r>
    <d v="2023-04-28T13:50:55"/>
    <x v="0"/>
    <x v="848"/>
    <x v="0"/>
    <x v="4"/>
    <x v="2"/>
    <x v="1"/>
    <x v="0"/>
    <x v="0"/>
    <n v="5"/>
    <x v="6"/>
    <x v="2"/>
    <x v="16"/>
    <x v="111"/>
    <x v="0"/>
    <x v="7"/>
  </r>
  <r>
    <d v="2023-04-28T13:51:44"/>
    <x v="0"/>
    <x v="849"/>
    <x v="0"/>
    <x v="0"/>
    <x v="2"/>
    <x v="0"/>
    <x v="0"/>
    <x v="1"/>
    <n v="8"/>
    <x v="0"/>
    <x v="2"/>
    <x v="8"/>
    <x v="379"/>
    <x v="2"/>
    <x v="8"/>
  </r>
  <r>
    <d v="2023-04-28T13:51:46"/>
    <x v="0"/>
    <x v="70"/>
    <x v="0"/>
    <x v="0"/>
    <x v="1"/>
    <x v="1"/>
    <x v="0"/>
    <x v="0"/>
    <n v="1"/>
    <x v="3"/>
    <x v="1"/>
    <x v="9"/>
    <x v="472"/>
    <x v="0"/>
    <x v="3"/>
  </r>
  <r>
    <d v="2023-04-28T13:52:55"/>
    <x v="0"/>
    <x v="850"/>
    <x v="0"/>
    <x v="0"/>
    <x v="1"/>
    <x v="0"/>
    <x v="0"/>
    <x v="0"/>
    <n v="8"/>
    <x v="5"/>
    <x v="1"/>
    <x v="19"/>
    <x v="109"/>
    <x v="2"/>
    <x v="1"/>
  </r>
  <r>
    <d v="2023-04-28T13:53:35"/>
    <x v="0"/>
    <x v="844"/>
    <x v="0"/>
    <x v="0"/>
    <x v="1"/>
    <x v="0"/>
    <x v="1"/>
    <x v="1"/>
    <n v="8"/>
    <x v="1"/>
    <x v="2"/>
    <x v="17"/>
    <x v="433"/>
    <x v="2"/>
    <x v="5"/>
  </r>
  <r>
    <d v="2023-04-28T13:57:40"/>
    <x v="0"/>
    <x v="851"/>
    <x v="0"/>
    <x v="1"/>
    <x v="0"/>
    <x v="1"/>
    <x v="0"/>
    <x v="0"/>
    <n v="4"/>
    <x v="6"/>
    <x v="1"/>
    <x v="24"/>
    <x v="114"/>
    <x v="0"/>
    <x v="1"/>
  </r>
  <r>
    <d v="2023-04-28T14:03:43"/>
    <x v="0"/>
    <x v="852"/>
    <x v="1"/>
    <x v="4"/>
    <x v="1"/>
    <x v="1"/>
    <x v="0"/>
    <x v="0"/>
    <n v="3"/>
    <x v="6"/>
    <x v="1"/>
    <x v="6"/>
    <x v="128"/>
    <x v="0"/>
    <x v="8"/>
  </r>
  <r>
    <d v="2023-04-28T14:07:20"/>
    <x v="0"/>
    <x v="853"/>
    <x v="0"/>
    <x v="0"/>
    <x v="0"/>
    <x v="0"/>
    <x v="0"/>
    <x v="0"/>
    <n v="4"/>
    <x v="5"/>
    <x v="1"/>
    <x v="21"/>
    <x v="346"/>
    <x v="0"/>
    <x v="1"/>
  </r>
  <r>
    <d v="2023-04-28T14:07:45"/>
    <x v="0"/>
    <x v="685"/>
    <x v="0"/>
    <x v="1"/>
    <x v="2"/>
    <x v="0"/>
    <x v="1"/>
    <x v="1"/>
    <n v="9"/>
    <x v="6"/>
    <x v="0"/>
    <x v="9"/>
    <x v="109"/>
    <x v="0"/>
    <x v="7"/>
  </r>
  <r>
    <d v="2023-04-28T14:09:02"/>
    <x v="0"/>
    <x v="708"/>
    <x v="0"/>
    <x v="0"/>
    <x v="2"/>
    <x v="1"/>
    <x v="0"/>
    <x v="0"/>
    <n v="1"/>
    <x v="1"/>
    <x v="1"/>
    <x v="17"/>
    <x v="286"/>
    <x v="2"/>
    <x v="6"/>
  </r>
  <r>
    <d v="2023-04-28T14:09:55"/>
    <x v="0"/>
    <x v="854"/>
    <x v="0"/>
    <x v="3"/>
    <x v="1"/>
    <x v="0"/>
    <x v="1"/>
    <x v="0"/>
    <n v="7"/>
    <x v="0"/>
    <x v="0"/>
    <x v="12"/>
    <x v="332"/>
    <x v="0"/>
    <x v="7"/>
  </r>
  <r>
    <d v="2023-04-28T14:11:02"/>
    <x v="0"/>
    <x v="855"/>
    <x v="1"/>
    <x v="4"/>
    <x v="1"/>
    <x v="1"/>
    <x v="0"/>
    <x v="0"/>
    <n v="6"/>
    <x v="3"/>
    <x v="2"/>
    <x v="9"/>
    <x v="340"/>
    <x v="1"/>
    <x v="1"/>
  </r>
  <r>
    <d v="2023-04-28T14:16:06"/>
    <x v="0"/>
    <x v="856"/>
    <x v="0"/>
    <x v="2"/>
    <x v="1"/>
    <x v="0"/>
    <x v="1"/>
    <x v="0"/>
    <n v="8"/>
    <x v="1"/>
    <x v="0"/>
    <x v="11"/>
    <x v="473"/>
    <x v="2"/>
    <x v="3"/>
  </r>
  <r>
    <d v="2023-04-28T14:19:38"/>
    <x v="0"/>
    <x v="857"/>
    <x v="1"/>
    <x v="2"/>
    <x v="2"/>
    <x v="0"/>
    <x v="0"/>
    <x v="0"/>
    <n v="5"/>
    <x v="3"/>
    <x v="2"/>
    <x v="19"/>
    <x v="331"/>
    <x v="2"/>
    <x v="3"/>
  </r>
  <r>
    <d v="2023-04-28T14:19:51"/>
    <x v="0"/>
    <x v="858"/>
    <x v="1"/>
    <x v="1"/>
    <x v="1"/>
    <x v="0"/>
    <x v="0"/>
    <x v="0"/>
    <n v="10"/>
    <x v="1"/>
    <x v="1"/>
    <x v="11"/>
    <x v="474"/>
    <x v="0"/>
    <x v="14"/>
  </r>
  <r>
    <d v="2023-04-28T14:20:10"/>
    <x v="0"/>
    <x v="859"/>
    <x v="1"/>
    <x v="3"/>
    <x v="0"/>
    <x v="1"/>
    <x v="1"/>
    <x v="1"/>
    <n v="3"/>
    <x v="6"/>
    <x v="2"/>
    <x v="25"/>
    <x v="475"/>
    <x v="0"/>
    <x v="16"/>
  </r>
  <r>
    <d v="2023-04-28T14:20:16"/>
    <x v="0"/>
    <x v="860"/>
    <x v="1"/>
    <x v="2"/>
    <x v="0"/>
    <x v="1"/>
    <x v="0"/>
    <x v="0"/>
    <n v="6"/>
    <x v="1"/>
    <x v="1"/>
    <x v="6"/>
    <x v="301"/>
    <x v="0"/>
    <x v="2"/>
  </r>
  <r>
    <d v="2023-04-28T14:23:36"/>
    <x v="0"/>
    <x v="861"/>
    <x v="1"/>
    <x v="4"/>
    <x v="2"/>
    <x v="0"/>
    <x v="0"/>
    <x v="0"/>
    <n v="1"/>
    <x v="1"/>
    <x v="1"/>
    <x v="14"/>
    <x v="476"/>
    <x v="0"/>
    <x v="4"/>
  </r>
  <r>
    <d v="2023-04-28T14:23:46"/>
    <x v="0"/>
    <x v="862"/>
    <x v="1"/>
    <x v="1"/>
    <x v="2"/>
    <x v="1"/>
    <x v="1"/>
    <x v="1"/>
    <n v="7"/>
    <x v="3"/>
    <x v="2"/>
    <x v="7"/>
    <x v="179"/>
    <x v="1"/>
    <x v="1"/>
  </r>
  <r>
    <d v="2023-04-28T14:26:52"/>
    <x v="0"/>
    <x v="442"/>
    <x v="0"/>
    <x v="2"/>
    <x v="2"/>
    <x v="0"/>
    <x v="1"/>
    <x v="1"/>
    <n v="8"/>
    <x v="1"/>
    <x v="1"/>
    <x v="9"/>
    <x v="433"/>
    <x v="0"/>
    <x v="1"/>
  </r>
  <r>
    <d v="2023-04-28T14:33:00"/>
    <x v="0"/>
    <x v="863"/>
    <x v="0"/>
    <x v="2"/>
    <x v="2"/>
    <x v="3"/>
    <x v="0"/>
    <x v="0"/>
    <n v="1"/>
    <x v="6"/>
    <x v="4"/>
    <x v="10"/>
    <x v="243"/>
    <x v="2"/>
    <x v="8"/>
  </r>
  <r>
    <d v="2023-04-28T14:36:25"/>
    <x v="0"/>
    <x v="864"/>
    <x v="0"/>
    <x v="0"/>
    <x v="1"/>
    <x v="1"/>
    <x v="1"/>
    <x v="0"/>
    <n v="8"/>
    <x v="6"/>
    <x v="1"/>
    <x v="9"/>
    <x v="425"/>
    <x v="0"/>
    <x v="0"/>
  </r>
  <r>
    <d v="2023-04-28T14:38:01"/>
    <x v="0"/>
    <x v="865"/>
    <x v="0"/>
    <x v="4"/>
    <x v="0"/>
    <x v="1"/>
    <x v="0"/>
    <x v="0"/>
    <n v="5"/>
    <x v="3"/>
    <x v="1"/>
    <x v="9"/>
    <x v="111"/>
    <x v="2"/>
    <x v="1"/>
  </r>
  <r>
    <d v="2023-04-28T14:38:04"/>
    <x v="0"/>
    <x v="853"/>
    <x v="0"/>
    <x v="0"/>
    <x v="2"/>
    <x v="0"/>
    <x v="0"/>
    <x v="0"/>
    <n v="5"/>
    <x v="6"/>
    <x v="1"/>
    <x v="17"/>
    <x v="477"/>
    <x v="0"/>
    <x v="0"/>
  </r>
  <r>
    <d v="2023-04-28T14:39:36"/>
    <x v="0"/>
    <x v="854"/>
    <x v="0"/>
    <x v="3"/>
    <x v="1"/>
    <x v="0"/>
    <x v="0"/>
    <x v="0"/>
    <n v="10"/>
    <x v="3"/>
    <x v="2"/>
    <x v="7"/>
    <x v="310"/>
    <x v="1"/>
    <x v="1"/>
  </r>
  <r>
    <d v="2023-04-28T14:40:43"/>
    <x v="0"/>
    <x v="866"/>
    <x v="0"/>
    <x v="0"/>
    <x v="0"/>
    <x v="1"/>
    <x v="1"/>
    <x v="0"/>
    <n v="5"/>
    <x v="1"/>
    <x v="1"/>
    <x v="19"/>
    <x v="478"/>
    <x v="0"/>
    <x v="3"/>
  </r>
  <r>
    <d v="2023-04-28T14:40:43"/>
    <x v="0"/>
    <x v="867"/>
    <x v="0"/>
    <x v="0"/>
    <x v="2"/>
    <x v="1"/>
    <x v="1"/>
    <x v="1"/>
    <n v="7"/>
    <x v="6"/>
    <x v="1"/>
    <x v="17"/>
    <x v="141"/>
    <x v="1"/>
    <x v="0"/>
  </r>
  <r>
    <d v="2023-04-28T14:40:51"/>
    <x v="0"/>
    <x v="868"/>
    <x v="0"/>
    <x v="0"/>
    <x v="0"/>
    <x v="0"/>
    <x v="0"/>
    <x v="0"/>
    <n v="2"/>
    <x v="6"/>
    <x v="2"/>
    <x v="18"/>
    <x v="178"/>
    <x v="0"/>
    <x v="4"/>
  </r>
  <r>
    <d v="2023-04-28T14:42:50"/>
    <x v="0"/>
    <x v="869"/>
    <x v="1"/>
    <x v="0"/>
    <x v="2"/>
    <x v="0"/>
    <x v="1"/>
    <x v="0"/>
    <n v="5"/>
    <x v="1"/>
    <x v="2"/>
    <x v="9"/>
    <x v="96"/>
    <x v="2"/>
    <x v="3"/>
  </r>
  <r>
    <d v="2023-04-28T14:44:51"/>
    <x v="0"/>
    <x v="759"/>
    <x v="1"/>
    <x v="4"/>
    <x v="1"/>
    <x v="1"/>
    <x v="0"/>
    <x v="0"/>
    <n v="10"/>
    <x v="6"/>
    <x v="2"/>
    <x v="19"/>
    <x v="479"/>
    <x v="1"/>
    <x v="7"/>
  </r>
  <r>
    <d v="2023-04-28T14:52:21"/>
    <x v="0"/>
    <x v="870"/>
    <x v="0"/>
    <x v="2"/>
    <x v="2"/>
    <x v="0"/>
    <x v="0"/>
    <x v="0"/>
    <n v="8"/>
    <x v="5"/>
    <x v="2"/>
    <x v="7"/>
    <x v="480"/>
    <x v="1"/>
    <x v="4"/>
  </r>
  <r>
    <d v="2023-04-28T14:53:29"/>
    <x v="0"/>
    <x v="871"/>
    <x v="0"/>
    <x v="2"/>
    <x v="0"/>
    <x v="0"/>
    <x v="1"/>
    <x v="0"/>
    <n v="5"/>
    <x v="0"/>
    <x v="0"/>
    <x v="18"/>
    <x v="115"/>
    <x v="1"/>
    <x v="3"/>
  </r>
  <r>
    <d v="2023-04-28T14:58:23"/>
    <x v="0"/>
    <x v="290"/>
    <x v="1"/>
    <x v="0"/>
    <x v="0"/>
    <x v="1"/>
    <x v="0"/>
    <x v="0"/>
    <n v="3"/>
    <x v="1"/>
    <x v="3"/>
    <x v="15"/>
    <x v="481"/>
    <x v="1"/>
    <x v="7"/>
  </r>
  <r>
    <d v="2023-04-28T15:01:35"/>
    <x v="0"/>
    <x v="784"/>
    <x v="1"/>
    <x v="1"/>
    <x v="0"/>
    <x v="0"/>
    <x v="0"/>
    <x v="0"/>
    <n v="10"/>
    <x v="6"/>
    <x v="1"/>
    <x v="11"/>
    <x v="141"/>
    <x v="0"/>
    <x v="1"/>
  </r>
  <r>
    <d v="2023-04-28T15:01:42"/>
    <x v="0"/>
    <x v="872"/>
    <x v="1"/>
    <x v="4"/>
    <x v="0"/>
    <x v="1"/>
    <x v="0"/>
    <x v="0"/>
    <n v="5"/>
    <x v="3"/>
    <x v="2"/>
    <x v="19"/>
    <x v="140"/>
    <x v="0"/>
    <x v="1"/>
  </r>
  <r>
    <d v="2023-04-28T15:06:22"/>
    <x v="0"/>
    <x v="100"/>
    <x v="0"/>
    <x v="3"/>
    <x v="0"/>
    <x v="0"/>
    <x v="0"/>
    <x v="0"/>
    <n v="5"/>
    <x v="5"/>
    <x v="2"/>
    <x v="10"/>
    <x v="482"/>
    <x v="0"/>
    <x v="1"/>
  </r>
  <r>
    <d v="2023-04-28T15:07:32"/>
    <x v="0"/>
    <x v="78"/>
    <x v="0"/>
    <x v="4"/>
    <x v="0"/>
    <x v="1"/>
    <x v="0"/>
    <x v="0"/>
    <n v="3"/>
    <x v="6"/>
    <x v="1"/>
    <x v="11"/>
    <x v="141"/>
    <x v="2"/>
    <x v="23"/>
  </r>
  <r>
    <d v="2023-04-28T15:15:26"/>
    <x v="0"/>
    <x v="636"/>
    <x v="0"/>
    <x v="2"/>
    <x v="2"/>
    <x v="0"/>
    <x v="0"/>
    <x v="0"/>
    <n v="6"/>
    <x v="6"/>
    <x v="2"/>
    <x v="19"/>
    <x v="227"/>
    <x v="0"/>
    <x v="1"/>
  </r>
  <r>
    <d v="2023-04-28T15:19:25"/>
    <x v="0"/>
    <x v="619"/>
    <x v="0"/>
    <x v="0"/>
    <x v="0"/>
    <x v="1"/>
    <x v="0"/>
    <x v="0"/>
    <n v="3"/>
    <x v="3"/>
    <x v="2"/>
    <x v="9"/>
    <x v="132"/>
    <x v="3"/>
    <x v="24"/>
  </r>
  <r>
    <d v="2023-04-28T15:25:13"/>
    <x v="0"/>
    <x v="89"/>
    <x v="0"/>
    <x v="2"/>
    <x v="2"/>
    <x v="0"/>
    <x v="0"/>
    <x v="0"/>
    <n v="3"/>
    <x v="6"/>
    <x v="1"/>
    <x v="17"/>
    <x v="159"/>
    <x v="0"/>
    <x v="4"/>
  </r>
  <r>
    <d v="2023-04-28T15:47:53"/>
    <x v="0"/>
    <x v="873"/>
    <x v="0"/>
    <x v="0"/>
    <x v="1"/>
    <x v="0"/>
    <x v="1"/>
    <x v="0"/>
    <n v="10"/>
    <x v="1"/>
    <x v="1"/>
    <x v="7"/>
    <x v="243"/>
    <x v="0"/>
    <x v="3"/>
  </r>
  <r>
    <d v="2023-04-28T15:57:41"/>
    <x v="1"/>
    <x v="874"/>
    <x v="1"/>
    <x v="0"/>
    <x v="0"/>
    <x v="0"/>
    <x v="0"/>
    <x v="0"/>
    <n v="3"/>
    <x v="6"/>
    <x v="2"/>
    <x v="19"/>
    <x v="483"/>
    <x v="0"/>
    <x v="11"/>
  </r>
  <r>
    <d v="2023-04-28T16:00:09"/>
    <x v="0"/>
    <x v="290"/>
    <x v="0"/>
    <x v="3"/>
    <x v="2"/>
    <x v="0"/>
    <x v="0"/>
    <x v="0"/>
    <n v="6"/>
    <x v="6"/>
    <x v="3"/>
    <x v="11"/>
    <x v="153"/>
    <x v="0"/>
    <x v="4"/>
  </r>
  <r>
    <d v="2023-04-28T16:04:04"/>
    <x v="0"/>
    <x v="526"/>
    <x v="0"/>
    <x v="4"/>
    <x v="0"/>
    <x v="1"/>
    <x v="0"/>
    <x v="1"/>
    <n v="3"/>
    <x v="6"/>
    <x v="2"/>
    <x v="17"/>
    <x v="110"/>
    <x v="2"/>
    <x v="4"/>
  </r>
  <r>
    <d v="2023-04-28T16:04:34"/>
    <x v="0"/>
    <x v="875"/>
    <x v="0"/>
    <x v="4"/>
    <x v="1"/>
    <x v="1"/>
    <x v="0"/>
    <x v="0"/>
    <n v="5"/>
    <x v="3"/>
    <x v="1"/>
    <x v="17"/>
    <x v="416"/>
    <x v="0"/>
    <x v="7"/>
  </r>
  <r>
    <d v="2023-04-28T16:05:00"/>
    <x v="0"/>
    <x v="876"/>
    <x v="0"/>
    <x v="0"/>
    <x v="0"/>
    <x v="0"/>
    <x v="1"/>
    <x v="0"/>
    <n v="3"/>
    <x v="5"/>
    <x v="2"/>
    <x v="15"/>
    <x v="216"/>
    <x v="0"/>
    <x v="1"/>
  </r>
  <r>
    <d v="2023-04-28T16:08:23"/>
    <x v="0"/>
    <x v="721"/>
    <x v="1"/>
    <x v="3"/>
    <x v="0"/>
    <x v="1"/>
    <x v="0"/>
    <x v="0"/>
    <n v="7"/>
    <x v="1"/>
    <x v="0"/>
    <x v="17"/>
    <x v="484"/>
    <x v="0"/>
    <x v="3"/>
  </r>
  <r>
    <d v="2023-04-28T16:09:18"/>
    <x v="0"/>
    <x v="578"/>
    <x v="0"/>
    <x v="4"/>
    <x v="0"/>
    <x v="1"/>
    <x v="1"/>
    <x v="1"/>
    <n v="10"/>
    <x v="3"/>
    <x v="2"/>
    <x v="10"/>
    <x v="197"/>
    <x v="0"/>
    <x v="18"/>
  </r>
  <r>
    <d v="2023-04-28T16:10:11"/>
    <x v="0"/>
    <x v="877"/>
    <x v="1"/>
    <x v="3"/>
    <x v="2"/>
    <x v="1"/>
    <x v="0"/>
    <x v="0"/>
    <n v="6"/>
    <x v="3"/>
    <x v="2"/>
    <x v="9"/>
    <x v="224"/>
    <x v="1"/>
    <x v="1"/>
  </r>
  <r>
    <d v="2023-04-28T16:11:44"/>
    <x v="0"/>
    <x v="878"/>
    <x v="0"/>
    <x v="4"/>
    <x v="2"/>
    <x v="1"/>
    <x v="0"/>
    <x v="0"/>
    <n v="3"/>
    <x v="3"/>
    <x v="1"/>
    <x v="17"/>
    <x v="197"/>
    <x v="0"/>
    <x v="0"/>
  </r>
  <r>
    <d v="2023-04-28T16:11:52"/>
    <x v="0"/>
    <x v="879"/>
    <x v="1"/>
    <x v="1"/>
    <x v="0"/>
    <x v="1"/>
    <x v="0"/>
    <x v="0"/>
    <n v="5"/>
    <x v="3"/>
    <x v="1"/>
    <x v="6"/>
    <x v="197"/>
    <x v="0"/>
    <x v="3"/>
  </r>
  <r>
    <d v="2023-04-28T16:13:23"/>
    <x v="0"/>
    <x v="677"/>
    <x v="1"/>
    <x v="2"/>
    <x v="2"/>
    <x v="1"/>
    <x v="0"/>
    <x v="0"/>
    <n v="4"/>
    <x v="6"/>
    <x v="1"/>
    <x v="17"/>
    <x v="485"/>
    <x v="0"/>
    <x v="3"/>
  </r>
  <r>
    <d v="2023-04-28T16:14:01"/>
    <x v="0"/>
    <x v="278"/>
    <x v="1"/>
    <x v="4"/>
    <x v="2"/>
    <x v="0"/>
    <x v="0"/>
    <x v="0"/>
    <n v="1"/>
    <x v="6"/>
    <x v="1"/>
    <x v="6"/>
    <x v="486"/>
    <x v="2"/>
    <x v="1"/>
  </r>
  <r>
    <d v="2023-04-28T16:26:17"/>
    <x v="0"/>
    <x v="880"/>
    <x v="1"/>
    <x v="2"/>
    <x v="0"/>
    <x v="0"/>
    <x v="0"/>
    <x v="0"/>
    <n v="4"/>
    <x v="1"/>
    <x v="1"/>
    <x v="11"/>
    <x v="101"/>
    <x v="2"/>
    <x v="1"/>
  </r>
  <r>
    <d v="2023-04-28T16:29:43"/>
    <x v="0"/>
    <x v="881"/>
    <x v="1"/>
    <x v="0"/>
    <x v="0"/>
    <x v="0"/>
    <x v="0"/>
    <x v="0"/>
    <n v="5"/>
    <x v="3"/>
    <x v="0"/>
    <x v="9"/>
    <x v="132"/>
    <x v="1"/>
    <x v="3"/>
  </r>
  <r>
    <d v="2023-04-28T16:32:48"/>
    <x v="0"/>
    <x v="882"/>
    <x v="0"/>
    <x v="2"/>
    <x v="1"/>
    <x v="0"/>
    <x v="0"/>
    <x v="0"/>
    <n v="10"/>
    <x v="6"/>
    <x v="1"/>
    <x v="6"/>
    <x v="487"/>
    <x v="1"/>
    <x v="2"/>
  </r>
  <r>
    <d v="2023-04-28T16:37:10"/>
    <x v="0"/>
    <x v="883"/>
    <x v="0"/>
    <x v="4"/>
    <x v="2"/>
    <x v="1"/>
    <x v="0"/>
    <x v="1"/>
    <n v="5"/>
    <x v="1"/>
    <x v="2"/>
    <x v="9"/>
    <x v="346"/>
    <x v="0"/>
    <x v="4"/>
  </r>
  <r>
    <d v="2023-04-28T16:37:11"/>
    <x v="0"/>
    <x v="340"/>
    <x v="0"/>
    <x v="3"/>
    <x v="2"/>
    <x v="1"/>
    <x v="0"/>
    <x v="0"/>
    <n v="3"/>
    <x v="5"/>
    <x v="3"/>
    <x v="9"/>
    <x v="436"/>
    <x v="0"/>
    <x v="12"/>
  </r>
  <r>
    <d v="2023-04-28T16:39:01"/>
    <x v="0"/>
    <x v="884"/>
    <x v="1"/>
    <x v="4"/>
    <x v="1"/>
    <x v="1"/>
    <x v="0"/>
    <x v="0"/>
    <n v="5"/>
    <x v="0"/>
    <x v="2"/>
    <x v="17"/>
    <x v="449"/>
    <x v="0"/>
    <x v="1"/>
  </r>
  <r>
    <d v="2023-04-28T16:39:52"/>
    <x v="0"/>
    <x v="885"/>
    <x v="1"/>
    <x v="3"/>
    <x v="0"/>
    <x v="0"/>
    <x v="0"/>
    <x v="0"/>
    <n v="1"/>
    <x v="1"/>
    <x v="2"/>
    <x v="6"/>
    <x v="488"/>
    <x v="0"/>
    <x v="1"/>
  </r>
  <r>
    <d v="2023-04-28T16:41:17"/>
    <x v="0"/>
    <x v="886"/>
    <x v="1"/>
    <x v="4"/>
    <x v="1"/>
    <x v="1"/>
    <x v="1"/>
    <x v="1"/>
    <n v="8"/>
    <x v="5"/>
    <x v="1"/>
    <x v="7"/>
    <x v="432"/>
    <x v="0"/>
    <x v="1"/>
  </r>
  <r>
    <d v="2023-04-28T16:42:53"/>
    <x v="0"/>
    <x v="39"/>
    <x v="0"/>
    <x v="3"/>
    <x v="0"/>
    <x v="0"/>
    <x v="1"/>
    <x v="1"/>
    <n v="9"/>
    <x v="6"/>
    <x v="1"/>
    <x v="24"/>
    <x v="122"/>
    <x v="0"/>
    <x v="4"/>
  </r>
  <r>
    <d v="2023-04-28T16:42:56"/>
    <x v="0"/>
    <x v="859"/>
    <x v="1"/>
    <x v="2"/>
    <x v="0"/>
    <x v="1"/>
    <x v="0"/>
    <x v="0"/>
    <n v="4"/>
    <x v="5"/>
    <x v="0"/>
    <x v="17"/>
    <x v="489"/>
    <x v="3"/>
    <x v="7"/>
  </r>
  <r>
    <d v="2023-04-28T16:45:52"/>
    <x v="0"/>
    <x v="887"/>
    <x v="1"/>
    <x v="1"/>
    <x v="0"/>
    <x v="0"/>
    <x v="0"/>
    <x v="0"/>
    <n v="8"/>
    <x v="1"/>
    <x v="2"/>
    <x v="8"/>
    <x v="490"/>
    <x v="0"/>
    <x v="1"/>
  </r>
  <r>
    <d v="2023-04-28T16:48:10"/>
    <x v="0"/>
    <x v="888"/>
    <x v="1"/>
    <x v="4"/>
    <x v="1"/>
    <x v="0"/>
    <x v="0"/>
    <x v="0"/>
    <n v="5"/>
    <x v="6"/>
    <x v="3"/>
    <x v="9"/>
    <x v="274"/>
    <x v="0"/>
    <x v="12"/>
  </r>
  <r>
    <d v="2023-04-28T16:51:43"/>
    <x v="0"/>
    <x v="887"/>
    <x v="1"/>
    <x v="4"/>
    <x v="0"/>
    <x v="0"/>
    <x v="0"/>
    <x v="1"/>
    <n v="10"/>
    <x v="6"/>
    <x v="2"/>
    <x v="9"/>
    <x v="164"/>
    <x v="0"/>
    <x v="2"/>
  </r>
  <r>
    <d v="2023-04-28T16:54:10"/>
    <x v="0"/>
    <x v="889"/>
    <x v="0"/>
    <x v="3"/>
    <x v="1"/>
    <x v="0"/>
    <x v="0"/>
    <x v="1"/>
    <n v="10"/>
    <x v="1"/>
    <x v="2"/>
    <x v="14"/>
    <x v="124"/>
    <x v="0"/>
    <x v="7"/>
  </r>
  <r>
    <d v="2023-04-28T16:56:56"/>
    <x v="0"/>
    <x v="887"/>
    <x v="1"/>
    <x v="0"/>
    <x v="0"/>
    <x v="0"/>
    <x v="1"/>
    <x v="0"/>
    <n v="8"/>
    <x v="1"/>
    <x v="1"/>
    <x v="15"/>
    <x v="110"/>
    <x v="0"/>
    <x v="3"/>
  </r>
  <r>
    <d v="2023-04-28T17:13:17"/>
    <x v="0"/>
    <x v="890"/>
    <x v="0"/>
    <x v="3"/>
    <x v="2"/>
    <x v="0"/>
    <x v="0"/>
    <x v="1"/>
    <n v="10"/>
    <x v="1"/>
    <x v="0"/>
    <x v="18"/>
    <x v="491"/>
    <x v="1"/>
    <x v="14"/>
  </r>
  <r>
    <d v="2023-04-28T17:20:54"/>
    <x v="0"/>
    <x v="31"/>
    <x v="0"/>
    <x v="0"/>
    <x v="2"/>
    <x v="0"/>
    <x v="1"/>
    <x v="1"/>
    <n v="8"/>
    <x v="1"/>
    <x v="0"/>
    <x v="24"/>
    <x v="188"/>
    <x v="0"/>
    <x v="2"/>
  </r>
  <r>
    <d v="2023-04-28T17:25:02"/>
    <x v="0"/>
    <x v="614"/>
    <x v="1"/>
    <x v="4"/>
    <x v="0"/>
    <x v="0"/>
    <x v="0"/>
    <x v="0"/>
    <n v="1"/>
    <x v="3"/>
    <x v="1"/>
    <x v="19"/>
    <x v="416"/>
    <x v="0"/>
    <x v="15"/>
  </r>
  <r>
    <d v="2023-04-28T17:26:22"/>
    <x v="0"/>
    <x v="759"/>
    <x v="1"/>
    <x v="3"/>
    <x v="1"/>
    <x v="0"/>
    <x v="0"/>
    <x v="0"/>
    <n v="1"/>
    <x v="5"/>
    <x v="1"/>
    <x v="17"/>
    <x v="351"/>
    <x v="0"/>
    <x v="3"/>
  </r>
  <r>
    <d v="2023-04-28T17:29:56"/>
    <x v="0"/>
    <x v="815"/>
    <x v="0"/>
    <x v="0"/>
    <x v="0"/>
    <x v="0"/>
    <x v="0"/>
    <x v="0"/>
    <n v="3"/>
    <x v="5"/>
    <x v="1"/>
    <x v="9"/>
    <x v="113"/>
    <x v="1"/>
    <x v="0"/>
  </r>
  <r>
    <d v="2023-04-28T17:31:42"/>
    <x v="0"/>
    <x v="688"/>
    <x v="0"/>
    <x v="0"/>
    <x v="0"/>
    <x v="0"/>
    <x v="0"/>
    <x v="0"/>
    <n v="8"/>
    <x v="1"/>
    <x v="1"/>
    <x v="11"/>
    <x v="358"/>
    <x v="1"/>
    <x v="1"/>
  </r>
  <r>
    <d v="2023-04-28T17:37:10"/>
    <x v="0"/>
    <x v="891"/>
    <x v="0"/>
    <x v="1"/>
    <x v="2"/>
    <x v="1"/>
    <x v="1"/>
    <x v="1"/>
    <n v="6"/>
    <x v="5"/>
    <x v="0"/>
    <x v="25"/>
    <x v="170"/>
    <x v="0"/>
    <x v="7"/>
  </r>
  <r>
    <d v="2023-04-28T17:39:45"/>
    <x v="0"/>
    <x v="892"/>
    <x v="0"/>
    <x v="0"/>
    <x v="2"/>
    <x v="1"/>
    <x v="0"/>
    <x v="0"/>
    <n v="8"/>
    <x v="1"/>
    <x v="0"/>
    <x v="9"/>
    <x v="111"/>
    <x v="2"/>
    <x v="6"/>
  </r>
  <r>
    <d v="2023-04-28T17:40:28"/>
    <x v="0"/>
    <x v="887"/>
    <x v="0"/>
    <x v="4"/>
    <x v="0"/>
    <x v="0"/>
    <x v="0"/>
    <x v="0"/>
    <n v="5"/>
    <x v="1"/>
    <x v="3"/>
    <x v="14"/>
    <x v="454"/>
    <x v="1"/>
    <x v="1"/>
  </r>
  <r>
    <d v="2023-04-28T17:43:33"/>
    <x v="0"/>
    <x v="893"/>
    <x v="0"/>
    <x v="4"/>
    <x v="2"/>
    <x v="1"/>
    <x v="0"/>
    <x v="0"/>
    <n v="1"/>
    <x v="3"/>
    <x v="2"/>
    <x v="18"/>
    <x v="356"/>
    <x v="2"/>
    <x v="7"/>
  </r>
  <r>
    <d v="2023-04-28T17:45:12"/>
    <x v="0"/>
    <x v="190"/>
    <x v="0"/>
    <x v="0"/>
    <x v="0"/>
    <x v="0"/>
    <x v="0"/>
    <x v="0"/>
    <n v="5"/>
    <x v="1"/>
    <x v="1"/>
    <x v="9"/>
    <x v="356"/>
    <x v="0"/>
    <x v="7"/>
  </r>
  <r>
    <d v="2023-04-28T17:47:55"/>
    <x v="0"/>
    <x v="117"/>
    <x v="0"/>
    <x v="3"/>
    <x v="1"/>
    <x v="3"/>
    <x v="1"/>
    <x v="1"/>
    <n v="7"/>
    <x v="5"/>
    <x v="1"/>
    <x v="23"/>
    <x v="492"/>
    <x v="1"/>
    <x v="8"/>
  </r>
  <r>
    <d v="2023-04-28T17:49:49"/>
    <x v="0"/>
    <x v="894"/>
    <x v="1"/>
    <x v="3"/>
    <x v="2"/>
    <x v="0"/>
    <x v="0"/>
    <x v="0"/>
    <n v="8"/>
    <x v="0"/>
    <x v="2"/>
    <x v="9"/>
    <x v="183"/>
    <x v="1"/>
    <x v="23"/>
  </r>
  <r>
    <d v="2023-04-28T17:50:13"/>
    <x v="0"/>
    <x v="895"/>
    <x v="0"/>
    <x v="0"/>
    <x v="2"/>
    <x v="0"/>
    <x v="0"/>
    <x v="0"/>
    <n v="4"/>
    <x v="6"/>
    <x v="1"/>
    <x v="9"/>
    <x v="416"/>
    <x v="0"/>
    <x v="1"/>
  </r>
  <r>
    <d v="2023-04-28T17:52:19"/>
    <x v="0"/>
    <x v="887"/>
    <x v="1"/>
    <x v="0"/>
    <x v="0"/>
    <x v="0"/>
    <x v="0"/>
    <x v="1"/>
    <n v="5"/>
    <x v="1"/>
    <x v="1"/>
    <x v="11"/>
    <x v="264"/>
    <x v="0"/>
    <x v="1"/>
  </r>
  <r>
    <d v="2023-04-28T17:53:54"/>
    <x v="0"/>
    <x v="896"/>
    <x v="0"/>
    <x v="2"/>
    <x v="0"/>
    <x v="0"/>
    <x v="0"/>
    <x v="0"/>
    <n v="2"/>
    <x v="6"/>
    <x v="1"/>
    <x v="17"/>
    <x v="125"/>
    <x v="0"/>
    <x v="1"/>
  </r>
  <r>
    <d v="2023-04-28T17:53:57"/>
    <x v="0"/>
    <x v="897"/>
    <x v="0"/>
    <x v="0"/>
    <x v="2"/>
    <x v="1"/>
    <x v="0"/>
    <x v="0"/>
    <n v="5"/>
    <x v="1"/>
    <x v="1"/>
    <x v="18"/>
    <x v="218"/>
    <x v="0"/>
    <x v="3"/>
  </r>
  <r>
    <d v="2023-04-28T17:57:19"/>
    <x v="0"/>
    <x v="898"/>
    <x v="1"/>
    <x v="4"/>
    <x v="0"/>
    <x v="1"/>
    <x v="0"/>
    <x v="0"/>
    <n v="7"/>
    <x v="0"/>
    <x v="2"/>
    <x v="7"/>
    <x v="150"/>
    <x v="3"/>
    <x v="1"/>
  </r>
  <r>
    <d v="2023-04-28T17:59:14"/>
    <x v="0"/>
    <x v="100"/>
    <x v="1"/>
    <x v="4"/>
    <x v="2"/>
    <x v="1"/>
    <x v="0"/>
    <x v="0"/>
    <n v="1"/>
    <x v="0"/>
    <x v="2"/>
    <x v="19"/>
    <x v="359"/>
    <x v="2"/>
    <x v="1"/>
  </r>
  <r>
    <d v="2023-04-28T17:59:18"/>
    <x v="0"/>
    <x v="880"/>
    <x v="1"/>
    <x v="4"/>
    <x v="0"/>
    <x v="0"/>
    <x v="0"/>
    <x v="0"/>
    <n v="1"/>
    <x v="1"/>
    <x v="2"/>
    <x v="9"/>
    <x v="416"/>
    <x v="3"/>
    <x v="3"/>
  </r>
  <r>
    <d v="2023-04-28T17:59:35"/>
    <x v="0"/>
    <x v="788"/>
    <x v="1"/>
    <x v="2"/>
    <x v="0"/>
    <x v="1"/>
    <x v="0"/>
    <x v="0"/>
    <n v="8"/>
    <x v="6"/>
    <x v="1"/>
    <x v="11"/>
    <x v="109"/>
    <x v="0"/>
    <x v="1"/>
  </r>
  <r>
    <d v="2023-04-28T17:59:35"/>
    <x v="0"/>
    <x v="899"/>
    <x v="1"/>
    <x v="3"/>
    <x v="1"/>
    <x v="0"/>
    <x v="0"/>
    <x v="1"/>
    <n v="6"/>
    <x v="6"/>
    <x v="1"/>
    <x v="11"/>
    <x v="493"/>
    <x v="0"/>
    <x v="2"/>
  </r>
  <r>
    <d v="2023-04-28T18:00:53"/>
    <x v="0"/>
    <x v="896"/>
    <x v="0"/>
    <x v="2"/>
    <x v="1"/>
    <x v="0"/>
    <x v="0"/>
    <x v="0"/>
    <n v="5"/>
    <x v="6"/>
    <x v="1"/>
    <x v="16"/>
    <x v="494"/>
    <x v="1"/>
    <x v="1"/>
  </r>
  <r>
    <d v="2023-04-28T18:01:52"/>
    <x v="0"/>
    <x v="900"/>
    <x v="0"/>
    <x v="0"/>
    <x v="0"/>
    <x v="1"/>
    <x v="0"/>
    <x v="0"/>
    <n v="10"/>
    <x v="3"/>
    <x v="2"/>
    <x v="9"/>
    <x v="132"/>
    <x v="0"/>
    <x v="14"/>
  </r>
  <r>
    <d v="2023-04-28T18:09:45"/>
    <x v="0"/>
    <x v="901"/>
    <x v="0"/>
    <x v="2"/>
    <x v="1"/>
    <x v="1"/>
    <x v="0"/>
    <x v="0"/>
    <n v="6"/>
    <x v="6"/>
    <x v="1"/>
    <x v="17"/>
    <x v="181"/>
    <x v="1"/>
    <x v="1"/>
  </r>
  <r>
    <d v="2023-04-28T18:32:23"/>
    <x v="0"/>
    <x v="902"/>
    <x v="1"/>
    <x v="4"/>
    <x v="1"/>
    <x v="0"/>
    <x v="1"/>
    <x v="1"/>
    <n v="1"/>
    <x v="5"/>
    <x v="1"/>
    <x v="9"/>
    <x v="436"/>
    <x v="1"/>
    <x v="6"/>
  </r>
  <r>
    <d v="2023-04-28T18:33:39"/>
    <x v="0"/>
    <x v="903"/>
    <x v="1"/>
    <x v="4"/>
    <x v="0"/>
    <x v="3"/>
    <x v="0"/>
    <x v="0"/>
    <n v="6"/>
    <x v="5"/>
    <x v="0"/>
    <x v="11"/>
    <x v="338"/>
    <x v="1"/>
    <x v="7"/>
  </r>
  <r>
    <d v="2023-04-28T18:43:49"/>
    <x v="0"/>
    <x v="904"/>
    <x v="0"/>
    <x v="0"/>
    <x v="0"/>
    <x v="0"/>
    <x v="1"/>
    <x v="1"/>
    <n v="10"/>
    <x v="6"/>
    <x v="1"/>
    <x v="17"/>
    <x v="495"/>
    <x v="2"/>
    <x v="8"/>
  </r>
  <r>
    <d v="2023-04-28T18:53:20"/>
    <x v="0"/>
    <x v="905"/>
    <x v="0"/>
    <x v="0"/>
    <x v="0"/>
    <x v="1"/>
    <x v="1"/>
    <x v="1"/>
    <n v="6"/>
    <x v="1"/>
    <x v="2"/>
    <x v="6"/>
    <x v="496"/>
    <x v="2"/>
    <x v="3"/>
  </r>
  <r>
    <d v="2023-04-28T18:53:38"/>
    <x v="0"/>
    <x v="896"/>
    <x v="0"/>
    <x v="4"/>
    <x v="0"/>
    <x v="1"/>
    <x v="1"/>
    <x v="1"/>
    <n v="1"/>
    <x v="3"/>
    <x v="2"/>
    <x v="17"/>
    <x v="497"/>
    <x v="2"/>
    <x v="13"/>
  </r>
  <r>
    <d v="2023-04-28T18:54:02"/>
    <x v="0"/>
    <x v="906"/>
    <x v="0"/>
    <x v="0"/>
    <x v="0"/>
    <x v="0"/>
    <x v="0"/>
    <x v="1"/>
    <n v="3"/>
    <x v="5"/>
    <x v="1"/>
    <x v="9"/>
    <x v="109"/>
    <x v="0"/>
    <x v="10"/>
  </r>
  <r>
    <d v="2023-04-28T18:56:47"/>
    <x v="0"/>
    <x v="907"/>
    <x v="0"/>
    <x v="0"/>
    <x v="0"/>
    <x v="0"/>
    <x v="1"/>
    <x v="0"/>
    <n v="8"/>
    <x v="1"/>
    <x v="1"/>
    <x v="17"/>
    <x v="96"/>
    <x v="1"/>
    <x v="6"/>
  </r>
  <r>
    <d v="2023-04-28T19:00:45"/>
    <x v="0"/>
    <x v="908"/>
    <x v="1"/>
    <x v="0"/>
    <x v="2"/>
    <x v="0"/>
    <x v="0"/>
    <x v="0"/>
    <n v="3"/>
    <x v="6"/>
    <x v="2"/>
    <x v="9"/>
    <x v="498"/>
    <x v="1"/>
    <x v="3"/>
  </r>
  <r>
    <d v="2023-04-28T19:07:46"/>
    <x v="0"/>
    <x v="892"/>
    <x v="1"/>
    <x v="0"/>
    <x v="2"/>
    <x v="0"/>
    <x v="0"/>
    <x v="0"/>
    <n v="5"/>
    <x v="6"/>
    <x v="1"/>
    <x v="17"/>
    <x v="211"/>
    <x v="0"/>
    <x v="1"/>
  </r>
  <r>
    <d v="2023-04-28T19:10:47"/>
    <x v="0"/>
    <x v="909"/>
    <x v="0"/>
    <x v="4"/>
    <x v="2"/>
    <x v="0"/>
    <x v="0"/>
    <x v="1"/>
    <n v="3"/>
    <x v="1"/>
    <x v="2"/>
    <x v="11"/>
    <x v="100"/>
    <x v="2"/>
    <x v="1"/>
  </r>
  <r>
    <d v="2023-04-28T19:11:54"/>
    <x v="0"/>
    <x v="564"/>
    <x v="0"/>
    <x v="0"/>
    <x v="2"/>
    <x v="0"/>
    <x v="0"/>
    <x v="0"/>
    <n v="7"/>
    <x v="6"/>
    <x v="1"/>
    <x v="9"/>
    <x v="191"/>
    <x v="0"/>
    <x v="1"/>
  </r>
  <r>
    <d v="2023-04-28T19:14:11"/>
    <x v="0"/>
    <x v="785"/>
    <x v="1"/>
    <x v="4"/>
    <x v="2"/>
    <x v="1"/>
    <x v="0"/>
    <x v="0"/>
    <n v="10"/>
    <x v="0"/>
    <x v="0"/>
    <x v="9"/>
    <x v="397"/>
    <x v="2"/>
    <x v="2"/>
  </r>
  <r>
    <d v="2023-04-28T19:18:53"/>
    <x v="0"/>
    <x v="425"/>
    <x v="1"/>
    <x v="4"/>
    <x v="2"/>
    <x v="0"/>
    <x v="0"/>
    <x v="0"/>
    <n v="1"/>
    <x v="1"/>
    <x v="1"/>
    <x v="7"/>
    <x v="181"/>
    <x v="1"/>
    <x v="1"/>
  </r>
  <r>
    <d v="2023-04-28T19:33:05"/>
    <x v="0"/>
    <x v="896"/>
    <x v="0"/>
    <x v="2"/>
    <x v="2"/>
    <x v="0"/>
    <x v="0"/>
    <x v="0"/>
    <n v="3"/>
    <x v="6"/>
    <x v="1"/>
    <x v="19"/>
    <x v="382"/>
    <x v="0"/>
    <x v="16"/>
  </r>
  <r>
    <d v="2023-04-28T19:34:20"/>
    <x v="0"/>
    <x v="910"/>
    <x v="0"/>
    <x v="4"/>
    <x v="0"/>
    <x v="0"/>
    <x v="1"/>
    <x v="1"/>
    <n v="6"/>
    <x v="6"/>
    <x v="1"/>
    <x v="15"/>
    <x v="499"/>
    <x v="0"/>
    <x v="4"/>
  </r>
  <r>
    <d v="2023-04-28T19:34:42"/>
    <x v="0"/>
    <x v="911"/>
    <x v="0"/>
    <x v="0"/>
    <x v="0"/>
    <x v="0"/>
    <x v="0"/>
    <x v="0"/>
    <n v="1"/>
    <x v="3"/>
    <x v="2"/>
    <x v="19"/>
    <x v="431"/>
    <x v="1"/>
    <x v="7"/>
  </r>
  <r>
    <d v="2023-04-28T19:36:08"/>
    <x v="0"/>
    <x v="912"/>
    <x v="0"/>
    <x v="4"/>
    <x v="2"/>
    <x v="0"/>
    <x v="0"/>
    <x v="0"/>
    <n v="7"/>
    <x v="6"/>
    <x v="1"/>
    <x v="10"/>
    <x v="500"/>
    <x v="1"/>
    <x v="6"/>
  </r>
  <r>
    <d v="2023-04-28T19:37:57"/>
    <x v="0"/>
    <x v="913"/>
    <x v="0"/>
    <x v="3"/>
    <x v="1"/>
    <x v="1"/>
    <x v="0"/>
    <x v="0"/>
    <n v="2"/>
    <x v="1"/>
    <x v="2"/>
    <x v="17"/>
    <x v="501"/>
    <x v="2"/>
    <x v="4"/>
  </r>
  <r>
    <d v="2023-04-28T19:42:00"/>
    <x v="0"/>
    <x v="914"/>
    <x v="1"/>
    <x v="4"/>
    <x v="0"/>
    <x v="1"/>
    <x v="0"/>
    <x v="0"/>
    <n v="6"/>
    <x v="3"/>
    <x v="2"/>
    <x v="18"/>
    <x v="301"/>
    <x v="0"/>
    <x v="7"/>
  </r>
  <r>
    <d v="2023-04-28T19:44:29"/>
    <x v="0"/>
    <x v="913"/>
    <x v="1"/>
    <x v="2"/>
    <x v="2"/>
    <x v="0"/>
    <x v="0"/>
    <x v="0"/>
    <n v="4"/>
    <x v="6"/>
    <x v="1"/>
    <x v="11"/>
    <x v="141"/>
    <x v="0"/>
    <x v="1"/>
  </r>
  <r>
    <d v="2023-04-28T19:46:23"/>
    <x v="0"/>
    <x v="915"/>
    <x v="1"/>
    <x v="4"/>
    <x v="1"/>
    <x v="1"/>
    <x v="1"/>
    <x v="1"/>
    <n v="3"/>
    <x v="3"/>
    <x v="1"/>
    <x v="6"/>
    <x v="502"/>
    <x v="0"/>
    <x v="1"/>
  </r>
  <r>
    <d v="2023-04-28T19:50:32"/>
    <x v="0"/>
    <x v="447"/>
    <x v="1"/>
    <x v="3"/>
    <x v="1"/>
    <x v="0"/>
    <x v="0"/>
    <x v="0"/>
    <n v="5"/>
    <x v="5"/>
    <x v="1"/>
    <x v="8"/>
    <x v="308"/>
    <x v="0"/>
    <x v="7"/>
  </r>
  <r>
    <d v="2023-04-28T19:51:00"/>
    <x v="0"/>
    <x v="265"/>
    <x v="0"/>
    <x v="4"/>
    <x v="0"/>
    <x v="0"/>
    <x v="0"/>
    <x v="0"/>
    <n v="5"/>
    <x v="5"/>
    <x v="1"/>
    <x v="11"/>
    <x v="179"/>
    <x v="0"/>
    <x v="1"/>
  </r>
  <r>
    <d v="2023-04-28T19:56:45"/>
    <x v="0"/>
    <x v="916"/>
    <x v="1"/>
    <x v="2"/>
    <x v="2"/>
    <x v="0"/>
    <x v="0"/>
    <x v="1"/>
    <n v="6"/>
    <x v="5"/>
    <x v="0"/>
    <x v="17"/>
    <x v="255"/>
    <x v="0"/>
    <x v="3"/>
  </r>
  <r>
    <d v="2023-04-28T20:00:29"/>
    <x v="0"/>
    <x v="814"/>
    <x v="1"/>
    <x v="4"/>
    <x v="2"/>
    <x v="1"/>
    <x v="0"/>
    <x v="0"/>
    <n v="5"/>
    <x v="1"/>
    <x v="2"/>
    <x v="9"/>
    <x v="155"/>
    <x v="0"/>
    <x v="7"/>
  </r>
  <r>
    <d v="2023-04-28T20:01:02"/>
    <x v="0"/>
    <x v="917"/>
    <x v="1"/>
    <x v="0"/>
    <x v="1"/>
    <x v="1"/>
    <x v="0"/>
    <x v="0"/>
    <n v="3"/>
    <x v="3"/>
    <x v="2"/>
    <x v="9"/>
    <x v="485"/>
    <x v="2"/>
    <x v="1"/>
  </r>
  <r>
    <d v="2023-04-28T20:01:46"/>
    <x v="0"/>
    <x v="725"/>
    <x v="0"/>
    <x v="4"/>
    <x v="1"/>
    <x v="0"/>
    <x v="0"/>
    <x v="0"/>
    <n v="5"/>
    <x v="1"/>
    <x v="2"/>
    <x v="11"/>
    <x v="227"/>
    <x v="0"/>
    <x v="11"/>
  </r>
  <r>
    <d v="2023-04-28T20:05:15"/>
    <x v="0"/>
    <x v="918"/>
    <x v="1"/>
    <x v="0"/>
    <x v="0"/>
    <x v="0"/>
    <x v="0"/>
    <x v="0"/>
    <n v="5"/>
    <x v="6"/>
    <x v="2"/>
    <x v="7"/>
    <x v="285"/>
    <x v="1"/>
    <x v="4"/>
  </r>
  <r>
    <d v="2023-04-28T20:16:14"/>
    <x v="0"/>
    <x v="502"/>
    <x v="1"/>
    <x v="0"/>
    <x v="0"/>
    <x v="0"/>
    <x v="0"/>
    <x v="0"/>
    <n v="2"/>
    <x v="1"/>
    <x v="2"/>
    <x v="17"/>
    <x v="141"/>
    <x v="2"/>
    <x v="1"/>
  </r>
  <r>
    <d v="2023-04-28T20:18:02"/>
    <x v="0"/>
    <x v="919"/>
    <x v="1"/>
    <x v="0"/>
    <x v="0"/>
    <x v="0"/>
    <x v="0"/>
    <x v="0"/>
    <n v="1"/>
    <x v="1"/>
    <x v="1"/>
    <x v="6"/>
    <x v="200"/>
    <x v="0"/>
    <x v="1"/>
  </r>
  <r>
    <d v="2023-04-28T20:21:09"/>
    <x v="0"/>
    <x v="920"/>
    <x v="0"/>
    <x v="2"/>
    <x v="2"/>
    <x v="0"/>
    <x v="0"/>
    <x v="0"/>
    <n v="3"/>
    <x v="1"/>
    <x v="1"/>
    <x v="11"/>
    <x v="229"/>
    <x v="0"/>
    <x v="5"/>
  </r>
  <r>
    <d v="2023-04-28T20:21:38"/>
    <x v="0"/>
    <x v="371"/>
    <x v="1"/>
    <x v="4"/>
    <x v="2"/>
    <x v="0"/>
    <x v="0"/>
    <x v="0"/>
    <n v="5"/>
    <x v="1"/>
    <x v="1"/>
    <x v="6"/>
    <x v="503"/>
    <x v="0"/>
    <x v="3"/>
  </r>
  <r>
    <d v="2023-04-28T20:25:40"/>
    <x v="0"/>
    <x v="104"/>
    <x v="1"/>
    <x v="4"/>
    <x v="2"/>
    <x v="0"/>
    <x v="0"/>
    <x v="0"/>
    <n v="1"/>
    <x v="3"/>
    <x v="2"/>
    <x v="9"/>
    <x v="504"/>
    <x v="0"/>
    <x v="1"/>
  </r>
  <r>
    <d v="2023-04-28T20:30:01"/>
    <x v="0"/>
    <x v="867"/>
    <x v="0"/>
    <x v="0"/>
    <x v="1"/>
    <x v="0"/>
    <x v="0"/>
    <x v="0"/>
    <n v="5"/>
    <x v="6"/>
    <x v="1"/>
    <x v="9"/>
    <x v="121"/>
    <x v="0"/>
    <x v="2"/>
  </r>
  <r>
    <d v="2023-04-28T20:33:40"/>
    <x v="0"/>
    <x v="552"/>
    <x v="0"/>
    <x v="2"/>
    <x v="0"/>
    <x v="1"/>
    <x v="0"/>
    <x v="0"/>
    <n v="8"/>
    <x v="6"/>
    <x v="2"/>
    <x v="11"/>
    <x v="505"/>
    <x v="0"/>
    <x v="1"/>
  </r>
  <r>
    <d v="2023-04-28T20:42:52"/>
    <x v="0"/>
    <x v="891"/>
    <x v="0"/>
    <x v="0"/>
    <x v="1"/>
    <x v="0"/>
    <x v="1"/>
    <x v="1"/>
    <n v="4"/>
    <x v="1"/>
    <x v="1"/>
    <x v="24"/>
    <x v="486"/>
    <x v="0"/>
    <x v="3"/>
  </r>
  <r>
    <d v="2023-04-28T20:47:30"/>
    <x v="0"/>
    <x v="921"/>
    <x v="1"/>
    <x v="2"/>
    <x v="2"/>
    <x v="0"/>
    <x v="0"/>
    <x v="0"/>
    <n v="9"/>
    <x v="1"/>
    <x v="1"/>
    <x v="17"/>
    <x v="122"/>
    <x v="0"/>
    <x v="3"/>
  </r>
  <r>
    <d v="2023-04-28T20:47:48"/>
    <x v="0"/>
    <x v="619"/>
    <x v="1"/>
    <x v="1"/>
    <x v="0"/>
    <x v="1"/>
    <x v="1"/>
    <x v="1"/>
    <n v="7"/>
    <x v="3"/>
    <x v="1"/>
    <x v="16"/>
    <x v="284"/>
    <x v="0"/>
    <x v="4"/>
  </r>
  <r>
    <d v="2023-04-28T20:51:24"/>
    <x v="0"/>
    <x v="922"/>
    <x v="1"/>
    <x v="2"/>
    <x v="0"/>
    <x v="1"/>
    <x v="0"/>
    <x v="0"/>
    <n v="2"/>
    <x v="3"/>
    <x v="2"/>
    <x v="9"/>
    <x v="506"/>
    <x v="2"/>
    <x v="7"/>
  </r>
  <r>
    <d v="2023-04-28T20:54:40"/>
    <x v="0"/>
    <x v="331"/>
    <x v="1"/>
    <x v="4"/>
    <x v="1"/>
    <x v="3"/>
    <x v="0"/>
    <x v="0"/>
    <n v="1"/>
    <x v="6"/>
    <x v="1"/>
    <x v="7"/>
    <x v="109"/>
    <x v="0"/>
    <x v="3"/>
  </r>
  <r>
    <d v="2023-04-28T20:55:42"/>
    <x v="0"/>
    <x v="167"/>
    <x v="0"/>
    <x v="1"/>
    <x v="1"/>
    <x v="0"/>
    <x v="0"/>
    <x v="0"/>
    <n v="6"/>
    <x v="0"/>
    <x v="1"/>
    <x v="7"/>
    <x v="156"/>
    <x v="0"/>
    <x v="4"/>
  </r>
  <r>
    <d v="2023-04-28T20:55:52"/>
    <x v="0"/>
    <x v="923"/>
    <x v="0"/>
    <x v="3"/>
    <x v="0"/>
    <x v="1"/>
    <x v="0"/>
    <x v="0"/>
    <n v="8"/>
    <x v="5"/>
    <x v="1"/>
    <x v="9"/>
    <x v="111"/>
    <x v="0"/>
    <x v="1"/>
  </r>
  <r>
    <d v="2023-04-28T20:59:06"/>
    <x v="0"/>
    <x v="686"/>
    <x v="0"/>
    <x v="4"/>
    <x v="0"/>
    <x v="1"/>
    <x v="0"/>
    <x v="0"/>
    <n v="4"/>
    <x v="6"/>
    <x v="1"/>
    <x v="6"/>
    <x v="507"/>
    <x v="3"/>
    <x v="4"/>
  </r>
  <r>
    <d v="2023-04-28T20:59:41"/>
    <x v="0"/>
    <x v="924"/>
    <x v="1"/>
    <x v="0"/>
    <x v="2"/>
    <x v="1"/>
    <x v="0"/>
    <x v="0"/>
    <n v="1"/>
    <x v="6"/>
    <x v="2"/>
    <x v="9"/>
    <x v="139"/>
    <x v="0"/>
    <x v="14"/>
  </r>
  <r>
    <d v="2023-04-28T21:00:32"/>
    <x v="0"/>
    <x v="93"/>
    <x v="0"/>
    <x v="0"/>
    <x v="0"/>
    <x v="0"/>
    <x v="0"/>
    <x v="0"/>
    <n v="1"/>
    <x v="3"/>
    <x v="1"/>
    <x v="7"/>
    <x v="100"/>
    <x v="3"/>
    <x v="7"/>
  </r>
  <r>
    <d v="2023-04-28T21:03:29"/>
    <x v="0"/>
    <x v="167"/>
    <x v="0"/>
    <x v="0"/>
    <x v="1"/>
    <x v="0"/>
    <x v="0"/>
    <x v="0"/>
    <n v="5"/>
    <x v="0"/>
    <x v="1"/>
    <x v="7"/>
    <x v="161"/>
    <x v="0"/>
    <x v="4"/>
  </r>
  <r>
    <d v="2023-04-28T21:07:34"/>
    <x v="0"/>
    <x v="688"/>
    <x v="0"/>
    <x v="2"/>
    <x v="2"/>
    <x v="1"/>
    <x v="0"/>
    <x v="1"/>
    <n v="5"/>
    <x v="6"/>
    <x v="2"/>
    <x v="18"/>
    <x v="508"/>
    <x v="2"/>
    <x v="3"/>
  </r>
  <r>
    <d v="2023-04-28T21:10:54"/>
    <x v="0"/>
    <x v="925"/>
    <x v="1"/>
    <x v="4"/>
    <x v="1"/>
    <x v="0"/>
    <x v="1"/>
    <x v="0"/>
    <n v="10"/>
    <x v="1"/>
    <x v="1"/>
    <x v="6"/>
    <x v="307"/>
    <x v="1"/>
    <x v="7"/>
  </r>
  <r>
    <d v="2023-04-28T21:17:32"/>
    <x v="0"/>
    <x v="167"/>
    <x v="0"/>
    <x v="0"/>
    <x v="0"/>
    <x v="0"/>
    <x v="0"/>
    <x v="1"/>
    <n v="10"/>
    <x v="1"/>
    <x v="1"/>
    <x v="17"/>
    <x v="371"/>
    <x v="1"/>
    <x v="7"/>
  </r>
  <r>
    <d v="2023-04-28T21:19:48"/>
    <x v="0"/>
    <x v="926"/>
    <x v="1"/>
    <x v="4"/>
    <x v="0"/>
    <x v="1"/>
    <x v="1"/>
    <x v="1"/>
    <n v="5"/>
    <x v="0"/>
    <x v="2"/>
    <x v="9"/>
    <x v="167"/>
    <x v="1"/>
    <x v="4"/>
  </r>
  <r>
    <d v="2023-04-28T21:20:41"/>
    <x v="0"/>
    <x v="122"/>
    <x v="0"/>
    <x v="4"/>
    <x v="0"/>
    <x v="1"/>
    <x v="1"/>
    <x v="1"/>
    <n v="1"/>
    <x v="3"/>
    <x v="2"/>
    <x v="15"/>
    <x v="509"/>
    <x v="2"/>
    <x v="5"/>
  </r>
  <r>
    <d v="2023-04-28T21:23:05"/>
    <x v="0"/>
    <x v="887"/>
    <x v="0"/>
    <x v="3"/>
    <x v="2"/>
    <x v="3"/>
    <x v="0"/>
    <x v="0"/>
    <n v="1"/>
    <x v="1"/>
    <x v="2"/>
    <x v="19"/>
    <x v="198"/>
    <x v="0"/>
    <x v="1"/>
  </r>
  <r>
    <d v="2023-04-28T21:24:52"/>
    <x v="0"/>
    <x v="927"/>
    <x v="0"/>
    <x v="0"/>
    <x v="0"/>
    <x v="0"/>
    <x v="1"/>
    <x v="1"/>
    <n v="1"/>
    <x v="3"/>
    <x v="2"/>
    <x v="20"/>
    <x v="510"/>
    <x v="0"/>
    <x v="12"/>
  </r>
  <r>
    <d v="2023-04-28T21:28:05"/>
    <x v="0"/>
    <x v="928"/>
    <x v="1"/>
    <x v="1"/>
    <x v="0"/>
    <x v="0"/>
    <x v="1"/>
    <x v="1"/>
    <n v="6"/>
    <x v="5"/>
    <x v="1"/>
    <x v="7"/>
    <x v="114"/>
    <x v="1"/>
    <x v="3"/>
  </r>
  <r>
    <d v="2023-04-28T21:37:39"/>
    <x v="0"/>
    <x v="929"/>
    <x v="0"/>
    <x v="0"/>
    <x v="0"/>
    <x v="0"/>
    <x v="0"/>
    <x v="0"/>
    <n v="1"/>
    <x v="6"/>
    <x v="1"/>
    <x v="9"/>
    <x v="224"/>
    <x v="0"/>
    <x v="7"/>
  </r>
  <r>
    <d v="2023-04-28T21:40:53"/>
    <x v="0"/>
    <x v="930"/>
    <x v="0"/>
    <x v="2"/>
    <x v="2"/>
    <x v="0"/>
    <x v="1"/>
    <x v="0"/>
    <n v="6"/>
    <x v="1"/>
    <x v="1"/>
    <x v="6"/>
    <x v="114"/>
    <x v="0"/>
    <x v="1"/>
  </r>
  <r>
    <d v="2023-04-28T21:43:10"/>
    <x v="0"/>
    <x v="931"/>
    <x v="0"/>
    <x v="3"/>
    <x v="0"/>
    <x v="0"/>
    <x v="1"/>
    <x v="1"/>
    <n v="7"/>
    <x v="6"/>
    <x v="1"/>
    <x v="24"/>
    <x v="442"/>
    <x v="0"/>
    <x v="7"/>
  </r>
  <r>
    <d v="2023-04-28T21:47:37"/>
    <x v="0"/>
    <x v="666"/>
    <x v="0"/>
    <x v="2"/>
    <x v="0"/>
    <x v="1"/>
    <x v="0"/>
    <x v="0"/>
    <n v="2"/>
    <x v="6"/>
    <x v="1"/>
    <x v="17"/>
    <x v="109"/>
    <x v="0"/>
    <x v="9"/>
  </r>
  <r>
    <d v="2023-04-28T21:50:26"/>
    <x v="0"/>
    <x v="932"/>
    <x v="1"/>
    <x v="0"/>
    <x v="0"/>
    <x v="1"/>
    <x v="1"/>
    <x v="1"/>
    <n v="3"/>
    <x v="3"/>
    <x v="0"/>
    <x v="9"/>
    <x v="511"/>
    <x v="3"/>
    <x v="1"/>
  </r>
  <r>
    <d v="2023-04-28T21:52:14"/>
    <x v="0"/>
    <x v="933"/>
    <x v="1"/>
    <x v="4"/>
    <x v="1"/>
    <x v="0"/>
    <x v="0"/>
    <x v="1"/>
    <n v="4"/>
    <x v="3"/>
    <x v="2"/>
    <x v="22"/>
    <x v="512"/>
    <x v="3"/>
    <x v="3"/>
  </r>
  <r>
    <d v="2023-04-28T21:55:52"/>
    <x v="0"/>
    <x v="8"/>
    <x v="1"/>
    <x v="2"/>
    <x v="2"/>
    <x v="0"/>
    <x v="1"/>
    <x v="0"/>
    <n v="4"/>
    <x v="3"/>
    <x v="0"/>
    <x v="8"/>
    <x v="350"/>
    <x v="0"/>
    <x v="2"/>
  </r>
  <r>
    <d v="2023-04-28T21:56:36"/>
    <x v="0"/>
    <x v="934"/>
    <x v="1"/>
    <x v="2"/>
    <x v="1"/>
    <x v="1"/>
    <x v="0"/>
    <x v="0"/>
    <n v="4"/>
    <x v="0"/>
    <x v="2"/>
    <x v="17"/>
    <x v="277"/>
    <x v="0"/>
    <x v="11"/>
  </r>
  <r>
    <d v="2023-04-28T21:58:09"/>
    <x v="0"/>
    <x v="933"/>
    <x v="1"/>
    <x v="4"/>
    <x v="1"/>
    <x v="0"/>
    <x v="0"/>
    <x v="0"/>
    <n v="5"/>
    <x v="0"/>
    <x v="1"/>
    <x v="19"/>
    <x v="513"/>
    <x v="0"/>
    <x v="3"/>
  </r>
  <r>
    <d v="2023-04-28T21:58:33"/>
    <x v="0"/>
    <x v="447"/>
    <x v="1"/>
    <x v="3"/>
    <x v="1"/>
    <x v="3"/>
    <x v="0"/>
    <x v="0"/>
    <n v="9"/>
    <x v="6"/>
    <x v="0"/>
    <x v="12"/>
    <x v="514"/>
    <x v="2"/>
    <x v="6"/>
  </r>
  <r>
    <d v="2023-04-28T21:59:52"/>
    <x v="0"/>
    <x v="935"/>
    <x v="0"/>
    <x v="4"/>
    <x v="1"/>
    <x v="1"/>
    <x v="0"/>
    <x v="0"/>
    <n v="1"/>
    <x v="1"/>
    <x v="1"/>
    <x v="16"/>
    <x v="515"/>
    <x v="0"/>
    <x v="4"/>
  </r>
  <r>
    <d v="2023-04-28T22:05:45"/>
    <x v="0"/>
    <x v="579"/>
    <x v="1"/>
    <x v="0"/>
    <x v="2"/>
    <x v="1"/>
    <x v="0"/>
    <x v="1"/>
    <n v="5"/>
    <x v="6"/>
    <x v="1"/>
    <x v="10"/>
    <x v="248"/>
    <x v="2"/>
    <x v="7"/>
  </r>
  <r>
    <d v="2023-04-28T22:06:40"/>
    <x v="0"/>
    <x v="8"/>
    <x v="1"/>
    <x v="1"/>
    <x v="1"/>
    <x v="0"/>
    <x v="1"/>
    <x v="1"/>
    <n v="8"/>
    <x v="6"/>
    <x v="2"/>
    <x v="9"/>
    <x v="516"/>
    <x v="4"/>
    <x v="6"/>
  </r>
  <r>
    <d v="2023-04-28T22:10:35"/>
    <x v="0"/>
    <x v="8"/>
    <x v="1"/>
    <x v="0"/>
    <x v="0"/>
    <x v="0"/>
    <x v="0"/>
    <x v="0"/>
    <n v="4"/>
    <x v="5"/>
    <x v="1"/>
    <x v="19"/>
    <x v="198"/>
    <x v="0"/>
    <x v="5"/>
  </r>
  <r>
    <d v="2023-04-28T22:11:48"/>
    <x v="0"/>
    <x v="854"/>
    <x v="0"/>
    <x v="4"/>
    <x v="2"/>
    <x v="1"/>
    <x v="0"/>
    <x v="0"/>
    <n v="10"/>
    <x v="3"/>
    <x v="1"/>
    <x v="9"/>
    <x v="117"/>
    <x v="0"/>
    <x v="11"/>
  </r>
  <r>
    <d v="2023-04-28T22:30:49"/>
    <x v="0"/>
    <x v="936"/>
    <x v="0"/>
    <x v="1"/>
    <x v="0"/>
    <x v="1"/>
    <x v="0"/>
    <x v="0"/>
    <n v="5"/>
    <x v="1"/>
    <x v="2"/>
    <x v="16"/>
    <x v="262"/>
    <x v="1"/>
    <x v="1"/>
  </r>
  <r>
    <d v="2023-04-28T22:34:30"/>
    <x v="0"/>
    <x v="937"/>
    <x v="0"/>
    <x v="3"/>
    <x v="0"/>
    <x v="1"/>
    <x v="0"/>
    <x v="1"/>
    <n v="5"/>
    <x v="3"/>
    <x v="1"/>
    <x v="17"/>
    <x v="111"/>
    <x v="1"/>
    <x v="25"/>
  </r>
  <r>
    <d v="2023-04-28T22:34:54"/>
    <x v="0"/>
    <x v="938"/>
    <x v="0"/>
    <x v="4"/>
    <x v="0"/>
    <x v="1"/>
    <x v="0"/>
    <x v="0"/>
    <n v="5"/>
    <x v="6"/>
    <x v="1"/>
    <x v="8"/>
    <x v="301"/>
    <x v="1"/>
    <x v="7"/>
  </r>
  <r>
    <d v="2023-04-28T22:36:57"/>
    <x v="0"/>
    <x v="939"/>
    <x v="1"/>
    <x v="0"/>
    <x v="2"/>
    <x v="0"/>
    <x v="0"/>
    <x v="0"/>
    <n v="6"/>
    <x v="3"/>
    <x v="1"/>
    <x v="15"/>
    <x v="517"/>
    <x v="0"/>
    <x v="7"/>
  </r>
  <r>
    <d v="2023-04-28T22:39:00"/>
    <x v="0"/>
    <x v="100"/>
    <x v="1"/>
    <x v="3"/>
    <x v="2"/>
    <x v="1"/>
    <x v="0"/>
    <x v="0"/>
    <n v="1"/>
    <x v="1"/>
    <x v="2"/>
    <x v="7"/>
    <x v="179"/>
    <x v="0"/>
    <x v="7"/>
  </r>
  <r>
    <d v="2023-04-28T22:40:42"/>
    <x v="0"/>
    <x v="853"/>
    <x v="1"/>
    <x v="4"/>
    <x v="1"/>
    <x v="1"/>
    <x v="0"/>
    <x v="0"/>
    <n v="2"/>
    <x v="1"/>
    <x v="2"/>
    <x v="11"/>
    <x v="150"/>
    <x v="0"/>
    <x v="3"/>
  </r>
  <r>
    <d v="2023-04-28T22:42:57"/>
    <x v="0"/>
    <x v="674"/>
    <x v="0"/>
    <x v="0"/>
    <x v="2"/>
    <x v="1"/>
    <x v="0"/>
    <x v="0"/>
    <n v="7"/>
    <x v="6"/>
    <x v="2"/>
    <x v="6"/>
    <x v="141"/>
    <x v="1"/>
    <x v="1"/>
  </r>
  <r>
    <d v="2023-04-28T22:44:11"/>
    <x v="0"/>
    <x v="929"/>
    <x v="1"/>
    <x v="4"/>
    <x v="2"/>
    <x v="0"/>
    <x v="0"/>
    <x v="0"/>
    <n v="8"/>
    <x v="3"/>
    <x v="2"/>
    <x v="11"/>
    <x v="183"/>
    <x v="2"/>
    <x v="9"/>
  </r>
  <r>
    <d v="2023-04-28T22:51:08"/>
    <x v="0"/>
    <x v="647"/>
    <x v="1"/>
    <x v="3"/>
    <x v="0"/>
    <x v="0"/>
    <x v="0"/>
    <x v="0"/>
    <n v="8"/>
    <x v="6"/>
    <x v="1"/>
    <x v="7"/>
    <x v="385"/>
    <x v="0"/>
    <x v="1"/>
  </r>
  <r>
    <d v="2023-04-28T23:03:35"/>
    <x v="0"/>
    <x v="940"/>
    <x v="1"/>
    <x v="4"/>
    <x v="0"/>
    <x v="1"/>
    <x v="0"/>
    <x v="0"/>
    <n v="1"/>
    <x v="6"/>
    <x v="2"/>
    <x v="18"/>
    <x v="164"/>
    <x v="0"/>
    <x v="7"/>
  </r>
  <r>
    <d v="2023-04-28T23:08:50"/>
    <x v="0"/>
    <x v="635"/>
    <x v="1"/>
    <x v="0"/>
    <x v="0"/>
    <x v="1"/>
    <x v="0"/>
    <x v="0"/>
    <n v="5"/>
    <x v="6"/>
    <x v="1"/>
    <x v="25"/>
    <x v="518"/>
    <x v="1"/>
    <x v="1"/>
  </r>
  <r>
    <d v="2023-04-28T23:09:38"/>
    <x v="0"/>
    <x v="260"/>
    <x v="0"/>
    <x v="2"/>
    <x v="1"/>
    <x v="1"/>
    <x v="0"/>
    <x v="0"/>
    <n v="1"/>
    <x v="1"/>
    <x v="1"/>
    <x v="10"/>
    <x v="141"/>
    <x v="0"/>
    <x v="7"/>
  </r>
  <r>
    <d v="2023-04-28T23:14:34"/>
    <x v="0"/>
    <x v="634"/>
    <x v="1"/>
    <x v="0"/>
    <x v="0"/>
    <x v="0"/>
    <x v="0"/>
    <x v="0"/>
    <n v="9"/>
    <x v="5"/>
    <x v="2"/>
    <x v="11"/>
    <x v="132"/>
    <x v="1"/>
    <x v="15"/>
  </r>
  <r>
    <d v="2023-04-28T23:26:06"/>
    <x v="0"/>
    <x v="93"/>
    <x v="0"/>
    <x v="4"/>
    <x v="1"/>
    <x v="3"/>
    <x v="0"/>
    <x v="0"/>
    <n v="6"/>
    <x v="6"/>
    <x v="1"/>
    <x v="9"/>
    <x v="291"/>
    <x v="3"/>
    <x v="1"/>
  </r>
  <r>
    <d v="2023-04-28T23:37:46"/>
    <x v="0"/>
    <x v="89"/>
    <x v="1"/>
    <x v="1"/>
    <x v="0"/>
    <x v="0"/>
    <x v="0"/>
    <x v="0"/>
    <n v="7"/>
    <x v="6"/>
    <x v="2"/>
    <x v="6"/>
    <x v="194"/>
    <x v="0"/>
    <x v="1"/>
  </r>
  <r>
    <d v="2023-04-28T23:49:56"/>
    <x v="0"/>
    <x v="941"/>
    <x v="1"/>
    <x v="0"/>
    <x v="0"/>
    <x v="0"/>
    <x v="0"/>
    <x v="0"/>
    <n v="3"/>
    <x v="6"/>
    <x v="1"/>
    <x v="11"/>
    <x v="211"/>
    <x v="0"/>
    <x v="1"/>
  </r>
  <r>
    <d v="2023-04-28T23:50:09"/>
    <x v="0"/>
    <x v="942"/>
    <x v="0"/>
    <x v="4"/>
    <x v="0"/>
    <x v="1"/>
    <x v="0"/>
    <x v="0"/>
    <n v="8"/>
    <x v="3"/>
    <x v="0"/>
    <x v="14"/>
    <x v="140"/>
    <x v="2"/>
    <x v="3"/>
  </r>
  <r>
    <d v="2023-04-29T00:09:10"/>
    <x v="0"/>
    <x v="157"/>
    <x v="0"/>
    <x v="2"/>
    <x v="0"/>
    <x v="1"/>
    <x v="1"/>
    <x v="1"/>
    <n v="2"/>
    <x v="1"/>
    <x v="1"/>
    <x v="10"/>
    <x v="157"/>
    <x v="0"/>
    <x v="8"/>
  </r>
  <r>
    <d v="2023-04-29T00:17:35"/>
    <x v="0"/>
    <x v="943"/>
    <x v="0"/>
    <x v="2"/>
    <x v="1"/>
    <x v="1"/>
    <x v="1"/>
    <x v="0"/>
    <n v="5"/>
    <x v="6"/>
    <x v="0"/>
    <x v="14"/>
    <x v="120"/>
    <x v="0"/>
    <x v="21"/>
  </r>
  <r>
    <d v="2023-04-29T00:24:08"/>
    <x v="0"/>
    <x v="157"/>
    <x v="1"/>
    <x v="4"/>
    <x v="0"/>
    <x v="0"/>
    <x v="0"/>
    <x v="0"/>
    <n v="4"/>
    <x v="1"/>
    <x v="0"/>
    <x v="11"/>
    <x v="135"/>
    <x v="0"/>
    <x v="11"/>
  </r>
  <r>
    <d v="2023-04-29T00:34:49"/>
    <x v="0"/>
    <x v="579"/>
    <x v="0"/>
    <x v="0"/>
    <x v="0"/>
    <x v="1"/>
    <x v="0"/>
    <x v="0"/>
    <n v="7"/>
    <x v="5"/>
    <x v="1"/>
    <x v="7"/>
    <x v="440"/>
    <x v="2"/>
    <x v="7"/>
  </r>
  <r>
    <d v="2023-04-29T00:59:02"/>
    <x v="0"/>
    <x v="700"/>
    <x v="0"/>
    <x v="4"/>
    <x v="1"/>
    <x v="0"/>
    <x v="0"/>
    <x v="0"/>
    <n v="1"/>
    <x v="6"/>
    <x v="2"/>
    <x v="17"/>
    <x v="155"/>
    <x v="0"/>
    <x v="3"/>
  </r>
  <r>
    <d v="2023-04-29T01:10:31"/>
    <x v="0"/>
    <x v="14"/>
    <x v="0"/>
    <x v="2"/>
    <x v="2"/>
    <x v="1"/>
    <x v="1"/>
    <x v="0"/>
    <n v="6"/>
    <x v="6"/>
    <x v="1"/>
    <x v="6"/>
    <x v="125"/>
    <x v="0"/>
    <x v="8"/>
  </r>
  <r>
    <d v="2023-04-29T01:43:42"/>
    <x v="0"/>
    <x v="944"/>
    <x v="0"/>
    <x v="3"/>
    <x v="1"/>
    <x v="0"/>
    <x v="1"/>
    <x v="0"/>
    <n v="5"/>
    <x v="5"/>
    <x v="2"/>
    <x v="19"/>
    <x v="519"/>
    <x v="1"/>
    <x v="3"/>
  </r>
  <r>
    <d v="2023-04-29T05:24:12"/>
    <x v="0"/>
    <x v="324"/>
    <x v="1"/>
    <x v="4"/>
    <x v="0"/>
    <x v="3"/>
    <x v="0"/>
    <x v="0"/>
    <n v="6"/>
    <x v="1"/>
    <x v="1"/>
    <x v="9"/>
    <x v="434"/>
    <x v="0"/>
    <x v="3"/>
  </r>
  <r>
    <d v="2023-04-29T06:40:45"/>
    <x v="0"/>
    <x v="945"/>
    <x v="1"/>
    <x v="4"/>
    <x v="1"/>
    <x v="1"/>
    <x v="0"/>
    <x v="0"/>
    <n v="1"/>
    <x v="1"/>
    <x v="0"/>
    <x v="7"/>
    <x v="301"/>
    <x v="2"/>
    <x v="4"/>
  </r>
  <r>
    <d v="2023-04-29T07:48:25"/>
    <x v="0"/>
    <x v="477"/>
    <x v="1"/>
    <x v="0"/>
    <x v="2"/>
    <x v="0"/>
    <x v="1"/>
    <x v="0"/>
    <n v="10"/>
    <x v="6"/>
    <x v="2"/>
    <x v="9"/>
    <x v="197"/>
    <x v="0"/>
    <x v="4"/>
  </r>
  <r>
    <d v="2023-04-29T08:09:22"/>
    <x v="0"/>
    <x v="946"/>
    <x v="0"/>
    <x v="4"/>
    <x v="2"/>
    <x v="0"/>
    <x v="0"/>
    <x v="0"/>
    <n v="7"/>
    <x v="5"/>
    <x v="2"/>
    <x v="17"/>
    <x v="310"/>
    <x v="0"/>
    <x v="2"/>
  </r>
  <r>
    <d v="2023-04-29T08:09:44"/>
    <x v="0"/>
    <x v="339"/>
    <x v="1"/>
    <x v="2"/>
    <x v="1"/>
    <x v="3"/>
    <x v="0"/>
    <x v="0"/>
    <n v="1"/>
    <x v="1"/>
    <x v="1"/>
    <x v="9"/>
    <x v="520"/>
    <x v="0"/>
    <x v="6"/>
  </r>
  <r>
    <d v="2023-04-29T08:12:43"/>
    <x v="0"/>
    <x v="890"/>
    <x v="1"/>
    <x v="4"/>
    <x v="0"/>
    <x v="0"/>
    <x v="1"/>
    <x v="0"/>
    <n v="5"/>
    <x v="3"/>
    <x v="2"/>
    <x v="18"/>
    <x v="521"/>
    <x v="2"/>
    <x v="1"/>
  </r>
  <r>
    <d v="2023-04-29T08:44:22"/>
    <x v="0"/>
    <x v="947"/>
    <x v="0"/>
    <x v="4"/>
    <x v="2"/>
    <x v="1"/>
    <x v="0"/>
    <x v="1"/>
    <n v="1"/>
    <x v="6"/>
    <x v="2"/>
    <x v="8"/>
    <x v="522"/>
    <x v="0"/>
    <x v="14"/>
  </r>
  <r>
    <d v="2023-04-29T09:17:42"/>
    <x v="0"/>
    <x v="861"/>
    <x v="1"/>
    <x v="0"/>
    <x v="2"/>
    <x v="0"/>
    <x v="0"/>
    <x v="1"/>
    <n v="7"/>
    <x v="3"/>
    <x v="1"/>
    <x v="6"/>
    <x v="161"/>
    <x v="2"/>
    <x v="18"/>
  </r>
  <r>
    <d v="2023-04-29T09:48:31"/>
    <x v="0"/>
    <x v="374"/>
    <x v="0"/>
    <x v="4"/>
    <x v="0"/>
    <x v="0"/>
    <x v="0"/>
    <x v="0"/>
    <n v="3"/>
    <x v="6"/>
    <x v="1"/>
    <x v="17"/>
    <x v="359"/>
    <x v="0"/>
    <x v="7"/>
  </r>
  <r>
    <d v="2023-04-29T09:53:55"/>
    <x v="0"/>
    <x v="69"/>
    <x v="0"/>
    <x v="1"/>
    <x v="2"/>
    <x v="1"/>
    <x v="0"/>
    <x v="0"/>
    <n v="1"/>
    <x v="3"/>
    <x v="1"/>
    <x v="6"/>
    <x v="523"/>
    <x v="0"/>
    <x v="7"/>
  </r>
  <r>
    <d v="2023-04-29T09:57:02"/>
    <x v="0"/>
    <x v="515"/>
    <x v="1"/>
    <x v="0"/>
    <x v="0"/>
    <x v="1"/>
    <x v="1"/>
    <x v="0"/>
    <n v="8"/>
    <x v="5"/>
    <x v="2"/>
    <x v="9"/>
    <x v="142"/>
    <x v="0"/>
    <x v="12"/>
  </r>
  <r>
    <d v="2023-04-29T09:58:04"/>
    <x v="0"/>
    <x v="948"/>
    <x v="0"/>
    <x v="1"/>
    <x v="0"/>
    <x v="0"/>
    <x v="1"/>
    <x v="1"/>
    <n v="7"/>
    <x v="3"/>
    <x v="2"/>
    <x v="14"/>
    <x v="207"/>
    <x v="0"/>
    <x v="3"/>
  </r>
  <r>
    <d v="2023-04-29T10:03:17"/>
    <x v="0"/>
    <x v="659"/>
    <x v="0"/>
    <x v="1"/>
    <x v="0"/>
    <x v="1"/>
    <x v="1"/>
    <x v="0"/>
    <n v="10"/>
    <x v="6"/>
    <x v="2"/>
    <x v="10"/>
    <x v="524"/>
    <x v="0"/>
    <x v="7"/>
  </r>
  <r>
    <d v="2023-04-29T10:15:56"/>
    <x v="0"/>
    <x v="515"/>
    <x v="1"/>
    <x v="1"/>
    <x v="0"/>
    <x v="0"/>
    <x v="1"/>
    <x v="0"/>
    <n v="8"/>
    <x v="3"/>
    <x v="1"/>
    <x v="11"/>
    <x v="231"/>
    <x v="0"/>
    <x v="7"/>
  </r>
  <r>
    <d v="2023-04-29T10:18:05"/>
    <x v="0"/>
    <x v="515"/>
    <x v="1"/>
    <x v="1"/>
    <x v="0"/>
    <x v="0"/>
    <x v="0"/>
    <x v="0"/>
    <n v="9"/>
    <x v="5"/>
    <x v="0"/>
    <x v="9"/>
    <x v="366"/>
    <x v="2"/>
    <x v="3"/>
  </r>
  <r>
    <d v="2023-04-29T10:21:54"/>
    <x v="0"/>
    <x v="69"/>
    <x v="0"/>
    <x v="1"/>
    <x v="0"/>
    <x v="0"/>
    <x v="1"/>
    <x v="0"/>
    <n v="3"/>
    <x v="1"/>
    <x v="3"/>
    <x v="9"/>
    <x v="525"/>
    <x v="1"/>
    <x v="7"/>
  </r>
  <r>
    <d v="2023-04-29T10:22:12"/>
    <x v="0"/>
    <x v="515"/>
    <x v="0"/>
    <x v="2"/>
    <x v="1"/>
    <x v="0"/>
    <x v="1"/>
    <x v="0"/>
    <n v="3"/>
    <x v="1"/>
    <x v="0"/>
    <x v="9"/>
    <x v="526"/>
    <x v="1"/>
    <x v="7"/>
  </r>
  <r>
    <d v="2023-04-29T10:35:33"/>
    <x v="0"/>
    <x v="109"/>
    <x v="0"/>
    <x v="4"/>
    <x v="0"/>
    <x v="0"/>
    <x v="0"/>
    <x v="0"/>
    <n v="1"/>
    <x v="6"/>
    <x v="1"/>
    <x v="18"/>
    <x v="520"/>
    <x v="0"/>
    <x v="4"/>
  </r>
  <r>
    <d v="2023-04-29T10:45:49"/>
    <x v="0"/>
    <x v="949"/>
    <x v="0"/>
    <x v="2"/>
    <x v="0"/>
    <x v="0"/>
    <x v="1"/>
    <x v="0"/>
    <n v="8"/>
    <x v="1"/>
    <x v="1"/>
    <x v="9"/>
    <x v="118"/>
    <x v="0"/>
    <x v="19"/>
  </r>
  <r>
    <d v="2023-04-29T10:47:29"/>
    <x v="0"/>
    <x v="233"/>
    <x v="0"/>
    <x v="0"/>
    <x v="0"/>
    <x v="1"/>
    <x v="1"/>
    <x v="1"/>
    <n v="7"/>
    <x v="6"/>
    <x v="2"/>
    <x v="9"/>
    <x v="149"/>
    <x v="2"/>
    <x v="3"/>
  </r>
  <r>
    <d v="2023-04-29T11:05:31"/>
    <x v="0"/>
    <x v="950"/>
    <x v="0"/>
    <x v="3"/>
    <x v="1"/>
    <x v="0"/>
    <x v="0"/>
    <x v="0"/>
    <n v="5"/>
    <x v="1"/>
    <x v="1"/>
    <x v="17"/>
    <x v="111"/>
    <x v="0"/>
    <x v="24"/>
  </r>
  <r>
    <d v="2023-04-29T11:06:55"/>
    <x v="0"/>
    <x v="324"/>
    <x v="1"/>
    <x v="4"/>
    <x v="1"/>
    <x v="0"/>
    <x v="0"/>
    <x v="0"/>
    <n v="6"/>
    <x v="1"/>
    <x v="0"/>
    <x v="20"/>
    <x v="316"/>
    <x v="0"/>
    <x v="3"/>
  </r>
  <r>
    <d v="2023-04-29T11:11:37"/>
    <x v="0"/>
    <x v="951"/>
    <x v="0"/>
    <x v="0"/>
    <x v="2"/>
    <x v="0"/>
    <x v="0"/>
    <x v="0"/>
    <n v="2"/>
    <x v="1"/>
    <x v="1"/>
    <x v="11"/>
    <x v="385"/>
    <x v="0"/>
    <x v="1"/>
  </r>
  <r>
    <d v="2023-04-29T11:27:23"/>
    <x v="0"/>
    <x v="952"/>
    <x v="0"/>
    <x v="4"/>
    <x v="2"/>
    <x v="1"/>
    <x v="0"/>
    <x v="1"/>
    <n v="8"/>
    <x v="3"/>
    <x v="1"/>
    <x v="9"/>
    <x v="139"/>
    <x v="2"/>
    <x v="3"/>
  </r>
  <r>
    <d v="2023-04-29T11:27:24"/>
    <x v="0"/>
    <x v="466"/>
    <x v="0"/>
    <x v="1"/>
    <x v="0"/>
    <x v="0"/>
    <x v="0"/>
    <x v="0"/>
    <n v="5"/>
    <x v="1"/>
    <x v="1"/>
    <x v="6"/>
    <x v="289"/>
    <x v="0"/>
    <x v="3"/>
  </r>
  <r>
    <d v="2023-04-29T11:27:40"/>
    <x v="0"/>
    <x v="236"/>
    <x v="0"/>
    <x v="0"/>
    <x v="1"/>
    <x v="1"/>
    <x v="0"/>
    <x v="0"/>
    <n v="5"/>
    <x v="1"/>
    <x v="1"/>
    <x v="18"/>
    <x v="227"/>
    <x v="0"/>
    <x v="3"/>
  </r>
  <r>
    <d v="2023-04-29T11:31:45"/>
    <x v="0"/>
    <x v="48"/>
    <x v="0"/>
    <x v="3"/>
    <x v="0"/>
    <x v="0"/>
    <x v="0"/>
    <x v="0"/>
    <n v="3"/>
    <x v="5"/>
    <x v="1"/>
    <x v="6"/>
    <x v="527"/>
    <x v="0"/>
    <x v="1"/>
  </r>
  <r>
    <d v="2023-04-29T11:34:54"/>
    <x v="0"/>
    <x v="953"/>
    <x v="1"/>
    <x v="4"/>
    <x v="2"/>
    <x v="0"/>
    <x v="0"/>
    <x v="0"/>
    <n v="5"/>
    <x v="6"/>
    <x v="0"/>
    <x v="15"/>
    <x v="231"/>
    <x v="0"/>
    <x v="1"/>
  </r>
  <r>
    <d v="2023-04-29T11:36:31"/>
    <x v="0"/>
    <x v="954"/>
    <x v="1"/>
    <x v="0"/>
    <x v="1"/>
    <x v="1"/>
    <x v="0"/>
    <x v="0"/>
    <n v="5"/>
    <x v="6"/>
    <x v="2"/>
    <x v="11"/>
    <x v="507"/>
    <x v="2"/>
    <x v="3"/>
  </r>
  <r>
    <d v="2023-04-29T11:48:06"/>
    <x v="0"/>
    <x v="725"/>
    <x v="1"/>
    <x v="2"/>
    <x v="0"/>
    <x v="0"/>
    <x v="1"/>
    <x v="1"/>
    <n v="6"/>
    <x v="0"/>
    <x v="2"/>
    <x v="7"/>
    <x v="116"/>
    <x v="2"/>
    <x v="1"/>
  </r>
  <r>
    <d v="2023-04-29T11:49:25"/>
    <x v="0"/>
    <x v="891"/>
    <x v="1"/>
    <x v="4"/>
    <x v="2"/>
    <x v="0"/>
    <x v="1"/>
    <x v="1"/>
    <n v="9"/>
    <x v="6"/>
    <x v="0"/>
    <x v="19"/>
    <x v="231"/>
    <x v="0"/>
    <x v="7"/>
  </r>
  <r>
    <d v="2023-04-29T12:05:12"/>
    <x v="0"/>
    <x v="788"/>
    <x v="0"/>
    <x v="2"/>
    <x v="2"/>
    <x v="1"/>
    <x v="0"/>
    <x v="0"/>
    <n v="3"/>
    <x v="3"/>
    <x v="1"/>
    <x v="11"/>
    <x v="191"/>
    <x v="0"/>
    <x v="3"/>
  </r>
  <r>
    <d v="2023-04-29T12:09:20"/>
    <x v="0"/>
    <x v="515"/>
    <x v="0"/>
    <x v="2"/>
    <x v="2"/>
    <x v="0"/>
    <x v="0"/>
    <x v="0"/>
    <n v="5"/>
    <x v="3"/>
    <x v="1"/>
    <x v="6"/>
    <x v="528"/>
    <x v="0"/>
    <x v="7"/>
  </r>
  <r>
    <d v="2023-04-29T12:09:42"/>
    <x v="0"/>
    <x v="955"/>
    <x v="1"/>
    <x v="3"/>
    <x v="2"/>
    <x v="0"/>
    <x v="0"/>
    <x v="0"/>
    <n v="1"/>
    <x v="3"/>
    <x v="0"/>
    <x v="21"/>
    <x v="135"/>
    <x v="0"/>
    <x v="3"/>
  </r>
  <r>
    <d v="2023-04-29T12:12:59"/>
    <x v="0"/>
    <x v="956"/>
    <x v="0"/>
    <x v="4"/>
    <x v="0"/>
    <x v="0"/>
    <x v="0"/>
    <x v="0"/>
    <n v="2"/>
    <x v="0"/>
    <x v="0"/>
    <x v="6"/>
    <x v="502"/>
    <x v="0"/>
    <x v="15"/>
  </r>
  <r>
    <d v="2023-04-29T12:13:25"/>
    <x v="0"/>
    <x v="515"/>
    <x v="0"/>
    <x v="2"/>
    <x v="2"/>
    <x v="0"/>
    <x v="0"/>
    <x v="0"/>
    <n v="5"/>
    <x v="3"/>
    <x v="1"/>
    <x v="16"/>
    <x v="529"/>
    <x v="0"/>
    <x v="7"/>
  </r>
  <r>
    <d v="2023-04-29T12:28:46"/>
    <x v="0"/>
    <x v="957"/>
    <x v="0"/>
    <x v="0"/>
    <x v="2"/>
    <x v="1"/>
    <x v="0"/>
    <x v="0"/>
    <n v="1"/>
    <x v="6"/>
    <x v="1"/>
    <x v="25"/>
    <x v="179"/>
    <x v="0"/>
    <x v="1"/>
  </r>
  <r>
    <d v="2023-04-29T12:37:41"/>
    <x v="0"/>
    <x v="958"/>
    <x v="0"/>
    <x v="0"/>
    <x v="0"/>
    <x v="0"/>
    <x v="0"/>
    <x v="0"/>
    <n v="2"/>
    <x v="6"/>
    <x v="1"/>
    <x v="17"/>
    <x v="160"/>
    <x v="0"/>
    <x v="3"/>
  </r>
  <r>
    <d v="2023-04-29T12:51:00"/>
    <x v="0"/>
    <x v="959"/>
    <x v="0"/>
    <x v="1"/>
    <x v="1"/>
    <x v="3"/>
    <x v="1"/>
    <x v="1"/>
    <n v="10"/>
    <x v="6"/>
    <x v="3"/>
    <x v="23"/>
    <x v="530"/>
    <x v="4"/>
    <x v="6"/>
  </r>
  <r>
    <d v="2023-04-29T12:57:51"/>
    <x v="0"/>
    <x v="960"/>
    <x v="1"/>
    <x v="2"/>
    <x v="1"/>
    <x v="1"/>
    <x v="0"/>
    <x v="0"/>
    <n v="5"/>
    <x v="5"/>
    <x v="1"/>
    <x v="11"/>
    <x v="141"/>
    <x v="0"/>
    <x v="1"/>
  </r>
  <r>
    <d v="2023-04-29T13:04:39"/>
    <x v="0"/>
    <x v="961"/>
    <x v="1"/>
    <x v="1"/>
    <x v="1"/>
    <x v="1"/>
    <x v="1"/>
    <x v="0"/>
    <n v="4"/>
    <x v="5"/>
    <x v="1"/>
    <x v="19"/>
    <x v="223"/>
    <x v="0"/>
    <x v="1"/>
  </r>
  <r>
    <d v="2023-04-29T13:28:34"/>
    <x v="0"/>
    <x v="962"/>
    <x v="0"/>
    <x v="4"/>
    <x v="0"/>
    <x v="0"/>
    <x v="0"/>
    <x v="0"/>
    <n v="5"/>
    <x v="6"/>
    <x v="1"/>
    <x v="16"/>
    <x v="107"/>
    <x v="0"/>
    <x v="4"/>
  </r>
  <r>
    <d v="2023-04-29T13:31:20"/>
    <x v="0"/>
    <x v="963"/>
    <x v="0"/>
    <x v="4"/>
    <x v="1"/>
    <x v="1"/>
    <x v="0"/>
    <x v="0"/>
    <n v="1"/>
    <x v="1"/>
    <x v="2"/>
    <x v="8"/>
    <x v="224"/>
    <x v="0"/>
    <x v="3"/>
  </r>
  <r>
    <d v="2023-04-29T13:32:25"/>
    <x v="0"/>
    <x v="600"/>
    <x v="1"/>
    <x v="4"/>
    <x v="1"/>
    <x v="1"/>
    <x v="1"/>
    <x v="1"/>
    <n v="10"/>
    <x v="1"/>
    <x v="2"/>
    <x v="19"/>
    <x v="402"/>
    <x v="2"/>
    <x v="4"/>
  </r>
  <r>
    <d v="2023-04-29T13:53:36"/>
    <x v="0"/>
    <x v="964"/>
    <x v="0"/>
    <x v="4"/>
    <x v="0"/>
    <x v="1"/>
    <x v="0"/>
    <x v="0"/>
    <n v="8"/>
    <x v="1"/>
    <x v="2"/>
    <x v="11"/>
    <x v="402"/>
    <x v="0"/>
    <x v="4"/>
  </r>
  <r>
    <d v="2023-04-29T13:55:34"/>
    <x v="0"/>
    <x v="965"/>
    <x v="0"/>
    <x v="4"/>
    <x v="0"/>
    <x v="0"/>
    <x v="0"/>
    <x v="0"/>
    <n v="1"/>
    <x v="5"/>
    <x v="2"/>
    <x v="16"/>
    <x v="129"/>
    <x v="0"/>
    <x v="15"/>
  </r>
  <r>
    <d v="2023-04-29T14:24:41"/>
    <x v="0"/>
    <x v="966"/>
    <x v="1"/>
    <x v="4"/>
    <x v="1"/>
    <x v="1"/>
    <x v="0"/>
    <x v="0"/>
    <n v="5"/>
    <x v="6"/>
    <x v="1"/>
    <x v="11"/>
    <x v="99"/>
    <x v="1"/>
    <x v="3"/>
  </r>
  <r>
    <d v="2023-04-29T14:31:53"/>
    <x v="0"/>
    <x v="773"/>
    <x v="0"/>
    <x v="2"/>
    <x v="0"/>
    <x v="0"/>
    <x v="0"/>
    <x v="0"/>
    <n v="1"/>
    <x v="3"/>
    <x v="1"/>
    <x v="15"/>
    <x v="415"/>
    <x v="1"/>
    <x v="1"/>
  </r>
  <r>
    <d v="2023-04-29T14:46:42"/>
    <x v="0"/>
    <x v="862"/>
    <x v="0"/>
    <x v="4"/>
    <x v="1"/>
    <x v="0"/>
    <x v="1"/>
    <x v="1"/>
    <n v="10"/>
    <x v="6"/>
    <x v="0"/>
    <x v="14"/>
    <x v="128"/>
    <x v="0"/>
    <x v="12"/>
  </r>
  <r>
    <d v="2023-04-29T14:49:12"/>
    <x v="0"/>
    <x v="322"/>
    <x v="1"/>
    <x v="4"/>
    <x v="2"/>
    <x v="0"/>
    <x v="0"/>
    <x v="0"/>
    <n v="5"/>
    <x v="6"/>
    <x v="2"/>
    <x v="17"/>
    <x v="109"/>
    <x v="0"/>
    <x v="9"/>
  </r>
  <r>
    <d v="2023-04-29T14:49:53"/>
    <x v="0"/>
    <x v="967"/>
    <x v="0"/>
    <x v="4"/>
    <x v="0"/>
    <x v="1"/>
    <x v="0"/>
    <x v="1"/>
    <n v="6"/>
    <x v="6"/>
    <x v="1"/>
    <x v="17"/>
    <x v="493"/>
    <x v="0"/>
    <x v="2"/>
  </r>
  <r>
    <d v="2023-04-29T14:52:24"/>
    <x v="0"/>
    <x v="647"/>
    <x v="1"/>
    <x v="0"/>
    <x v="2"/>
    <x v="0"/>
    <x v="0"/>
    <x v="0"/>
    <n v="3"/>
    <x v="6"/>
    <x v="1"/>
    <x v="6"/>
    <x v="217"/>
    <x v="0"/>
    <x v="1"/>
  </r>
  <r>
    <d v="2023-04-29T14:52:52"/>
    <x v="5"/>
    <x v="968"/>
    <x v="1"/>
    <x v="4"/>
    <x v="0"/>
    <x v="0"/>
    <x v="0"/>
    <x v="0"/>
    <n v="2"/>
    <x v="6"/>
    <x v="1"/>
    <x v="9"/>
    <x v="299"/>
    <x v="0"/>
    <x v="1"/>
  </r>
  <r>
    <d v="2023-04-29T14:55:41"/>
    <x v="0"/>
    <x v="969"/>
    <x v="0"/>
    <x v="4"/>
    <x v="2"/>
    <x v="0"/>
    <x v="1"/>
    <x v="0"/>
    <n v="5"/>
    <x v="6"/>
    <x v="1"/>
    <x v="22"/>
    <x v="281"/>
    <x v="0"/>
    <x v="7"/>
  </r>
  <r>
    <d v="2023-04-29T15:01:12"/>
    <x v="0"/>
    <x v="89"/>
    <x v="1"/>
    <x v="0"/>
    <x v="0"/>
    <x v="0"/>
    <x v="0"/>
    <x v="0"/>
    <n v="3"/>
    <x v="3"/>
    <x v="1"/>
    <x v="17"/>
    <x v="110"/>
    <x v="0"/>
    <x v="3"/>
  </r>
  <r>
    <d v="2023-04-29T15:04:22"/>
    <x v="0"/>
    <x v="970"/>
    <x v="0"/>
    <x v="2"/>
    <x v="2"/>
    <x v="1"/>
    <x v="0"/>
    <x v="0"/>
    <n v="3"/>
    <x v="6"/>
    <x v="0"/>
    <x v="19"/>
    <x v="449"/>
    <x v="0"/>
    <x v="3"/>
  </r>
  <r>
    <d v="2023-04-29T15:12:47"/>
    <x v="0"/>
    <x v="89"/>
    <x v="1"/>
    <x v="2"/>
    <x v="1"/>
    <x v="0"/>
    <x v="0"/>
    <x v="0"/>
    <n v="6"/>
    <x v="6"/>
    <x v="1"/>
    <x v="17"/>
    <x v="284"/>
    <x v="0"/>
    <x v="3"/>
  </r>
  <r>
    <d v="2023-04-29T15:17:05"/>
    <x v="0"/>
    <x v="365"/>
    <x v="1"/>
    <x v="4"/>
    <x v="2"/>
    <x v="0"/>
    <x v="0"/>
    <x v="0"/>
    <n v="3"/>
    <x v="5"/>
    <x v="0"/>
    <x v="9"/>
    <x v="124"/>
    <x v="0"/>
    <x v="1"/>
  </r>
  <r>
    <d v="2023-04-29T15:18:08"/>
    <x v="0"/>
    <x v="971"/>
    <x v="1"/>
    <x v="2"/>
    <x v="0"/>
    <x v="1"/>
    <x v="0"/>
    <x v="0"/>
    <n v="3"/>
    <x v="6"/>
    <x v="1"/>
    <x v="8"/>
    <x v="531"/>
    <x v="0"/>
    <x v="1"/>
  </r>
  <r>
    <d v="2023-04-29T15:19:04"/>
    <x v="0"/>
    <x v="89"/>
    <x v="1"/>
    <x v="2"/>
    <x v="0"/>
    <x v="0"/>
    <x v="0"/>
    <x v="0"/>
    <n v="2"/>
    <x v="5"/>
    <x v="1"/>
    <x v="7"/>
    <x v="338"/>
    <x v="0"/>
    <x v="3"/>
  </r>
  <r>
    <d v="2023-04-29T15:31:55"/>
    <x v="0"/>
    <x v="972"/>
    <x v="0"/>
    <x v="3"/>
    <x v="0"/>
    <x v="0"/>
    <x v="0"/>
    <x v="0"/>
    <n v="7"/>
    <x v="1"/>
    <x v="1"/>
    <x v="17"/>
    <x v="385"/>
    <x v="0"/>
    <x v="6"/>
  </r>
  <r>
    <d v="2023-04-29T15:34:17"/>
    <x v="0"/>
    <x v="575"/>
    <x v="1"/>
    <x v="0"/>
    <x v="2"/>
    <x v="1"/>
    <x v="0"/>
    <x v="0"/>
    <n v="6"/>
    <x v="1"/>
    <x v="1"/>
    <x v="6"/>
    <x v="404"/>
    <x v="0"/>
    <x v="13"/>
  </r>
  <r>
    <d v="2023-04-29T15:36:38"/>
    <x v="0"/>
    <x v="896"/>
    <x v="0"/>
    <x v="0"/>
    <x v="0"/>
    <x v="0"/>
    <x v="0"/>
    <x v="1"/>
    <n v="7"/>
    <x v="6"/>
    <x v="1"/>
    <x v="9"/>
    <x v="125"/>
    <x v="1"/>
    <x v="12"/>
  </r>
  <r>
    <d v="2023-04-29T15:43:07"/>
    <x v="0"/>
    <x v="973"/>
    <x v="0"/>
    <x v="1"/>
    <x v="2"/>
    <x v="1"/>
    <x v="0"/>
    <x v="0"/>
    <n v="6"/>
    <x v="5"/>
    <x v="1"/>
    <x v="19"/>
    <x v="532"/>
    <x v="0"/>
    <x v="7"/>
  </r>
  <r>
    <d v="2023-04-29T15:43:17"/>
    <x v="0"/>
    <x v="725"/>
    <x v="0"/>
    <x v="2"/>
    <x v="2"/>
    <x v="1"/>
    <x v="0"/>
    <x v="0"/>
    <n v="1"/>
    <x v="3"/>
    <x v="1"/>
    <x v="9"/>
    <x v="533"/>
    <x v="0"/>
    <x v="7"/>
  </r>
  <r>
    <d v="2023-04-29T15:47:10"/>
    <x v="0"/>
    <x v="694"/>
    <x v="0"/>
    <x v="2"/>
    <x v="2"/>
    <x v="0"/>
    <x v="1"/>
    <x v="0"/>
    <n v="4"/>
    <x v="3"/>
    <x v="1"/>
    <x v="13"/>
    <x v="353"/>
    <x v="0"/>
    <x v="3"/>
  </r>
  <r>
    <d v="2023-04-29T16:07:16"/>
    <x v="0"/>
    <x v="974"/>
    <x v="1"/>
    <x v="4"/>
    <x v="2"/>
    <x v="1"/>
    <x v="1"/>
    <x v="0"/>
    <n v="7"/>
    <x v="1"/>
    <x v="1"/>
    <x v="13"/>
    <x v="109"/>
    <x v="0"/>
    <x v="14"/>
  </r>
  <r>
    <d v="2023-04-29T16:28:57"/>
    <x v="0"/>
    <x v="867"/>
    <x v="0"/>
    <x v="2"/>
    <x v="2"/>
    <x v="1"/>
    <x v="1"/>
    <x v="0"/>
    <n v="8"/>
    <x v="1"/>
    <x v="1"/>
    <x v="17"/>
    <x v="433"/>
    <x v="0"/>
    <x v="7"/>
  </r>
  <r>
    <d v="2023-04-29T16:34:31"/>
    <x v="0"/>
    <x v="566"/>
    <x v="0"/>
    <x v="4"/>
    <x v="2"/>
    <x v="3"/>
    <x v="1"/>
    <x v="1"/>
    <n v="10"/>
    <x v="3"/>
    <x v="2"/>
    <x v="9"/>
    <x v="203"/>
    <x v="1"/>
    <x v="11"/>
  </r>
  <r>
    <d v="2023-04-29T16:55:34"/>
    <x v="0"/>
    <x v="951"/>
    <x v="0"/>
    <x v="2"/>
    <x v="2"/>
    <x v="0"/>
    <x v="0"/>
    <x v="0"/>
    <n v="7"/>
    <x v="6"/>
    <x v="1"/>
    <x v="19"/>
    <x v="141"/>
    <x v="0"/>
    <x v="11"/>
  </r>
  <r>
    <d v="2023-04-29T16:58:43"/>
    <x v="0"/>
    <x v="975"/>
    <x v="1"/>
    <x v="1"/>
    <x v="0"/>
    <x v="0"/>
    <x v="0"/>
    <x v="0"/>
    <n v="5"/>
    <x v="6"/>
    <x v="1"/>
    <x v="9"/>
    <x v="308"/>
    <x v="1"/>
    <x v="2"/>
  </r>
  <r>
    <d v="2023-04-29T16:59:21"/>
    <x v="0"/>
    <x v="976"/>
    <x v="1"/>
    <x v="0"/>
    <x v="0"/>
    <x v="1"/>
    <x v="0"/>
    <x v="0"/>
    <n v="4"/>
    <x v="1"/>
    <x v="1"/>
    <x v="18"/>
    <x v="371"/>
    <x v="0"/>
    <x v="3"/>
  </r>
  <r>
    <d v="2023-04-29T17:08:47"/>
    <x v="0"/>
    <x v="194"/>
    <x v="1"/>
    <x v="3"/>
    <x v="1"/>
    <x v="0"/>
    <x v="0"/>
    <x v="0"/>
    <n v="8"/>
    <x v="1"/>
    <x v="1"/>
    <x v="6"/>
    <x v="224"/>
    <x v="0"/>
    <x v="1"/>
  </r>
  <r>
    <d v="2023-04-29T17:10:22"/>
    <x v="0"/>
    <x v="975"/>
    <x v="1"/>
    <x v="4"/>
    <x v="1"/>
    <x v="1"/>
    <x v="0"/>
    <x v="0"/>
    <n v="1"/>
    <x v="0"/>
    <x v="0"/>
    <x v="10"/>
    <x v="243"/>
    <x v="2"/>
    <x v="6"/>
  </r>
  <r>
    <d v="2023-04-29T17:15:39"/>
    <x v="0"/>
    <x v="977"/>
    <x v="0"/>
    <x v="4"/>
    <x v="0"/>
    <x v="3"/>
    <x v="1"/>
    <x v="1"/>
    <n v="1"/>
    <x v="3"/>
    <x v="2"/>
    <x v="21"/>
    <x v="302"/>
    <x v="2"/>
    <x v="3"/>
  </r>
  <r>
    <d v="2023-04-29T17:18:20"/>
    <x v="0"/>
    <x v="937"/>
    <x v="0"/>
    <x v="2"/>
    <x v="2"/>
    <x v="1"/>
    <x v="0"/>
    <x v="0"/>
    <n v="10"/>
    <x v="1"/>
    <x v="2"/>
    <x v="23"/>
    <x v="349"/>
    <x v="0"/>
    <x v="7"/>
  </r>
  <r>
    <d v="2023-04-29T17:20:56"/>
    <x v="0"/>
    <x v="975"/>
    <x v="1"/>
    <x v="4"/>
    <x v="0"/>
    <x v="0"/>
    <x v="1"/>
    <x v="1"/>
    <n v="5"/>
    <x v="5"/>
    <x v="1"/>
    <x v="7"/>
    <x v="179"/>
    <x v="0"/>
    <x v="15"/>
  </r>
  <r>
    <d v="2023-04-29T17:36:01"/>
    <x v="0"/>
    <x v="131"/>
    <x v="1"/>
    <x v="0"/>
    <x v="0"/>
    <x v="0"/>
    <x v="0"/>
    <x v="0"/>
    <n v="5"/>
    <x v="1"/>
    <x v="1"/>
    <x v="18"/>
    <x v="357"/>
    <x v="0"/>
    <x v="2"/>
  </r>
  <r>
    <d v="2023-04-29T17:41:30"/>
    <x v="0"/>
    <x v="978"/>
    <x v="0"/>
    <x v="4"/>
    <x v="0"/>
    <x v="0"/>
    <x v="1"/>
    <x v="1"/>
    <n v="1"/>
    <x v="5"/>
    <x v="1"/>
    <x v="9"/>
    <x v="155"/>
    <x v="2"/>
    <x v="3"/>
  </r>
  <r>
    <d v="2023-04-29T17:43:37"/>
    <x v="0"/>
    <x v="759"/>
    <x v="1"/>
    <x v="3"/>
    <x v="0"/>
    <x v="1"/>
    <x v="0"/>
    <x v="0"/>
    <n v="5"/>
    <x v="5"/>
    <x v="0"/>
    <x v="21"/>
    <x v="382"/>
    <x v="0"/>
    <x v="4"/>
  </r>
  <r>
    <d v="2023-04-29T17:46:34"/>
    <x v="0"/>
    <x v="979"/>
    <x v="0"/>
    <x v="2"/>
    <x v="2"/>
    <x v="1"/>
    <x v="0"/>
    <x v="0"/>
    <n v="5"/>
    <x v="6"/>
    <x v="1"/>
    <x v="6"/>
    <x v="288"/>
    <x v="0"/>
    <x v="14"/>
  </r>
  <r>
    <d v="2023-04-29T17:58:50"/>
    <x v="0"/>
    <x v="980"/>
    <x v="0"/>
    <x v="2"/>
    <x v="0"/>
    <x v="0"/>
    <x v="0"/>
    <x v="0"/>
    <n v="9"/>
    <x v="6"/>
    <x v="1"/>
    <x v="18"/>
    <x v="277"/>
    <x v="0"/>
    <x v="1"/>
  </r>
  <r>
    <d v="2023-04-29T17:58:52"/>
    <x v="0"/>
    <x v="866"/>
    <x v="0"/>
    <x v="1"/>
    <x v="2"/>
    <x v="0"/>
    <x v="0"/>
    <x v="0"/>
    <n v="8"/>
    <x v="6"/>
    <x v="1"/>
    <x v="6"/>
    <x v="109"/>
    <x v="2"/>
    <x v="7"/>
  </r>
  <r>
    <d v="2023-04-29T17:59:13"/>
    <x v="0"/>
    <x v="981"/>
    <x v="1"/>
    <x v="3"/>
    <x v="0"/>
    <x v="0"/>
    <x v="0"/>
    <x v="0"/>
    <n v="5"/>
    <x v="1"/>
    <x v="2"/>
    <x v="9"/>
    <x v="371"/>
    <x v="0"/>
    <x v="3"/>
  </r>
  <r>
    <d v="2023-04-29T17:59:20"/>
    <x v="0"/>
    <x v="975"/>
    <x v="1"/>
    <x v="0"/>
    <x v="1"/>
    <x v="1"/>
    <x v="1"/>
    <x v="0"/>
    <n v="7"/>
    <x v="1"/>
    <x v="1"/>
    <x v="7"/>
    <x v="276"/>
    <x v="1"/>
    <x v="3"/>
  </r>
  <r>
    <d v="2023-04-29T18:02:18"/>
    <x v="0"/>
    <x v="360"/>
    <x v="1"/>
    <x v="2"/>
    <x v="0"/>
    <x v="0"/>
    <x v="0"/>
    <x v="0"/>
    <n v="5"/>
    <x v="1"/>
    <x v="1"/>
    <x v="19"/>
    <x v="163"/>
    <x v="0"/>
    <x v="4"/>
  </r>
  <r>
    <d v="2023-04-29T18:08:38"/>
    <x v="0"/>
    <x v="982"/>
    <x v="1"/>
    <x v="2"/>
    <x v="0"/>
    <x v="1"/>
    <x v="0"/>
    <x v="0"/>
    <n v="1"/>
    <x v="3"/>
    <x v="0"/>
    <x v="17"/>
    <x v="534"/>
    <x v="0"/>
    <x v="3"/>
  </r>
  <r>
    <d v="2023-04-29T18:13:20"/>
    <x v="5"/>
    <x v="983"/>
    <x v="0"/>
    <x v="1"/>
    <x v="0"/>
    <x v="0"/>
    <x v="0"/>
    <x v="1"/>
    <n v="7"/>
    <x v="6"/>
    <x v="1"/>
    <x v="18"/>
    <x v="121"/>
    <x v="0"/>
    <x v="2"/>
  </r>
  <r>
    <d v="2023-04-29T18:24:49"/>
    <x v="0"/>
    <x v="984"/>
    <x v="0"/>
    <x v="2"/>
    <x v="0"/>
    <x v="1"/>
    <x v="0"/>
    <x v="0"/>
    <n v="3"/>
    <x v="5"/>
    <x v="2"/>
    <x v="15"/>
    <x v="235"/>
    <x v="3"/>
    <x v="9"/>
  </r>
  <r>
    <d v="2023-04-29T18:26:23"/>
    <x v="0"/>
    <x v="725"/>
    <x v="1"/>
    <x v="2"/>
    <x v="2"/>
    <x v="0"/>
    <x v="0"/>
    <x v="0"/>
    <n v="10"/>
    <x v="0"/>
    <x v="2"/>
    <x v="9"/>
    <x v="416"/>
    <x v="0"/>
    <x v="7"/>
  </r>
  <r>
    <d v="2023-04-29T18:32:19"/>
    <x v="0"/>
    <x v="975"/>
    <x v="0"/>
    <x v="4"/>
    <x v="1"/>
    <x v="1"/>
    <x v="0"/>
    <x v="0"/>
    <n v="4"/>
    <x v="3"/>
    <x v="2"/>
    <x v="17"/>
    <x v="392"/>
    <x v="1"/>
    <x v="7"/>
  </r>
  <r>
    <d v="2023-04-29T18:46:16"/>
    <x v="0"/>
    <x v="985"/>
    <x v="0"/>
    <x v="4"/>
    <x v="1"/>
    <x v="1"/>
    <x v="0"/>
    <x v="0"/>
    <n v="8"/>
    <x v="6"/>
    <x v="1"/>
    <x v="9"/>
    <x v="188"/>
    <x v="0"/>
    <x v="7"/>
  </r>
  <r>
    <d v="2023-04-29T19:03:14"/>
    <x v="0"/>
    <x v="986"/>
    <x v="1"/>
    <x v="3"/>
    <x v="0"/>
    <x v="0"/>
    <x v="0"/>
    <x v="0"/>
    <n v="3"/>
    <x v="6"/>
    <x v="1"/>
    <x v="18"/>
    <x v="218"/>
    <x v="0"/>
    <x v="1"/>
  </r>
  <r>
    <d v="2023-04-29T19:07:43"/>
    <x v="0"/>
    <x v="987"/>
    <x v="0"/>
    <x v="4"/>
    <x v="1"/>
    <x v="1"/>
    <x v="1"/>
    <x v="1"/>
    <n v="8"/>
    <x v="6"/>
    <x v="1"/>
    <x v="8"/>
    <x v="356"/>
    <x v="0"/>
    <x v="4"/>
  </r>
  <r>
    <d v="2023-04-29T19:08:52"/>
    <x v="0"/>
    <x v="988"/>
    <x v="1"/>
    <x v="4"/>
    <x v="0"/>
    <x v="0"/>
    <x v="1"/>
    <x v="0"/>
    <n v="5"/>
    <x v="1"/>
    <x v="1"/>
    <x v="17"/>
    <x v="224"/>
    <x v="0"/>
    <x v="3"/>
  </r>
  <r>
    <d v="2023-04-29T19:14:46"/>
    <x v="0"/>
    <x v="89"/>
    <x v="0"/>
    <x v="4"/>
    <x v="0"/>
    <x v="1"/>
    <x v="0"/>
    <x v="0"/>
    <n v="3"/>
    <x v="6"/>
    <x v="2"/>
    <x v="17"/>
    <x v="535"/>
    <x v="0"/>
    <x v="3"/>
  </r>
  <r>
    <d v="2023-04-29T19:18:36"/>
    <x v="0"/>
    <x v="989"/>
    <x v="0"/>
    <x v="4"/>
    <x v="1"/>
    <x v="1"/>
    <x v="0"/>
    <x v="0"/>
    <n v="5"/>
    <x v="3"/>
    <x v="2"/>
    <x v="14"/>
    <x v="536"/>
    <x v="0"/>
    <x v="2"/>
  </r>
  <r>
    <d v="2023-04-29T19:31:15"/>
    <x v="0"/>
    <x v="990"/>
    <x v="1"/>
    <x v="2"/>
    <x v="2"/>
    <x v="0"/>
    <x v="0"/>
    <x v="0"/>
    <n v="7"/>
    <x v="1"/>
    <x v="0"/>
    <x v="8"/>
    <x v="458"/>
    <x v="0"/>
    <x v="2"/>
  </r>
  <r>
    <d v="2023-04-29T19:40:39"/>
    <x v="0"/>
    <x v="991"/>
    <x v="0"/>
    <x v="0"/>
    <x v="2"/>
    <x v="0"/>
    <x v="0"/>
    <x v="0"/>
    <n v="1"/>
    <x v="6"/>
    <x v="2"/>
    <x v="14"/>
    <x v="132"/>
    <x v="1"/>
    <x v="1"/>
  </r>
  <r>
    <d v="2023-04-29T19:48:19"/>
    <x v="0"/>
    <x v="992"/>
    <x v="1"/>
    <x v="3"/>
    <x v="1"/>
    <x v="1"/>
    <x v="0"/>
    <x v="0"/>
    <n v="3"/>
    <x v="6"/>
    <x v="0"/>
    <x v="6"/>
    <x v="537"/>
    <x v="0"/>
    <x v="1"/>
  </r>
  <r>
    <d v="2023-04-29T19:49:40"/>
    <x v="5"/>
    <x v="993"/>
    <x v="1"/>
    <x v="0"/>
    <x v="1"/>
    <x v="0"/>
    <x v="0"/>
    <x v="0"/>
    <n v="1"/>
    <x v="1"/>
    <x v="0"/>
    <x v="9"/>
    <x v="538"/>
    <x v="0"/>
    <x v="1"/>
  </r>
  <r>
    <d v="2023-04-29T20:08:38"/>
    <x v="0"/>
    <x v="994"/>
    <x v="1"/>
    <x v="4"/>
    <x v="2"/>
    <x v="0"/>
    <x v="0"/>
    <x v="0"/>
    <n v="1"/>
    <x v="3"/>
    <x v="0"/>
    <x v="21"/>
    <x v="160"/>
    <x v="3"/>
    <x v="7"/>
  </r>
  <r>
    <d v="2023-04-29T20:09:54"/>
    <x v="3"/>
    <x v="995"/>
    <x v="0"/>
    <x v="2"/>
    <x v="0"/>
    <x v="1"/>
    <x v="0"/>
    <x v="0"/>
    <n v="6"/>
    <x v="3"/>
    <x v="2"/>
    <x v="20"/>
    <x v="539"/>
    <x v="2"/>
    <x v="15"/>
  </r>
  <r>
    <d v="2023-04-29T20:12:28"/>
    <x v="0"/>
    <x v="591"/>
    <x v="1"/>
    <x v="2"/>
    <x v="0"/>
    <x v="1"/>
    <x v="0"/>
    <x v="0"/>
    <n v="3"/>
    <x v="6"/>
    <x v="0"/>
    <x v="16"/>
    <x v="540"/>
    <x v="0"/>
    <x v="1"/>
  </r>
  <r>
    <d v="2023-04-29T20:12:34"/>
    <x v="0"/>
    <x v="996"/>
    <x v="1"/>
    <x v="2"/>
    <x v="2"/>
    <x v="3"/>
    <x v="0"/>
    <x v="1"/>
    <n v="7"/>
    <x v="1"/>
    <x v="1"/>
    <x v="8"/>
    <x v="239"/>
    <x v="2"/>
    <x v="3"/>
  </r>
  <r>
    <d v="2023-04-29T20:13:15"/>
    <x v="0"/>
    <x v="986"/>
    <x v="0"/>
    <x v="4"/>
    <x v="1"/>
    <x v="0"/>
    <x v="0"/>
    <x v="0"/>
    <n v="4"/>
    <x v="6"/>
    <x v="1"/>
    <x v="8"/>
    <x v="214"/>
    <x v="0"/>
    <x v="1"/>
  </r>
  <r>
    <d v="2023-04-29T20:13:17"/>
    <x v="0"/>
    <x v="39"/>
    <x v="1"/>
    <x v="0"/>
    <x v="0"/>
    <x v="0"/>
    <x v="0"/>
    <x v="0"/>
    <n v="7"/>
    <x v="5"/>
    <x v="1"/>
    <x v="14"/>
    <x v="245"/>
    <x v="1"/>
    <x v="4"/>
  </r>
  <r>
    <d v="2023-04-29T20:14:34"/>
    <x v="0"/>
    <x v="986"/>
    <x v="0"/>
    <x v="1"/>
    <x v="1"/>
    <x v="0"/>
    <x v="0"/>
    <x v="0"/>
    <n v="1"/>
    <x v="1"/>
    <x v="1"/>
    <x v="17"/>
    <x v="541"/>
    <x v="0"/>
    <x v="3"/>
  </r>
  <r>
    <d v="2023-04-29T20:19:27"/>
    <x v="0"/>
    <x v="989"/>
    <x v="0"/>
    <x v="2"/>
    <x v="2"/>
    <x v="0"/>
    <x v="1"/>
    <x v="1"/>
    <n v="4"/>
    <x v="5"/>
    <x v="2"/>
    <x v="6"/>
    <x v="186"/>
    <x v="0"/>
    <x v="4"/>
  </r>
  <r>
    <d v="2023-04-29T20:22:00"/>
    <x v="0"/>
    <x v="39"/>
    <x v="0"/>
    <x v="4"/>
    <x v="1"/>
    <x v="0"/>
    <x v="0"/>
    <x v="0"/>
    <n v="5"/>
    <x v="3"/>
    <x v="1"/>
    <x v="15"/>
    <x v="167"/>
    <x v="0"/>
    <x v="1"/>
  </r>
  <r>
    <d v="2023-04-29T20:22:23"/>
    <x v="0"/>
    <x v="792"/>
    <x v="0"/>
    <x v="4"/>
    <x v="0"/>
    <x v="0"/>
    <x v="1"/>
    <x v="1"/>
    <n v="2"/>
    <x v="1"/>
    <x v="1"/>
    <x v="6"/>
    <x v="542"/>
    <x v="0"/>
    <x v="1"/>
  </r>
  <r>
    <d v="2023-04-29T20:22:50"/>
    <x v="0"/>
    <x v="191"/>
    <x v="1"/>
    <x v="4"/>
    <x v="0"/>
    <x v="0"/>
    <x v="0"/>
    <x v="1"/>
    <n v="6"/>
    <x v="1"/>
    <x v="2"/>
    <x v="7"/>
    <x v="274"/>
    <x v="3"/>
    <x v="24"/>
  </r>
  <r>
    <d v="2023-04-29T20:23:50"/>
    <x v="0"/>
    <x v="989"/>
    <x v="1"/>
    <x v="4"/>
    <x v="0"/>
    <x v="1"/>
    <x v="1"/>
    <x v="1"/>
    <n v="3"/>
    <x v="3"/>
    <x v="2"/>
    <x v="9"/>
    <x v="143"/>
    <x v="2"/>
    <x v="1"/>
  </r>
  <r>
    <d v="2023-04-29T20:24:02"/>
    <x v="0"/>
    <x v="997"/>
    <x v="0"/>
    <x v="0"/>
    <x v="2"/>
    <x v="3"/>
    <x v="0"/>
    <x v="0"/>
    <n v="1"/>
    <x v="5"/>
    <x v="2"/>
    <x v="21"/>
    <x v="193"/>
    <x v="2"/>
    <x v="6"/>
  </r>
  <r>
    <d v="2023-04-29T20:29:08"/>
    <x v="0"/>
    <x v="998"/>
    <x v="0"/>
    <x v="4"/>
    <x v="0"/>
    <x v="0"/>
    <x v="0"/>
    <x v="0"/>
    <n v="6"/>
    <x v="3"/>
    <x v="1"/>
    <x v="6"/>
    <x v="161"/>
    <x v="2"/>
    <x v="4"/>
  </r>
  <r>
    <d v="2023-04-29T20:30:37"/>
    <x v="0"/>
    <x v="999"/>
    <x v="1"/>
    <x v="4"/>
    <x v="1"/>
    <x v="0"/>
    <x v="0"/>
    <x v="0"/>
    <n v="10"/>
    <x v="3"/>
    <x v="0"/>
    <x v="17"/>
    <x v="109"/>
    <x v="0"/>
    <x v="6"/>
  </r>
  <r>
    <d v="2023-04-29T20:30:38"/>
    <x v="0"/>
    <x v="273"/>
    <x v="0"/>
    <x v="3"/>
    <x v="1"/>
    <x v="0"/>
    <x v="0"/>
    <x v="1"/>
    <n v="10"/>
    <x v="6"/>
    <x v="0"/>
    <x v="9"/>
    <x v="281"/>
    <x v="0"/>
    <x v="2"/>
  </r>
  <r>
    <d v="2023-04-29T20:33:27"/>
    <x v="0"/>
    <x v="301"/>
    <x v="0"/>
    <x v="0"/>
    <x v="2"/>
    <x v="0"/>
    <x v="0"/>
    <x v="0"/>
    <n v="5"/>
    <x v="6"/>
    <x v="1"/>
    <x v="19"/>
    <x v="450"/>
    <x v="0"/>
    <x v="8"/>
  </r>
  <r>
    <d v="2023-04-29T20:36:51"/>
    <x v="0"/>
    <x v="792"/>
    <x v="0"/>
    <x v="2"/>
    <x v="1"/>
    <x v="0"/>
    <x v="1"/>
    <x v="0"/>
    <n v="4"/>
    <x v="6"/>
    <x v="1"/>
    <x v="17"/>
    <x v="153"/>
    <x v="0"/>
    <x v="11"/>
  </r>
  <r>
    <d v="2023-04-29T20:39:29"/>
    <x v="0"/>
    <x v="39"/>
    <x v="1"/>
    <x v="4"/>
    <x v="2"/>
    <x v="0"/>
    <x v="0"/>
    <x v="0"/>
    <n v="1"/>
    <x v="0"/>
    <x v="2"/>
    <x v="9"/>
    <x v="132"/>
    <x v="0"/>
    <x v="1"/>
  </r>
  <r>
    <d v="2023-04-29T20:43:28"/>
    <x v="0"/>
    <x v="1000"/>
    <x v="0"/>
    <x v="4"/>
    <x v="0"/>
    <x v="1"/>
    <x v="1"/>
    <x v="0"/>
    <n v="7"/>
    <x v="6"/>
    <x v="1"/>
    <x v="6"/>
    <x v="179"/>
    <x v="1"/>
    <x v="1"/>
  </r>
  <r>
    <d v="2023-04-29T20:45:36"/>
    <x v="0"/>
    <x v="1001"/>
    <x v="1"/>
    <x v="4"/>
    <x v="0"/>
    <x v="0"/>
    <x v="0"/>
    <x v="1"/>
    <n v="3"/>
    <x v="1"/>
    <x v="1"/>
    <x v="19"/>
    <x v="308"/>
    <x v="1"/>
    <x v="3"/>
  </r>
  <r>
    <d v="2023-04-29T20:52:34"/>
    <x v="0"/>
    <x v="1002"/>
    <x v="1"/>
    <x v="0"/>
    <x v="2"/>
    <x v="0"/>
    <x v="0"/>
    <x v="0"/>
    <n v="5"/>
    <x v="0"/>
    <x v="1"/>
    <x v="9"/>
    <x v="543"/>
    <x v="2"/>
    <x v="1"/>
  </r>
  <r>
    <d v="2023-04-29T20:57:47"/>
    <x v="0"/>
    <x v="1003"/>
    <x v="1"/>
    <x v="4"/>
    <x v="0"/>
    <x v="1"/>
    <x v="1"/>
    <x v="1"/>
    <n v="6"/>
    <x v="0"/>
    <x v="1"/>
    <x v="11"/>
    <x v="353"/>
    <x v="0"/>
    <x v="6"/>
  </r>
  <r>
    <d v="2023-04-29T20:58:18"/>
    <x v="0"/>
    <x v="1004"/>
    <x v="0"/>
    <x v="0"/>
    <x v="2"/>
    <x v="1"/>
    <x v="0"/>
    <x v="1"/>
    <n v="5"/>
    <x v="6"/>
    <x v="2"/>
    <x v="18"/>
    <x v="179"/>
    <x v="0"/>
    <x v="1"/>
  </r>
  <r>
    <d v="2023-04-29T20:58:25"/>
    <x v="0"/>
    <x v="378"/>
    <x v="0"/>
    <x v="2"/>
    <x v="1"/>
    <x v="3"/>
    <x v="0"/>
    <x v="0"/>
    <n v="8"/>
    <x v="5"/>
    <x v="1"/>
    <x v="11"/>
    <x v="325"/>
    <x v="1"/>
    <x v="4"/>
  </r>
  <r>
    <d v="2023-04-29T21:00:00"/>
    <x v="0"/>
    <x v="1005"/>
    <x v="1"/>
    <x v="3"/>
    <x v="0"/>
    <x v="0"/>
    <x v="0"/>
    <x v="0"/>
    <n v="4"/>
    <x v="6"/>
    <x v="1"/>
    <x v="9"/>
    <x v="358"/>
    <x v="0"/>
    <x v="15"/>
  </r>
  <r>
    <d v="2023-04-29T21:01:39"/>
    <x v="0"/>
    <x v="406"/>
    <x v="0"/>
    <x v="4"/>
    <x v="2"/>
    <x v="1"/>
    <x v="0"/>
    <x v="0"/>
    <n v="1"/>
    <x v="6"/>
    <x v="2"/>
    <x v="9"/>
    <x v="198"/>
    <x v="3"/>
    <x v="3"/>
  </r>
  <r>
    <d v="2023-04-29T21:02:25"/>
    <x v="0"/>
    <x v="894"/>
    <x v="0"/>
    <x v="2"/>
    <x v="0"/>
    <x v="0"/>
    <x v="0"/>
    <x v="0"/>
    <n v="7"/>
    <x v="6"/>
    <x v="1"/>
    <x v="16"/>
    <x v="544"/>
    <x v="0"/>
    <x v="3"/>
  </r>
  <r>
    <d v="2023-04-29T21:08:33"/>
    <x v="0"/>
    <x v="1006"/>
    <x v="0"/>
    <x v="2"/>
    <x v="1"/>
    <x v="1"/>
    <x v="1"/>
    <x v="1"/>
    <n v="10"/>
    <x v="6"/>
    <x v="1"/>
    <x v="9"/>
    <x v="414"/>
    <x v="0"/>
    <x v="3"/>
  </r>
  <r>
    <d v="2023-04-29T21:11:04"/>
    <x v="0"/>
    <x v="1007"/>
    <x v="1"/>
    <x v="4"/>
    <x v="2"/>
    <x v="0"/>
    <x v="1"/>
    <x v="1"/>
    <n v="3"/>
    <x v="5"/>
    <x v="2"/>
    <x v="20"/>
    <x v="156"/>
    <x v="2"/>
    <x v="6"/>
  </r>
  <r>
    <d v="2023-04-29T21:11:07"/>
    <x v="3"/>
    <x v="1008"/>
    <x v="0"/>
    <x v="2"/>
    <x v="1"/>
    <x v="0"/>
    <x v="0"/>
    <x v="0"/>
    <n v="5"/>
    <x v="6"/>
    <x v="2"/>
    <x v="15"/>
    <x v="519"/>
    <x v="0"/>
    <x v="1"/>
  </r>
  <r>
    <d v="2023-04-29T21:13:37"/>
    <x v="0"/>
    <x v="277"/>
    <x v="0"/>
    <x v="2"/>
    <x v="2"/>
    <x v="0"/>
    <x v="0"/>
    <x v="0"/>
    <n v="2"/>
    <x v="6"/>
    <x v="2"/>
    <x v="19"/>
    <x v="217"/>
    <x v="1"/>
    <x v="5"/>
  </r>
  <r>
    <d v="2023-04-29T21:14:11"/>
    <x v="3"/>
    <x v="1009"/>
    <x v="0"/>
    <x v="4"/>
    <x v="0"/>
    <x v="1"/>
    <x v="0"/>
    <x v="0"/>
    <n v="1"/>
    <x v="5"/>
    <x v="1"/>
    <x v="17"/>
    <x v="453"/>
    <x v="0"/>
    <x v="8"/>
  </r>
  <r>
    <d v="2023-04-29T21:14:39"/>
    <x v="0"/>
    <x v="1010"/>
    <x v="0"/>
    <x v="0"/>
    <x v="0"/>
    <x v="0"/>
    <x v="0"/>
    <x v="0"/>
    <n v="5"/>
    <x v="6"/>
    <x v="2"/>
    <x v="7"/>
    <x v="174"/>
    <x v="2"/>
    <x v="1"/>
  </r>
  <r>
    <d v="2023-04-29T21:16:31"/>
    <x v="3"/>
    <x v="1011"/>
    <x v="0"/>
    <x v="4"/>
    <x v="1"/>
    <x v="1"/>
    <x v="0"/>
    <x v="1"/>
    <n v="5"/>
    <x v="6"/>
    <x v="3"/>
    <x v="6"/>
    <x v="183"/>
    <x v="0"/>
    <x v="1"/>
  </r>
  <r>
    <d v="2023-04-29T21:21:31"/>
    <x v="0"/>
    <x v="591"/>
    <x v="0"/>
    <x v="2"/>
    <x v="0"/>
    <x v="1"/>
    <x v="0"/>
    <x v="0"/>
    <n v="5"/>
    <x v="3"/>
    <x v="1"/>
    <x v="7"/>
    <x v="245"/>
    <x v="0"/>
    <x v="7"/>
  </r>
  <r>
    <d v="2023-04-29T21:21:38"/>
    <x v="0"/>
    <x v="1012"/>
    <x v="0"/>
    <x v="3"/>
    <x v="0"/>
    <x v="1"/>
    <x v="0"/>
    <x v="0"/>
    <n v="8"/>
    <x v="1"/>
    <x v="1"/>
    <x v="19"/>
    <x v="180"/>
    <x v="0"/>
    <x v="3"/>
  </r>
  <r>
    <d v="2023-04-29T21:21:41"/>
    <x v="0"/>
    <x v="659"/>
    <x v="1"/>
    <x v="2"/>
    <x v="0"/>
    <x v="1"/>
    <x v="0"/>
    <x v="0"/>
    <n v="2"/>
    <x v="6"/>
    <x v="2"/>
    <x v="11"/>
    <x v="200"/>
    <x v="0"/>
    <x v="3"/>
  </r>
  <r>
    <d v="2023-04-29T21:25:20"/>
    <x v="0"/>
    <x v="516"/>
    <x v="1"/>
    <x v="4"/>
    <x v="2"/>
    <x v="0"/>
    <x v="0"/>
    <x v="0"/>
    <n v="5"/>
    <x v="6"/>
    <x v="1"/>
    <x v="9"/>
    <x v="545"/>
    <x v="2"/>
    <x v="2"/>
  </r>
  <r>
    <d v="2023-04-29T21:25:54"/>
    <x v="0"/>
    <x v="792"/>
    <x v="0"/>
    <x v="4"/>
    <x v="2"/>
    <x v="1"/>
    <x v="1"/>
    <x v="0"/>
    <n v="5"/>
    <x v="1"/>
    <x v="1"/>
    <x v="7"/>
    <x v="191"/>
    <x v="0"/>
    <x v="4"/>
  </r>
  <r>
    <d v="2023-04-29T21:26:12"/>
    <x v="3"/>
    <x v="1013"/>
    <x v="0"/>
    <x v="3"/>
    <x v="0"/>
    <x v="1"/>
    <x v="0"/>
    <x v="0"/>
    <n v="5"/>
    <x v="3"/>
    <x v="2"/>
    <x v="22"/>
    <x v="420"/>
    <x v="3"/>
    <x v="3"/>
  </r>
  <r>
    <d v="2023-04-29T21:28:26"/>
    <x v="1"/>
    <x v="1014"/>
    <x v="0"/>
    <x v="4"/>
    <x v="0"/>
    <x v="0"/>
    <x v="1"/>
    <x v="1"/>
    <n v="10"/>
    <x v="3"/>
    <x v="1"/>
    <x v="25"/>
    <x v="546"/>
    <x v="0"/>
    <x v="1"/>
  </r>
  <r>
    <d v="2023-04-29T21:29:38"/>
    <x v="3"/>
    <x v="1015"/>
    <x v="0"/>
    <x v="0"/>
    <x v="0"/>
    <x v="0"/>
    <x v="0"/>
    <x v="0"/>
    <n v="1"/>
    <x v="3"/>
    <x v="2"/>
    <x v="10"/>
    <x v="230"/>
    <x v="1"/>
    <x v="7"/>
  </r>
  <r>
    <d v="2023-04-29T21:32:20"/>
    <x v="0"/>
    <x v="1016"/>
    <x v="1"/>
    <x v="4"/>
    <x v="0"/>
    <x v="0"/>
    <x v="1"/>
    <x v="1"/>
    <n v="9"/>
    <x v="6"/>
    <x v="1"/>
    <x v="9"/>
    <x v="243"/>
    <x v="0"/>
    <x v="1"/>
  </r>
  <r>
    <d v="2023-04-29T21:35:14"/>
    <x v="0"/>
    <x v="249"/>
    <x v="1"/>
    <x v="0"/>
    <x v="1"/>
    <x v="0"/>
    <x v="0"/>
    <x v="0"/>
    <n v="7"/>
    <x v="5"/>
    <x v="2"/>
    <x v="10"/>
    <x v="101"/>
    <x v="0"/>
    <x v="3"/>
  </r>
  <r>
    <d v="2023-04-29T21:38:05"/>
    <x v="0"/>
    <x v="1017"/>
    <x v="0"/>
    <x v="3"/>
    <x v="2"/>
    <x v="0"/>
    <x v="1"/>
    <x v="0"/>
    <n v="5"/>
    <x v="1"/>
    <x v="0"/>
    <x v="6"/>
    <x v="101"/>
    <x v="0"/>
    <x v="11"/>
  </r>
  <r>
    <d v="2023-04-29T21:45:45"/>
    <x v="0"/>
    <x v="249"/>
    <x v="1"/>
    <x v="0"/>
    <x v="0"/>
    <x v="0"/>
    <x v="1"/>
    <x v="0"/>
    <n v="5"/>
    <x v="6"/>
    <x v="1"/>
    <x v="8"/>
    <x v="114"/>
    <x v="0"/>
    <x v="7"/>
  </r>
  <r>
    <d v="2023-04-29T21:53:51"/>
    <x v="0"/>
    <x v="614"/>
    <x v="0"/>
    <x v="3"/>
    <x v="0"/>
    <x v="0"/>
    <x v="0"/>
    <x v="0"/>
    <n v="1"/>
    <x v="5"/>
    <x v="1"/>
    <x v="11"/>
    <x v="266"/>
    <x v="0"/>
    <x v="1"/>
  </r>
  <r>
    <d v="2023-04-29T21:54:32"/>
    <x v="0"/>
    <x v="1018"/>
    <x v="1"/>
    <x v="4"/>
    <x v="2"/>
    <x v="0"/>
    <x v="0"/>
    <x v="0"/>
    <n v="8"/>
    <x v="3"/>
    <x v="1"/>
    <x v="6"/>
    <x v="206"/>
    <x v="0"/>
    <x v="3"/>
  </r>
  <r>
    <d v="2023-04-29T21:57:55"/>
    <x v="0"/>
    <x v="1019"/>
    <x v="0"/>
    <x v="0"/>
    <x v="0"/>
    <x v="0"/>
    <x v="0"/>
    <x v="0"/>
    <n v="8"/>
    <x v="1"/>
    <x v="2"/>
    <x v="9"/>
    <x v="141"/>
    <x v="1"/>
    <x v="3"/>
  </r>
  <r>
    <d v="2023-04-29T22:07:13"/>
    <x v="3"/>
    <x v="1009"/>
    <x v="0"/>
    <x v="0"/>
    <x v="0"/>
    <x v="0"/>
    <x v="0"/>
    <x v="0"/>
    <n v="1"/>
    <x v="6"/>
    <x v="1"/>
    <x v="9"/>
    <x v="363"/>
    <x v="0"/>
    <x v="8"/>
  </r>
  <r>
    <d v="2023-04-29T22:08:42"/>
    <x v="0"/>
    <x v="100"/>
    <x v="1"/>
    <x v="3"/>
    <x v="0"/>
    <x v="1"/>
    <x v="0"/>
    <x v="0"/>
    <n v="6"/>
    <x v="3"/>
    <x v="1"/>
    <x v="6"/>
    <x v="415"/>
    <x v="3"/>
    <x v="11"/>
  </r>
  <r>
    <d v="2023-04-29T22:09:38"/>
    <x v="0"/>
    <x v="1020"/>
    <x v="1"/>
    <x v="4"/>
    <x v="0"/>
    <x v="1"/>
    <x v="0"/>
    <x v="0"/>
    <n v="4"/>
    <x v="6"/>
    <x v="1"/>
    <x v="6"/>
    <x v="200"/>
    <x v="0"/>
    <x v="2"/>
  </r>
  <r>
    <d v="2023-04-29T22:11:58"/>
    <x v="0"/>
    <x v="977"/>
    <x v="1"/>
    <x v="2"/>
    <x v="1"/>
    <x v="0"/>
    <x v="0"/>
    <x v="0"/>
    <n v="10"/>
    <x v="1"/>
    <x v="1"/>
    <x v="6"/>
    <x v="125"/>
    <x v="0"/>
    <x v="4"/>
  </r>
  <r>
    <d v="2023-04-29T22:13:31"/>
    <x v="0"/>
    <x v="1021"/>
    <x v="0"/>
    <x v="2"/>
    <x v="2"/>
    <x v="0"/>
    <x v="0"/>
    <x v="0"/>
    <n v="3"/>
    <x v="6"/>
    <x v="1"/>
    <x v="22"/>
    <x v="400"/>
    <x v="1"/>
    <x v="1"/>
  </r>
  <r>
    <d v="2023-04-29T22:15:31"/>
    <x v="0"/>
    <x v="866"/>
    <x v="1"/>
    <x v="2"/>
    <x v="1"/>
    <x v="0"/>
    <x v="0"/>
    <x v="0"/>
    <n v="4"/>
    <x v="5"/>
    <x v="1"/>
    <x v="9"/>
    <x v="205"/>
    <x v="0"/>
    <x v="2"/>
  </r>
  <r>
    <d v="2023-04-29T22:18:16"/>
    <x v="1"/>
    <x v="1022"/>
    <x v="1"/>
    <x v="0"/>
    <x v="1"/>
    <x v="1"/>
    <x v="0"/>
    <x v="0"/>
    <n v="5"/>
    <x v="6"/>
    <x v="1"/>
    <x v="9"/>
    <x v="140"/>
    <x v="0"/>
    <x v="1"/>
  </r>
  <r>
    <d v="2023-04-29T22:20:03"/>
    <x v="0"/>
    <x v="131"/>
    <x v="0"/>
    <x v="1"/>
    <x v="2"/>
    <x v="0"/>
    <x v="0"/>
    <x v="0"/>
    <n v="6"/>
    <x v="3"/>
    <x v="1"/>
    <x v="10"/>
    <x v="159"/>
    <x v="1"/>
    <x v="1"/>
  </r>
  <r>
    <d v="2023-04-29T22:22:02"/>
    <x v="0"/>
    <x v="406"/>
    <x v="1"/>
    <x v="0"/>
    <x v="2"/>
    <x v="0"/>
    <x v="0"/>
    <x v="0"/>
    <n v="3"/>
    <x v="5"/>
    <x v="1"/>
    <x v="6"/>
    <x v="547"/>
    <x v="0"/>
    <x v="1"/>
  </r>
  <r>
    <d v="2023-04-29T22:22:46"/>
    <x v="0"/>
    <x v="1023"/>
    <x v="0"/>
    <x v="1"/>
    <x v="2"/>
    <x v="0"/>
    <x v="1"/>
    <x v="0"/>
    <n v="6"/>
    <x v="1"/>
    <x v="2"/>
    <x v="18"/>
    <x v="198"/>
    <x v="2"/>
    <x v="1"/>
  </r>
  <r>
    <d v="2023-04-29T22:27:03"/>
    <x v="0"/>
    <x v="39"/>
    <x v="0"/>
    <x v="4"/>
    <x v="0"/>
    <x v="1"/>
    <x v="1"/>
    <x v="0"/>
    <n v="7"/>
    <x v="3"/>
    <x v="1"/>
    <x v="6"/>
    <x v="548"/>
    <x v="4"/>
    <x v="4"/>
  </r>
  <r>
    <d v="2023-04-29T22:37:26"/>
    <x v="0"/>
    <x v="228"/>
    <x v="1"/>
    <x v="2"/>
    <x v="0"/>
    <x v="1"/>
    <x v="0"/>
    <x v="0"/>
    <n v="2"/>
    <x v="6"/>
    <x v="0"/>
    <x v="9"/>
    <x v="141"/>
    <x v="0"/>
    <x v="1"/>
  </r>
  <r>
    <d v="2023-04-29T22:45:13"/>
    <x v="0"/>
    <x v="1024"/>
    <x v="1"/>
    <x v="4"/>
    <x v="0"/>
    <x v="1"/>
    <x v="0"/>
    <x v="1"/>
    <n v="5"/>
    <x v="5"/>
    <x v="2"/>
    <x v="11"/>
    <x v="348"/>
    <x v="0"/>
    <x v="4"/>
  </r>
  <r>
    <d v="2023-04-29T22:47:03"/>
    <x v="0"/>
    <x v="1025"/>
    <x v="1"/>
    <x v="4"/>
    <x v="2"/>
    <x v="0"/>
    <x v="0"/>
    <x v="1"/>
    <n v="7"/>
    <x v="1"/>
    <x v="1"/>
    <x v="9"/>
    <x v="179"/>
    <x v="1"/>
    <x v="1"/>
  </r>
  <r>
    <d v="2023-04-29T22:53:10"/>
    <x v="0"/>
    <x v="1026"/>
    <x v="1"/>
    <x v="4"/>
    <x v="0"/>
    <x v="0"/>
    <x v="0"/>
    <x v="1"/>
    <n v="10"/>
    <x v="3"/>
    <x v="2"/>
    <x v="9"/>
    <x v="116"/>
    <x v="2"/>
    <x v="1"/>
  </r>
  <r>
    <d v="2023-04-29T22:54:43"/>
    <x v="0"/>
    <x v="1027"/>
    <x v="1"/>
    <x v="4"/>
    <x v="2"/>
    <x v="1"/>
    <x v="0"/>
    <x v="0"/>
    <n v="2"/>
    <x v="3"/>
    <x v="2"/>
    <x v="17"/>
    <x v="316"/>
    <x v="0"/>
    <x v="1"/>
  </r>
  <r>
    <d v="2023-04-29T22:59:26"/>
    <x v="5"/>
    <x v="1028"/>
    <x v="1"/>
    <x v="0"/>
    <x v="2"/>
    <x v="0"/>
    <x v="0"/>
    <x v="0"/>
    <n v="4"/>
    <x v="6"/>
    <x v="2"/>
    <x v="18"/>
    <x v="129"/>
    <x v="2"/>
    <x v="1"/>
  </r>
  <r>
    <d v="2023-04-29T23:02:12"/>
    <x v="0"/>
    <x v="362"/>
    <x v="0"/>
    <x v="1"/>
    <x v="0"/>
    <x v="0"/>
    <x v="0"/>
    <x v="1"/>
    <n v="2"/>
    <x v="6"/>
    <x v="2"/>
    <x v="14"/>
    <x v="353"/>
    <x v="2"/>
    <x v="1"/>
  </r>
  <r>
    <d v="2023-04-29T23:08:46"/>
    <x v="0"/>
    <x v="1029"/>
    <x v="1"/>
    <x v="3"/>
    <x v="1"/>
    <x v="0"/>
    <x v="0"/>
    <x v="0"/>
    <n v="1"/>
    <x v="5"/>
    <x v="1"/>
    <x v="9"/>
    <x v="338"/>
    <x v="0"/>
    <x v="1"/>
  </r>
  <r>
    <d v="2023-04-29T23:16:50"/>
    <x v="0"/>
    <x v="39"/>
    <x v="0"/>
    <x v="0"/>
    <x v="0"/>
    <x v="1"/>
    <x v="0"/>
    <x v="0"/>
    <n v="4"/>
    <x v="1"/>
    <x v="2"/>
    <x v="9"/>
    <x v="143"/>
    <x v="1"/>
    <x v="7"/>
  </r>
  <r>
    <d v="2023-04-30T00:00:52"/>
    <x v="0"/>
    <x v="46"/>
    <x v="0"/>
    <x v="4"/>
    <x v="0"/>
    <x v="0"/>
    <x v="0"/>
    <x v="0"/>
    <n v="3"/>
    <x v="6"/>
    <x v="1"/>
    <x v="9"/>
    <x v="416"/>
    <x v="1"/>
    <x v="1"/>
  </r>
  <r>
    <d v="2023-04-30T00:38:54"/>
    <x v="0"/>
    <x v="1030"/>
    <x v="1"/>
    <x v="3"/>
    <x v="0"/>
    <x v="0"/>
    <x v="0"/>
    <x v="0"/>
    <n v="6"/>
    <x v="1"/>
    <x v="1"/>
    <x v="6"/>
    <x v="143"/>
    <x v="0"/>
    <x v="6"/>
  </r>
  <r>
    <d v="2023-04-30T00:40:10"/>
    <x v="0"/>
    <x v="1031"/>
    <x v="0"/>
    <x v="4"/>
    <x v="0"/>
    <x v="0"/>
    <x v="0"/>
    <x v="0"/>
    <n v="5"/>
    <x v="6"/>
    <x v="2"/>
    <x v="19"/>
    <x v="96"/>
    <x v="0"/>
    <x v="1"/>
  </r>
  <r>
    <d v="2023-04-30T00:50:43"/>
    <x v="0"/>
    <x v="1032"/>
    <x v="0"/>
    <x v="2"/>
    <x v="0"/>
    <x v="0"/>
    <x v="0"/>
    <x v="0"/>
    <n v="5"/>
    <x v="5"/>
    <x v="0"/>
    <x v="6"/>
    <x v="310"/>
    <x v="0"/>
    <x v="11"/>
  </r>
  <r>
    <d v="2023-04-30T01:01:42"/>
    <x v="0"/>
    <x v="177"/>
    <x v="1"/>
    <x v="0"/>
    <x v="2"/>
    <x v="1"/>
    <x v="0"/>
    <x v="0"/>
    <n v="7"/>
    <x v="5"/>
    <x v="1"/>
    <x v="11"/>
    <x v="201"/>
    <x v="3"/>
    <x v="7"/>
  </r>
  <r>
    <d v="2023-04-30T01:08:39"/>
    <x v="3"/>
    <x v="1033"/>
    <x v="1"/>
    <x v="1"/>
    <x v="0"/>
    <x v="0"/>
    <x v="0"/>
    <x v="0"/>
    <n v="5"/>
    <x v="5"/>
    <x v="1"/>
    <x v="11"/>
    <x v="109"/>
    <x v="3"/>
    <x v="1"/>
  </r>
  <r>
    <d v="2023-04-30T03:43:00"/>
    <x v="0"/>
    <x v="1034"/>
    <x v="0"/>
    <x v="3"/>
    <x v="0"/>
    <x v="1"/>
    <x v="0"/>
    <x v="0"/>
    <n v="4"/>
    <x v="6"/>
    <x v="1"/>
    <x v="25"/>
    <x v="549"/>
    <x v="3"/>
    <x v="1"/>
  </r>
  <r>
    <d v="2023-04-30T04:24:12"/>
    <x v="0"/>
    <x v="904"/>
    <x v="0"/>
    <x v="3"/>
    <x v="2"/>
    <x v="3"/>
    <x v="0"/>
    <x v="0"/>
    <n v="5"/>
    <x v="1"/>
    <x v="0"/>
    <x v="9"/>
    <x v="318"/>
    <x v="0"/>
    <x v="7"/>
  </r>
  <r>
    <d v="2023-04-30T07:12:03"/>
    <x v="0"/>
    <x v="1021"/>
    <x v="0"/>
    <x v="4"/>
    <x v="1"/>
    <x v="3"/>
    <x v="0"/>
    <x v="0"/>
    <n v="4"/>
    <x v="3"/>
    <x v="1"/>
    <x v="11"/>
    <x v="488"/>
    <x v="0"/>
    <x v="3"/>
  </r>
  <r>
    <d v="2023-04-30T07:23:30"/>
    <x v="0"/>
    <x v="946"/>
    <x v="1"/>
    <x v="4"/>
    <x v="1"/>
    <x v="3"/>
    <x v="1"/>
    <x v="0"/>
    <n v="5"/>
    <x v="5"/>
    <x v="2"/>
    <x v="6"/>
    <x v="107"/>
    <x v="1"/>
    <x v="1"/>
  </r>
  <r>
    <d v="2023-04-30T07:45:16"/>
    <x v="0"/>
    <x v="866"/>
    <x v="1"/>
    <x v="4"/>
    <x v="0"/>
    <x v="0"/>
    <x v="0"/>
    <x v="0"/>
    <n v="1"/>
    <x v="6"/>
    <x v="1"/>
    <x v="17"/>
    <x v="325"/>
    <x v="0"/>
    <x v="4"/>
  </r>
  <r>
    <d v="2023-04-30T07:56:45"/>
    <x v="0"/>
    <x v="321"/>
    <x v="1"/>
    <x v="2"/>
    <x v="1"/>
    <x v="0"/>
    <x v="0"/>
    <x v="0"/>
    <n v="6"/>
    <x v="6"/>
    <x v="1"/>
    <x v="9"/>
    <x v="550"/>
    <x v="0"/>
    <x v="4"/>
  </r>
  <r>
    <d v="2023-04-30T08:36:21"/>
    <x v="0"/>
    <x v="1035"/>
    <x v="1"/>
    <x v="4"/>
    <x v="2"/>
    <x v="0"/>
    <x v="0"/>
    <x v="0"/>
    <n v="1"/>
    <x v="0"/>
    <x v="2"/>
    <x v="9"/>
    <x v="164"/>
    <x v="2"/>
    <x v="3"/>
  </r>
  <r>
    <d v="2023-04-30T10:01:45"/>
    <x v="0"/>
    <x v="992"/>
    <x v="1"/>
    <x v="2"/>
    <x v="1"/>
    <x v="1"/>
    <x v="0"/>
    <x v="0"/>
    <n v="6"/>
    <x v="1"/>
    <x v="0"/>
    <x v="8"/>
    <x v="95"/>
    <x v="1"/>
    <x v="3"/>
  </r>
  <r>
    <d v="2023-04-30T10:06:37"/>
    <x v="0"/>
    <x v="1036"/>
    <x v="0"/>
    <x v="4"/>
    <x v="2"/>
    <x v="0"/>
    <x v="0"/>
    <x v="0"/>
    <n v="5"/>
    <x v="6"/>
    <x v="2"/>
    <x v="14"/>
    <x v="229"/>
    <x v="2"/>
    <x v="7"/>
  </r>
  <r>
    <d v="2023-04-30T10:19:04"/>
    <x v="3"/>
    <x v="1037"/>
    <x v="1"/>
    <x v="2"/>
    <x v="0"/>
    <x v="3"/>
    <x v="0"/>
    <x v="1"/>
    <n v="8"/>
    <x v="1"/>
    <x v="1"/>
    <x v="24"/>
    <x v="219"/>
    <x v="1"/>
    <x v="7"/>
  </r>
  <r>
    <d v="2023-04-30T10:36:44"/>
    <x v="0"/>
    <x v="590"/>
    <x v="0"/>
    <x v="3"/>
    <x v="2"/>
    <x v="0"/>
    <x v="1"/>
    <x v="0"/>
    <n v="5"/>
    <x v="5"/>
    <x v="1"/>
    <x v="11"/>
    <x v="373"/>
    <x v="0"/>
    <x v="1"/>
  </r>
  <r>
    <d v="2023-04-30T10:48:23"/>
    <x v="0"/>
    <x v="976"/>
    <x v="1"/>
    <x v="4"/>
    <x v="0"/>
    <x v="1"/>
    <x v="0"/>
    <x v="0"/>
    <n v="8"/>
    <x v="1"/>
    <x v="1"/>
    <x v="7"/>
    <x v="292"/>
    <x v="1"/>
    <x v="6"/>
  </r>
  <r>
    <d v="2023-04-30T11:09:59"/>
    <x v="0"/>
    <x v="1038"/>
    <x v="1"/>
    <x v="4"/>
    <x v="0"/>
    <x v="1"/>
    <x v="0"/>
    <x v="0"/>
    <n v="9"/>
    <x v="6"/>
    <x v="2"/>
    <x v="18"/>
    <x v="114"/>
    <x v="0"/>
    <x v="0"/>
  </r>
  <r>
    <d v="2023-04-30T11:27:56"/>
    <x v="0"/>
    <x v="949"/>
    <x v="0"/>
    <x v="2"/>
    <x v="2"/>
    <x v="1"/>
    <x v="0"/>
    <x v="1"/>
    <n v="10"/>
    <x v="3"/>
    <x v="1"/>
    <x v="15"/>
    <x v="389"/>
    <x v="0"/>
    <x v="4"/>
  </r>
  <r>
    <d v="2023-04-30T12:24:51"/>
    <x v="0"/>
    <x v="1039"/>
    <x v="0"/>
    <x v="0"/>
    <x v="2"/>
    <x v="1"/>
    <x v="0"/>
    <x v="0"/>
    <n v="8"/>
    <x v="1"/>
    <x v="2"/>
    <x v="7"/>
    <x v="426"/>
    <x v="2"/>
    <x v="7"/>
  </r>
  <r>
    <d v="2023-04-30T12:29:16"/>
    <x v="0"/>
    <x v="835"/>
    <x v="1"/>
    <x v="3"/>
    <x v="1"/>
    <x v="1"/>
    <x v="1"/>
    <x v="1"/>
    <n v="7"/>
    <x v="5"/>
    <x v="1"/>
    <x v="11"/>
    <x v="551"/>
    <x v="0"/>
    <x v="3"/>
  </r>
  <r>
    <d v="2023-04-30T12:31:17"/>
    <x v="0"/>
    <x v="773"/>
    <x v="0"/>
    <x v="0"/>
    <x v="0"/>
    <x v="0"/>
    <x v="0"/>
    <x v="0"/>
    <n v="8"/>
    <x v="1"/>
    <x v="1"/>
    <x v="8"/>
    <x v="521"/>
    <x v="1"/>
    <x v="0"/>
  </r>
  <r>
    <d v="2023-04-30T12:35:37"/>
    <x v="0"/>
    <x v="1040"/>
    <x v="0"/>
    <x v="4"/>
    <x v="1"/>
    <x v="0"/>
    <x v="0"/>
    <x v="0"/>
    <n v="1"/>
    <x v="3"/>
    <x v="0"/>
    <x v="6"/>
    <x v="449"/>
    <x v="0"/>
    <x v="5"/>
  </r>
  <r>
    <d v="2023-04-30T12:40:26"/>
    <x v="0"/>
    <x v="773"/>
    <x v="1"/>
    <x v="4"/>
    <x v="2"/>
    <x v="0"/>
    <x v="0"/>
    <x v="0"/>
    <n v="3"/>
    <x v="3"/>
    <x v="2"/>
    <x v="14"/>
    <x v="301"/>
    <x v="1"/>
    <x v="4"/>
  </r>
  <r>
    <d v="2023-04-30T12:41:09"/>
    <x v="0"/>
    <x v="688"/>
    <x v="0"/>
    <x v="4"/>
    <x v="2"/>
    <x v="1"/>
    <x v="0"/>
    <x v="0"/>
    <n v="9"/>
    <x v="3"/>
    <x v="2"/>
    <x v="6"/>
    <x v="363"/>
    <x v="0"/>
    <x v="1"/>
  </r>
  <r>
    <d v="2023-04-30T13:03:30"/>
    <x v="0"/>
    <x v="1041"/>
    <x v="0"/>
    <x v="4"/>
    <x v="1"/>
    <x v="0"/>
    <x v="0"/>
    <x v="0"/>
    <n v="1"/>
    <x v="6"/>
    <x v="1"/>
    <x v="6"/>
    <x v="552"/>
    <x v="2"/>
    <x v="3"/>
  </r>
  <r>
    <d v="2023-04-30T13:05:44"/>
    <x v="0"/>
    <x v="1042"/>
    <x v="0"/>
    <x v="1"/>
    <x v="0"/>
    <x v="1"/>
    <x v="0"/>
    <x v="0"/>
    <n v="1"/>
    <x v="3"/>
    <x v="2"/>
    <x v="7"/>
    <x v="284"/>
    <x v="0"/>
    <x v="7"/>
  </r>
  <r>
    <d v="2023-04-30T13:06:00"/>
    <x v="0"/>
    <x v="1021"/>
    <x v="0"/>
    <x v="1"/>
    <x v="0"/>
    <x v="0"/>
    <x v="1"/>
    <x v="1"/>
    <n v="10"/>
    <x v="5"/>
    <x v="2"/>
    <x v="13"/>
    <x v="182"/>
    <x v="2"/>
    <x v="14"/>
  </r>
  <r>
    <d v="2023-04-30T13:20:06"/>
    <x v="0"/>
    <x v="50"/>
    <x v="0"/>
    <x v="2"/>
    <x v="2"/>
    <x v="1"/>
    <x v="1"/>
    <x v="0"/>
    <n v="8"/>
    <x v="1"/>
    <x v="1"/>
    <x v="11"/>
    <x v="146"/>
    <x v="0"/>
    <x v="1"/>
  </r>
  <r>
    <d v="2023-04-30T13:24:13"/>
    <x v="0"/>
    <x v="1043"/>
    <x v="1"/>
    <x v="4"/>
    <x v="2"/>
    <x v="1"/>
    <x v="0"/>
    <x v="0"/>
    <n v="3"/>
    <x v="3"/>
    <x v="2"/>
    <x v="11"/>
    <x v="444"/>
    <x v="1"/>
    <x v="3"/>
  </r>
  <r>
    <d v="2023-04-30T13:40:12"/>
    <x v="0"/>
    <x v="1044"/>
    <x v="0"/>
    <x v="4"/>
    <x v="2"/>
    <x v="3"/>
    <x v="0"/>
    <x v="0"/>
    <n v="7"/>
    <x v="3"/>
    <x v="1"/>
    <x v="6"/>
    <x v="243"/>
    <x v="2"/>
    <x v="7"/>
  </r>
  <r>
    <d v="2023-04-30T13:45:12"/>
    <x v="0"/>
    <x v="773"/>
    <x v="0"/>
    <x v="0"/>
    <x v="0"/>
    <x v="0"/>
    <x v="1"/>
    <x v="1"/>
    <n v="2"/>
    <x v="6"/>
    <x v="3"/>
    <x v="14"/>
    <x v="359"/>
    <x v="4"/>
    <x v="7"/>
  </r>
  <r>
    <d v="2023-04-30T13:51:04"/>
    <x v="0"/>
    <x v="1045"/>
    <x v="0"/>
    <x v="2"/>
    <x v="2"/>
    <x v="0"/>
    <x v="0"/>
    <x v="0"/>
    <n v="3"/>
    <x v="1"/>
    <x v="1"/>
    <x v="11"/>
    <x v="197"/>
    <x v="3"/>
    <x v="7"/>
  </r>
  <r>
    <d v="2023-04-30T14:08:48"/>
    <x v="0"/>
    <x v="768"/>
    <x v="0"/>
    <x v="0"/>
    <x v="0"/>
    <x v="1"/>
    <x v="0"/>
    <x v="0"/>
    <n v="5"/>
    <x v="5"/>
    <x v="1"/>
    <x v="11"/>
    <x v="196"/>
    <x v="1"/>
    <x v="1"/>
  </r>
  <r>
    <d v="2023-04-30T14:20:31"/>
    <x v="0"/>
    <x v="1046"/>
    <x v="0"/>
    <x v="4"/>
    <x v="2"/>
    <x v="0"/>
    <x v="1"/>
    <x v="1"/>
    <n v="9"/>
    <x v="1"/>
    <x v="0"/>
    <x v="21"/>
    <x v="284"/>
    <x v="0"/>
    <x v="7"/>
  </r>
  <r>
    <d v="2023-04-30T14:43:47"/>
    <x v="0"/>
    <x v="745"/>
    <x v="0"/>
    <x v="2"/>
    <x v="0"/>
    <x v="0"/>
    <x v="0"/>
    <x v="0"/>
    <n v="6"/>
    <x v="1"/>
    <x v="2"/>
    <x v="22"/>
    <x v="506"/>
    <x v="0"/>
    <x v="5"/>
  </r>
  <r>
    <d v="2023-04-30T14:57:23"/>
    <x v="0"/>
    <x v="773"/>
    <x v="1"/>
    <x v="2"/>
    <x v="2"/>
    <x v="0"/>
    <x v="0"/>
    <x v="0"/>
    <n v="1"/>
    <x v="1"/>
    <x v="0"/>
    <x v="17"/>
    <x v="114"/>
    <x v="0"/>
    <x v="3"/>
  </r>
  <r>
    <d v="2023-04-30T15:11:13"/>
    <x v="0"/>
    <x v="773"/>
    <x v="0"/>
    <x v="2"/>
    <x v="2"/>
    <x v="0"/>
    <x v="0"/>
    <x v="0"/>
    <n v="5"/>
    <x v="6"/>
    <x v="1"/>
    <x v="17"/>
    <x v="126"/>
    <x v="0"/>
    <x v="3"/>
  </r>
  <r>
    <d v="2023-04-30T15:25:13"/>
    <x v="0"/>
    <x v="1040"/>
    <x v="0"/>
    <x v="4"/>
    <x v="2"/>
    <x v="0"/>
    <x v="0"/>
    <x v="0"/>
    <n v="4"/>
    <x v="6"/>
    <x v="1"/>
    <x v="16"/>
    <x v="331"/>
    <x v="0"/>
    <x v="1"/>
  </r>
  <r>
    <d v="2023-04-30T15:52:07"/>
    <x v="0"/>
    <x v="183"/>
    <x v="0"/>
    <x v="1"/>
    <x v="0"/>
    <x v="0"/>
    <x v="0"/>
    <x v="0"/>
    <n v="4"/>
    <x v="1"/>
    <x v="1"/>
    <x v="9"/>
    <x v="149"/>
    <x v="0"/>
    <x v="1"/>
  </r>
  <r>
    <d v="2023-04-30T16:00:13"/>
    <x v="0"/>
    <x v="1047"/>
    <x v="1"/>
    <x v="3"/>
    <x v="0"/>
    <x v="0"/>
    <x v="1"/>
    <x v="0"/>
    <n v="7"/>
    <x v="1"/>
    <x v="1"/>
    <x v="10"/>
    <x v="318"/>
    <x v="0"/>
    <x v="3"/>
  </r>
  <r>
    <d v="2023-04-30T16:04:51"/>
    <x v="0"/>
    <x v="89"/>
    <x v="0"/>
    <x v="3"/>
    <x v="0"/>
    <x v="0"/>
    <x v="0"/>
    <x v="0"/>
    <n v="2"/>
    <x v="6"/>
    <x v="1"/>
    <x v="8"/>
    <x v="96"/>
    <x v="0"/>
    <x v="1"/>
  </r>
  <r>
    <d v="2023-04-30T17:49:15"/>
    <x v="0"/>
    <x v="768"/>
    <x v="0"/>
    <x v="1"/>
    <x v="0"/>
    <x v="1"/>
    <x v="1"/>
    <x v="1"/>
    <n v="3"/>
    <x v="3"/>
    <x v="1"/>
    <x v="19"/>
    <x v="553"/>
    <x v="0"/>
    <x v="2"/>
  </r>
  <r>
    <d v="2023-04-30T18:06:43"/>
    <x v="0"/>
    <x v="515"/>
    <x v="0"/>
    <x v="3"/>
    <x v="2"/>
    <x v="3"/>
    <x v="1"/>
    <x v="0"/>
    <n v="10"/>
    <x v="3"/>
    <x v="2"/>
    <x v="16"/>
    <x v="521"/>
    <x v="2"/>
    <x v="7"/>
  </r>
  <r>
    <d v="2023-04-30T18:20:18"/>
    <x v="0"/>
    <x v="793"/>
    <x v="0"/>
    <x v="0"/>
    <x v="2"/>
    <x v="0"/>
    <x v="0"/>
    <x v="0"/>
    <n v="2"/>
    <x v="3"/>
    <x v="1"/>
    <x v="11"/>
    <x v="309"/>
    <x v="2"/>
    <x v="3"/>
  </r>
  <r>
    <d v="2023-04-30T19:15:36"/>
    <x v="3"/>
    <x v="1048"/>
    <x v="0"/>
    <x v="4"/>
    <x v="0"/>
    <x v="1"/>
    <x v="0"/>
    <x v="0"/>
    <n v="5"/>
    <x v="1"/>
    <x v="1"/>
    <x v="8"/>
    <x v="353"/>
    <x v="1"/>
    <x v="3"/>
  </r>
  <r>
    <d v="2023-04-30T19:51:30"/>
    <x v="0"/>
    <x v="949"/>
    <x v="1"/>
    <x v="4"/>
    <x v="1"/>
    <x v="0"/>
    <x v="0"/>
    <x v="0"/>
    <n v="7"/>
    <x v="6"/>
    <x v="0"/>
    <x v="7"/>
    <x v="171"/>
    <x v="0"/>
    <x v="8"/>
  </r>
  <r>
    <d v="2023-04-30T20:40:07"/>
    <x v="0"/>
    <x v="651"/>
    <x v="0"/>
    <x v="2"/>
    <x v="1"/>
    <x v="3"/>
    <x v="0"/>
    <x v="1"/>
    <n v="7"/>
    <x v="5"/>
    <x v="2"/>
    <x v="6"/>
    <x v="522"/>
    <x v="0"/>
    <x v="1"/>
  </r>
  <r>
    <d v="2023-04-30T20:44:26"/>
    <x v="0"/>
    <x v="186"/>
    <x v="0"/>
    <x v="4"/>
    <x v="0"/>
    <x v="0"/>
    <x v="0"/>
    <x v="0"/>
    <n v="1"/>
    <x v="1"/>
    <x v="2"/>
    <x v="11"/>
    <x v="108"/>
    <x v="0"/>
    <x v="3"/>
  </r>
  <r>
    <d v="2023-04-30T21:01:53"/>
    <x v="0"/>
    <x v="660"/>
    <x v="1"/>
    <x v="4"/>
    <x v="2"/>
    <x v="1"/>
    <x v="0"/>
    <x v="0"/>
    <n v="8"/>
    <x v="6"/>
    <x v="1"/>
    <x v="17"/>
    <x v="554"/>
    <x v="0"/>
    <x v="15"/>
  </r>
  <r>
    <d v="2023-04-30T21:14:22"/>
    <x v="0"/>
    <x v="1001"/>
    <x v="1"/>
    <x v="4"/>
    <x v="2"/>
    <x v="1"/>
    <x v="0"/>
    <x v="0"/>
    <n v="2"/>
    <x v="3"/>
    <x v="2"/>
    <x v="9"/>
    <x v="555"/>
    <x v="1"/>
    <x v="1"/>
  </r>
  <r>
    <d v="2023-04-30T21:33:00"/>
    <x v="0"/>
    <x v="350"/>
    <x v="0"/>
    <x v="4"/>
    <x v="1"/>
    <x v="1"/>
    <x v="0"/>
    <x v="0"/>
    <n v="6"/>
    <x v="5"/>
    <x v="1"/>
    <x v="6"/>
    <x v="289"/>
    <x v="0"/>
    <x v="8"/>
  </r>
  <r>
    <d v="2023-04-30T21:45:59"/>
    <x v="0"/>
    <x v="1049"/>
    <x v="0"/>
    <x v="2"/>
    <x v="1"/>
    <x v="0"/>
    <x v="1"/>
    <x v="1"/>
    <n v="8"/>
    <x v="6"/>
    <x v="2"/>
    <x v="9"/>
    <x v="111"/>
    <x v="2"/>
    <x v="0"/>
  </r>
  <r>
    <d v="2023-04-30T21:53:26"/>
    <x v="0"/>
    <x v="1050"/>
    <x v="0"/>
    <x v="1"/>
    <x v="0"/>
    <x v="1"/>
    <x v="0"/>
    <x v="1"/>
    <n v="3"/>
    <x v="6"/>
    <x v="2"/>
    <x v="9"/>
    <x v="503"/>
    <x v="1"/>
    <x v="12"/>
  </r>
  <r>
    <d v="2023-04-30T22:04:35"/>
    <x v="1"/>
    <x v="1051"/>
    <x v="0"/>
    <x v="0"/>
    <x v="1"/>
    <x v="1"/>
    <x v="0"/>
    <x v="0"/>
    <n v="10"/>
    <x v="3"/>
    <x v="0"/>
    <x v="17"/>
    <x v="412"/>
    <x v="0"/>
    <x v="1"/>
  </r>
  <r>
    <d v="2023-04-30T22:21:42"/>
    <x v="0"/>
    <x v="1001"/>
    <x v="0"/>
    <x v="4"/>
    <x v="1"/>
    <x v="1"/>
    <x v="1"/>
    <x v="1"/>
    <n v="5"/>
    <x v="3"/>
    <x v="2"/>
    <x v="9"/>
    <x v="428"/>
    <x v="0"/>
    <x v="1"/>
  </r>
  <r>
    <d v="2023-04-30T22:52:18"/>
    <x v="0"/>
    <x v="1052"/>
    <x v="0"/>
    <x v="4"/>
    <x v="1"/>
    <x v="1"/>
    <x v="0"/>
    <x v="0"/>
    <n v="7"/>
    <x v="6"/>
    <x v="1"/>
    <x v="8"/>
    <x v="194"/>
    <x v="0"/>
    <x v="1"/>
  </r>
  <r>
    <d v="2023-04-30T23:51:56"/>
    <x v="0"/>
    <x v="190"/>
    <x v="0"/>
    <x v="3"/>
    <x v="0"/>
    <x v="1"/>
    <x v="0"/>
    <x v="0"/>
    <n v="6"/>
    <x v="6"/>
    <x v="0"/>
    <x v="9"/>
    <x v="556"/>
    <x v="0"/>
    <x v="1"/>
  </r>
  <r>
    <d v="2023-04-30T23:56:15"/>
    <x v="0"/>
    <x v="1053"/>
    <x v="0"/>
    <x v="3"/>
    <x v="0"/>
    <x v="0"/>
    <x v="1"/>
    <x v="1"/>
    <n v="5"/>
    <x v="3"/>
    <x v="2"/>
    <x v="20"/>
    <x v="492"/>
    <x v="3"/>
    <x v="6"/>
  </r>
  <r>
    <d v="2023-05-01T00:03:28"/>
    <x v="0"/>
    <x v="773"/>
    <x v="0"/>
    <x v="0"/>
    <x v="2"/>
    <x v="0"/>
    <x v="0"/>
    <x v="0"/>
    <n v="5"/>
    <x v="6"/>
    <x v="2"/>
    <x v="22"/>
    <x v="317"/>
    <x v="2"/>
    <x v="1"/>
  </r>
  <r>
    <d v="2023-05-01T00:08:15"/>
    <x v="0"/>
    <x v="206"/>
    <x v="1"/>
    <x v="4"/>
    <x v="0"/>
    <x v="0"/>
    <x v="1"/>
    <x v="1"/>
    <n v="9"/>
    <x v="0"/>
    <x v="1"/>
    <x v="8"/>
    <x v="197"/>
    <x v="0"/>
    <x v="2"/>
  </r>
  <r>
    <d v="2023-05-01T00:30:50"/>
    <x v="0"/>
    <x v="975"/>
    <x v="0"/>
    <x v="0"/>
    <x v="2"/>
    <x v="1"/>
    <x v="0"/>
    <x v="0"/>
    <n v="6"/>
    <x v="6"/>
    <x v="0"/>
    <x v="17"/>
    <x v="153"/>
    <x v="0"/>
    <x v="1"/>
  </r>
  <r>
    <d v="2023-05-01T01:06:10"/>
    <x v="0"/>
    <x v="378"/>
    <x v="0"/>
    <x v="4"/>
    <x v="0"/>
    <x v="0"/>
    <x v="0"/>
    <x v="0"/>
    <n v="1"/>
    <x v="6"/>
    <x v="1"/>
    <x v="12"/>
    <x v="109"/>
    <x v="2"/>
    <x v="3"/>
  </r>
  <r>
    <d v="2023-05-01T01:49:12"/>
    <x v="0"/>
    <x v="406"/>
    <x v="0"/>
    <x v="1"/>
    <x v="0"/>
    <x v="1"/>
    <x v="1"/>
    <x v="0"/>
    <n v="10"/>
    <x v="6"/>
    <x v="2"/>
    <x v="14"/>
    <x v="473"/>
    <x v="0"/>
    <x v="3"/>
  </r>
  <r>
    <d v="2023-05-01T01:51:11"/>
    <x v="0"/>
    <x v="406"/>
    <x v="1"/>
    <x v="4"/>
    <x v="1"/>
    <x v="0"/>
    <x v="0"/>
    <x v="0"/>
    <n v="3"/>
    <x v="1"/>
    <x v="3"/>
    <x v="6"/>
    <x v="557"/>
    <x v="1"/>
    <x v="3"/>
  </r>
  <r>
    <d v="2023-05-01T01:54:09"/>
    <x v="0"/>
    <x v="937"/>
    <x v="1"/>
    <x v="0"/>
    <x v="2"/>
    <x v="0"/>
    <x v="1"/>
    <x v="0"/>
    <n v="6"/>
    <x v="0"/>
    <x v="1"/>
    <x v="6"/>
    <x v="276"/>
    <x v="0"/>
    <x v="7"/>
  </r>
  <r>
    <d v="2023-05-01T07:14:04"/>
    <x v="0"/>
    <x v="522"/>
    <x v="1"/>
    <x v="3"/>
    <x v="0"/>
    <x v="0"/>
    <x v="0"/>
    <x v="0"/>
    <n v="3"/>
    <x v="6"/>
    <x v="1"/>
    <x v="16"/>
    <x v="530"/>
    <x v="0"/>
    <x v="1"/>
  </r>
  <r>
    <d v="2023-05-01T07:47:00"/>
    <x v="0"/>
    <x v="950"/>
    <x v="0"/>
    <x v="1"/>
    <x v="2"/>
    <x v="1"/>
    <x v="0"/>
    <x v="0"/>
    <n v="5"/>
    <x v="0"/>
    <x v="1"/>
    <x v="13"/>
    <x v="537"/>
    <x v="1"/>
    <x v="13"/>
  </r>
  <r>
    <d v="2023-05-01T08:42:20"/>
    <x v="0"/>
    <x v="965"/>
    <x v="0"/>
    <x v="0"/>
    <x v="2"/>
    <x v="0"/>
    <x v="1"/>
    <x v="0"/>
    <n v="5"/>
    <x v="1"/>
    <x v="2"/>
    <x v="9"/>
    <x v="135"/>
    <x v="1"/>
    <x v="2"/>
  </r>
  <r>
    <d v="2023-05-01T09:09:27"/>
    <x v="0"/>
    <x v="975"/>
    <x v="0"/>
    <x v="0"/>
    <x v="0"/>
    <x v="1"/>
    <x v="1"/>
    <x v="1"/>
    <n v="6"/>
    <x v="3"/>
    <x v="1"/>
    <x v="8"/>
    <x v="148"/>
    <x v="3"/>
    <x v="7"/>
  </r>
  <r>
    <d v="2023-05-01T09:39:13"/>
    <x v="0"/>
    <x v="1054"/>
    <x v="1"/>
    <x v="2"/>
    <x v="0"/>
    <x v="0"/>
    <x v="0"/>
    <x v="1"/>
    <n v="6"/>
    <x v="6"/>
    <x v="1"/>
    <x v="11"/>
    <x v="558"/>
    <x v="0"/>
    <x v="1"/>
  </r>
  <r>
    <d v="2023-05-01T10:37:16"/>
    <x v="0"/>
    <x v="182"/>
    <x v="1"/>
    <x v="2"/>
    <x v="1"/>
    <x v="0"/>
    <x v="0"/>
    <x v="0"/>
    <n v="5"/>
    <x v="5"/>
    <x v="0"/>
    <x v="6"/>
    <x v="253"/>
    <x v="0"/>
    <x v="1"/>
  </r>
  <r>
    <d v="2023-05-01T10:55:05"/>
    <x v="0"/>
    <x v="614"/>
    <x v="1"/>
    <x v="2"/>
    <x v="1"/>
    <x v="0"/>
    <x v="0"/>
    <x v="0"/>
    <n v="6"/>
    <x v="6"/>
    <x v="1"/>
    <x v="14"/>
    <x v="111"/>
    <x v="0"/>
    <x v="1"/>
  </r>
  <r>
    <d v="2023-05-01T11:45:18"/>
    <x v="0"/>
    <x v="789"/>
    <x v="0"/>
    <x v="2"/>
    <x v="1"/>
    <x v="1"/>
    <x v="0"/>
    <x v="0"/>
    <n v="2"/>
    <x v="1"/>
    <x v="0"/>
    <x v="8"/>
    <x v="108"/>
    <x v="1"/>
    <x v="1"/>
  </r>
  <r>
    <d v="2023-05-01T12:15:17"/>
    <x v="0"/>
    <x v="1055"/>
    <x v="1"/>
    <x v="2"/>
    <x v="2"/>
    <x v="0"/>
    <x v="0"/>
    <x v="0"/>
    <n v="6"/>
    <x v="0"/>
    <x v="1"/>
    <x v="11"/>
    <x v="111"/>
    <x v="0"/>
    <x v="1"/>
  </r>
  <r>
    <d v="2023-05-01T12:27:39"/>
    <x v="0"/>
    <x v="748"/>
    <x v="0"/>
    <x v="4"/>
    <x v="2"/>
    <x v="3"/>
    <x v="0"/>
    <x v="0"/>
    <n v="6"/>
    <x v="1"/>
    <x v="4"/>
    <x v="23"/>
    <x v="207"/>
    <x v="4"/>
    <x v="7"/>
  </r>
  <r>
    <d v="2023-05-01T12:28:40"/>
    <x v="0"/>
    <x v="1056"/>
    <x v="0"/>
    <x v="1"/>
    <x v="0"/>
    <x v="1"/>
    <x v="0"/>
    <x v="0"/>
    <n v="9"/>
    <x v="5"/>
    <x v="2"/>
    <x v="18"/>
    <x v="296"/>
    <x v="0"/>
    <x v="1"/>
  </r>
  <r>
    <d v="2023-05-01T12:29:54"/>
    <x v="0"/>
    <x v="291"/>
    <x v="1"/>
    <x v="3"/>
    <x v="2"/>
    <x v="1"/>
    <x v="0"/>
    <x v="0"/>
    <n v="5"/>
    <x v="1"/>
    <x v="2"/>
    <x v="22"/>
    <x v="226"/>
    <x v="0"/>
    <x v="2"/>
  </r>
  <r>
    <d v="2023-05-01T13:04:44"/>
    <x v="0"/>
    <x v="1057"/>
    <x v="0"/>
    <x v="1"/>
    <x v="0"/>
    <x v="0"/>
    <x v="0"/>
    <x v="0"/>
    <n v="8"/>
    <x v="6"/>
    <x v="0"/>
    <x v="19"/>
    <x v="559"/>
    <x v="1"/>
    <x v="3"/>
  </r>
  <r>
    <d v="2023-05-01T14:28:10"/>
    <x v="0"/>
    <x v="384"/>
    <x v="1"/>
    <x v="4"/>
    <x v="0"/>
    <x v="1"/>
    <x v="1"/>
    <x v="0"/>
    <n v="1"/>
    <x v="3"/>
    <x v="3"/>
    <x v="24"/>
    <x v="202"/>
    <x v="1"/>
    <x v="1"/>
  </r>
  <r>
    <d v="2023-05-01T14:55:26"/>
    <x v="0"/>
    <x v="1058"/>
    <x v="0"/>
    <x v="1"/>
    <x v="0"/>
    <x v="0"/>
    <x v="0"/>
    <x v="1"/>
    <n v="6"/>
    <x v="5"/>
    <x v="1"/>
    <x v="6"/>
    <x v="553"/>
    <x v="0"/>
    <x v="4"/>
  </r>
  <r>
    <d v="2023-05-01T14:56:49"/>
    <x v="0"/>
    <x v="1059"/>
    <x v="0"/>
    <x v="4"/>
    <x v="0"/>
    <x v="0"/>
    <x v="1"/>
    <x v="1"/>
    <n v="1"/>
    <x v="3"/>
    <x v="2"/>
    <x v="10"/>
    <x v="560"/>
    <x v="2"/>
    <x v="7"/>
  </r>
  <r>
    <d v="2023-05-01T14:58:35"/>
    <x v="0"/>
    <x v="1060"/>
    <x v="0"/>
    <x v="4"/>
    <x v="0"/>
    <x v="0"/>
    <x v="0"/>
    <x v="0"/>
    <n v="8"/>
    <x v="3"/>
    <x v="2"/>
    <x v="9"/>
    <x v="214"/>
    <x v="2"/>
    <x v="1"/>
  </r>
  <r>
    <d v="2023-05-01T15:02:37"/>
    <x v="0"/>
    <x v="1061"/>
    <x v="1"/>
    <x v="4"/>
    <x v="1"/>
    <x v="0"/>
    <x v="0"/>
    <x v="0"/>
    <n v="7"/>
    <x v="6"/>
    <x v="1"/>
    <x v="15"/>
    <x v="114"/>
    <x v="0"/>
    <x v="1"/>
  </r>
  <r>
    <d v="2023-05-01T15:04:00"/>
    <x v="0"/>
    <x v="1062"/>
    <x v="0"/>
    <x v="3"/>
    <x v="2"/>
    <x v="0"/>
    <x v="0"/>
    <x v="0"/>
    <n v="3"/>
    <x v="1"/>
    <x v="1"/>
    <x v="8"/>
    <x v="120"/>
    <x v="1"/>
    <x v="4"/>
  </r>
  <r>
    <d v="2023-05-01T15:19:10"/>
    <x v="0"/>
    <x v="400"/>
    <x v="1"/>
    <x v="4"/>
    <x v="1"/>
    <x v="0"/>
    <x v="0"/>
    <x v="0"/>
    <n v="4"/>
    <x v="5"/>
    <x v="0"/>
    <x v="9"/>
    <x v="561"/>
    <x v="2"/>
    <x v="3"/>
  </r>
  <r>
    <d v="2023-05-01T15:30:46"/>
    <x v="0"/>
    <x v="1058"/>
    <x v="0"/>
    <x v="1"/>
    <x v="0"/>
    <x v="0"/>
    <x v="0"/>
    <x v="0"/>
    <n v="7"/>
    <x v="6"/>
    <x v="1"/>
    <x v="10"/>
    <x v="302"/>
    <x v="0"/>
    <x v="3"/>
  </r>
  <r>
    <d v="2023-05-01T16:01:23"/>
    <x v="0"/>
    <x v="1063"/>
    <x v="1"/>
    <x v="2"/>
    <x v="0"/>
    <x v="1"/>
    <x v="0"/>
    <x v="0"/>
    <n v="9"/>
    <x v="5"/>
    <x v="1"/>
    <x v="22"/>
    <x v="303"/>
    <x v="1"/>
    <x v="1"/>
  </r>
  <r>
    <d v="2023-05-01T16:02:50"/>
    <x v="0"/>
    <x v="992"/>
    <x v="0"/>
    <x v="4"/>
    <x v="2"/>
    <x v="1"/>
    <x v="0"/>
    <x v="0"/>
    <n v="5"/>
    <x v="6"/>
    <x v="2"/>
    <x v="17"/>
    <x v="318"/>
    <x v="1"/>
    <x v="7"/>
  </r>
  <r>
    <d v="2023-05-01T16:56:48"/>
    <x v="0"/>
    <x v="1064"/>
    <x v="1"/>
    <x v="0"/>
    <x v="1"/>
    <x v="0"/>
    <x v="1"/>
    <x v="0"/>
    <n v="4"/>
    <x v="5"/>
    <x v="1"/>
    <x v="20"/>
    <x v="436"/>
    <x v="0"/>
    <x v="1"/>
  </r>
  <r>
    <d v="2023-05-01T17:30:49"/>
    <x v="0"/>
    <x v="1065"/>
    <x v="1"/>
    <x v="0"/>
    <x v="1"/>
    <x v="0"/>
    <x v="1"/>
    <x v="0"/>
    <n v="4"/>
    <x v="1"/>
    <x v="0"/>
    <x v="10"/>
    <x v="371"/>
    <x v="2"/>
    <x v="3"/>
  </r>
  <r>
    <d v="2023-05-01T18:39:19"/>
    <x v="0"/>
    <x v="1066"/>
    <x v="0"/>
    <x v="3"/>
    <x v="0"/>
    <x v="0"/>
    <x v="0"/>
    <x v="0"/>
    <n v="3"/>
    <x v="6"/>
    <x v="1"/>
    <x v="16"/>
    <x v="99"/>
    <x v="0"/>
    <x v="3"/>
  </r>
  <r>
    <d v="2023-05-01T19:19:46"/>
    <x v="0"/>
    <x v="835"/>
    <x v="0"/>
    <x v="3"/>
    <x v="0"/>
    <x v="1"/>
    <x v="0"/>
    <x v="0"/>
    <n v="1"/>
    <x v="6"/>
    <x v="1"/>
    <x v="15"/>
    <x v="396"/>
    <x v="0"/>
    <x v="1"/>
  </r>
  <r>
    <d v="2023-05-01T20:05:02"/>
    <x v="0"/>
    <x v="1067"/>
    <x v="0"/>
    <x v="1"/>
    <x v="1"/>
    <x v="1"/>
    <x v="1"/>
    <x v="1"/>
    <n v="8"/>
    <x v="3"/>
    <x v="2"/>
    <x v="9"/>
    <x v="308"/>
    <x v="1"/>
    <x v="7"/>
  </r>
  <r>
    <d v="2023-05-01T21:46:21"/>
    <x v="0"/>
    <x v="988"/>
    <x v="0"/>
    <x v="0"/>
    <x v="1"/>
    <x v="0"/>
    <x v="1"/>
    <x v="0"/>
    <n v="5"/>
    <x v="6"/>
    <x v="1"/>
    <x v="11"/>
    <x v="181"/>
    <x v="0"/>
    <x v="1"/>
  </r>
  <r>
    <d v="2023-05-01T21:47:46"/>
    <x v="0"/>
    <x v="132"/>
    <x v="0"/>
    <x v="4"/>
    <x v="0"/>
    <x v="1"/>
    <x v="0"/>
    <x v="0"/>
    <n v="3"/>
    <x v="3"/>
    <x v="1"/>
    <x v="9"/>
    <x v="176"/>
    <x v="2"/>
    <x v="4"/>
  </r>
  <r>
    <d v="2023-05-01T21:51:28"/>
    <x v="0"/>
    <x v="1068"/>
    <x v="0"/>
    <x v="2"/>
    <x v="2"/>
    <x v="1"/>
    <x v="0"/>
    <x v="0"/>
    <n v="5"/>
    <x v="3"/>
    <x v="2"/>
    <x v="7"/>
    <x v="466"/>
    <x v="1"/>
    <x v="7"/>
  </r>
  <r>
    <d v="2023-05-01T21:55:33"/>
    <x v="0"/>
    <x v="1069"/>
    <x v="0"/>
    <x v="0"/>
    <x v="2"/>
    <x v="1"/>
    <x v="0"/>
    <x v="0"/>
    <n v="2"/>
    <x v="5"/>
    <x v="1"/>
    <x v="19"/>
    <x v="350"/>
    <x v="0"/>
    <x v="4"/>
  </r>
  <r>
    <d v="2023-05-01T22:02:41"/>
    <x v="0"/>
    <x v="304"/>
    <x v="0"/>
    <x v="4"/>
    <x v="1"/>
    <x v="0"/>
    <x v="0"/>
    <x v="0"/>
    <n v="8"/>
    <x v="5"/>
    <x v="0"/>
    <x v="6"/>
    <x v="194"/>
    <x v="0"/>
    <x v="1"/>
  </r>
  <r>
    <d v="2023-05-01T22:03:49"/>
    <x v="0"/>
    <x v="304"/>
    <x v="0"/>
    <x v="4"/>
    <x v="1"/>
    <x v="1"/>
    <x v="0"/>
    <x v="0"/>
    <n v="10"/>
    <x v="6"/>
    <x v="1"/>
    <x v="7"/>
    <x v="181"/>
    <x v="1"/>
    <x v="7"/>
  </r>
  <r>
    <d v="2023-05-01T22:07:35"/>
    <x v="0"/>
    <x v="132"/>
    <x v="0"/>
    <x v="2"/>
    <x v="0"/>
    <x v="3"/>
    <x v="1"/>
    <x v="0"/>
    <n v="3"/>
    <x v="1"/>
    <x v="2"/>
    <x v="9"/>
    <x v="140"/>
    <x v="0"/>
    <x v="3"/>
  </r>
  <r>
    <d v="2023-05-01T22:12:00"/>
    <x v="0"/>
    <x v="1070"/>
    <x v="0"/>
    <x v="2"/>
    <x v="0"/>
    <x v="1"/>
    <x v="0"/>
    <x v="1"/>
    <n v="5"/>
    <x v="5"/>
    <x v="1"/>
    <x v="9"/>
    <x v="325"/>
    <x v="1"/>
    <x v="0"/>
  </r>
  <r>
    <d v="2023-05-01T22:38:31"/>
    <x v="0"/>
    <x v="132"/>
    <x v="0"/>
    <x v="4"/>
    <x v="2"/>
    <x v="0"/>
    <x v="0"/>
    <x v="0"/>
    <n v="1"/>
    <x v="3"/>
    <x v="0"/>
    <x v="17"/>
    <x v="139"/>
    <x v="2"/>
    <x v="8"/>
  </r>
  <r>
    <d v="2023-05-02T05:10:06"/>
    <x v="0"/>
    <x v="1071"/>
    <x v="0"/>
    <x v="4"/>
    <x v="1"/>
    <x v="0"/>
    <x v="0"/>
    <x v="0"/>
    <n v="1"/>
    <x v="3"/>
    <x v="1"/>
    <x v="8"/>
    <x v="109"/>
    <x v="0"/>
    <x v="1"/>
  </r>
  <r>
    <d v="2023-05-02T05:32:58"/>
    <x v="0"/>
    <x v="758"/>
    <x v="0"/>
    <x v="2"/>
    <x v="1"/>
    <x v="0"/>
    <x v="0"/>
    <x v="0"/>
    <n v="4"/>
    <x v="6"/>
    <x v="2"/>
    <x v="9"/>
    <x v="371"/>
    <x v="2"/>
    <x v="1"/>
  </r>
  <r>
    <d v="2023-05-02T06:20:14"/>
    <x v="0"/>
    <x v="1069"/>
    <x v="0"/>
    <x v="3"/>
    <x v="1"/>
    <x v="1"/>
    <x v="0"/>
    <x v="1"/>
    <n v="8"/>
    <x v="6"/>
    <x v="2"/>
    <x v="14"/>
    <x v="562"/>
    <x v="2"/>
    <x v="1"/>
  </r>
  <r>
    <d v="2023-05-02T08:01:20"/>
    <x v="0"/>
    <x v="1072"/>
    <x v="0"/>
    <x v="3"/>
    <x v="2"/>
    <x v="0"/>
    <x v="0"/>
    <x v="0"/>
    <n v="4"/>
    <x v="1"/>
    <x v="0"/>
    <x v="11"/>
    <x v="563"/>
    <x v="0"/>
    <x v="7"/>
  </r>
  <r>
    <d v="2023-05-02T09:53:56"/>
    <x v="0"/>
    <x v="1072"/>
    <x v="0"/>
    <x v="4"/>
    <x v="1"/>
    <x v="1"/>
    <x v="1"/>
    <x v="0"/>
    <n v="8"/>
    <x v="5"/>
    <x v="1"/>
    <x v="11"/>
    <x v="121"/>
    <x v="0"/>
    <x v="7"/>
  </r>
  <r>
    <d v="2023-05-02T13:34:37"/>
    <x v="0"/>
    <x v="60"/>
    <x v="0"/>
    <x v="4"/>
    <x v="0"/>
    <x v="0"/>
    <x v="0"/>
    <x v="0"/>
    <n v="2"/>
    <x v="1"/>
    <x v="0"/>
    <x v="17"/>
    <x v="182"/>
    <x v="0"/>
    <x v="3"/>
  </r>
  <r>
    <d v="2023-05-02T13:51:00"/>
    <x v="0"/>
    <x v="1073"/>
    <x v="0"/>
    <x v="0"/>
    <x v="2"/>
    <x v="1"/>
    <x v="1"/>
    <x v="1"/>
    <n v="5"/>
    <x v="1"/>
    <x v="1"/>
    <x v="19"/>
    <x v="247"/>
    <x v="2"/>
    <x v="3"/>
  </r>
  <r>
    <d v="2023-05-02T14:12:06"/>
    <x v="0"/>
    <x v="818"/>
    <x v="1"/>
    <x v="3"/>
    <x v="0"/>
    <x v="0"/>
    <x v="0"/>
    <x v="0"/>
    <n v="2"/>
    <x v="6"/>
    <x v="1"/>
    <x v="8"/>
    <x v="430"/>
    <x v="0"/>
    <x v="3"/>
  </r>
  <r>
    <d v="2023-05-02T14:14:42"/>
    <x v="0"/>
    <x v="440"/>
    <x v="0"/>
    <x v="4"/>
    <x v="0"/>
    <x v="0"/>
    <x v="1"/>
    <x v="1"/>
    <n v="4"/>
    <x v="5"/>
    <x v="1"/>
    <x v="19"/>
    <x v="254"/>
    <x v="0"/>
    <x v="1"/>
  </r>
  <r>
    <d v="2023-05-02T14:27:43"/>
    <x v="0"/>
    <x v="1074"/>
    <x v="1"/>
    <x v="0"/>
    <x v="0"/>
    <x v="1"/>
    <x v="0"/>
    <x v="0"/>
    <n v="1"/>
    <x v="1"/>
    <x v="1"/>
    <x v="9"/>
    <x v="338"/>
    <x v="0"/>
    <x v="11"/>
  </r>
  <r>
    <d v="2023-05-02T14:28:35"/>
    <x v="0"/>
    <x v="1075"/>
    <x v="1"/>
    <x v="4"/>
    <x v="2"/>
    <x v="0"/>
    <x v="1"/>
    <x v="0"/>
    <n v="3"/>
    <x v="0"/>
    <x v="0"/>
    <x v="22"/>
    <x v="564"/>
    <x v="0"/>
    <x v="1"/>
  </r>
  <r>
    <d v="2023-05-02T14:39:34"/>
    <x v="0"/>
    <x v="1076"/>
    <x v="1"/>
    <x v="0"/>
    <x v="1"/>
    <x v="0"/>
    <x v="0"/>
    <x v="0"/>
    <n v="8"/>
    <x v="1"/>
    <x v="1"/>
    <x v="13"/>
    <x v="490"/>
    <x v="3"/>
    <x v="1"/>
  </r>
  <r>
    <d v="2023-05-02T14:45:07"/>
    <x v="0"/>
    <x v="1077"/>
    <x v="0"/>
    <x v="3"/>
    <x v="0"/>
    <x v="0"/>
    <x v="0"/>
    <x v="0"/>
    <n v="2"/>
    <x v="1"/>
    <x v="2"/>
    <x v="9"/>
    <x v="371"/>
    <x v="0"/>
    <x v="1"/>
  </r>
  <r>
    <d v="2023-05-02T14:49:44"/>
    <x v="0"/>
    <x v="818"/>
    <x v="1"/>
    <x v="4"/>
    <x v="0"/>
    <x v="0"/>
    <x v="1"/>
    <x v="0"/>
    <n v="1"/>
    <x v="1"/>
    <x v="1"/>
    <x v="13"/>
    <x v="215"/>
    <x v="0"/>
    <x v="3"/>
  </r>
  <r>
    <d v="2023-05-02T14:51:10"/>
    <x v="0"/>
    <x v="1078"/>
    <x v="1"/>
    <x v="0"/>
    <x v="0"/>
    <x v="0"/>
    <x v="0"/>
    <x v="0"/>
    <n v="4"/>
    <x v="5"/>
    <x v="2"/>
    <x v="7"/>
    <x v="96"/>
    <x v="0"/>
    <x v="3"/>
  </r>
  <r>
    <d v="2023-05-02T15:02:10"/>
    <x v="0"/>
    <x v="818"/>
    <x v="0"/>
    <x v="0"/>
    <x v="2"/>
    <x v="0"/>
    <x v="1"/>
    <x v="1"/>
    <n v="10"/>
    <x v="6"/>
    <x v="1"/>
    <x v="14"/>
    <x v="558"/>
    <x v="3"/>
    <x v="1"/>
  </r>
  <r>
    <d v="2023-05-02T15:03:54"/>
    <x v="0"/>
    <x v="1079"/>
    <x v="0"/>
    <x v="4"/>
    <x v="2"/>
    <x v="0"/>
    <x v="1"/>
    <x v="0"/>
    <n v="4"/>
    <x v="5"/>
    <x v="1"/>
    <x v="19"/>
    <x v="198"/>
    <x v="1"/>
    <x v="1"/>
  </r>
  <r>
    <d v="2023-05-02T15:05:54"/>
    <x v="0"/>
    <x v="1080"/>
    <x v="0"/>
    <x v="4"/>
    <x v="1"/>
    <x v="1"/>
    <x v="0"/>
    <x v="0"/>
    <n v="3"/>
    <x v="0"/>
    <x v="2"/>
    <x v="18"/>
    <x v="292"/>
    <x v="4"/>
    <x v="11"/>
  </r>
  <r>
    <d v="2023-05-02T16:07:54"/>
    <x v="0"/>
    <x v="1081"/>
    <x v="0"/>
    <x v="0"/>
    <x v="2"/>
    <x v="0"/>
    <x v="0"/>
    <x v="0"/>
    <n v="4"/>
    <x v="1"/>
    <x v="1"/>
    <x v="19"/>
    <x v="565"/>
    <x v="1"/>
    <x v="1"/>
  </r>
  <r>
    <d v="2023-05-02T16:21:44"/>
    <x v="0"/>
    <x v="83"/>
    <x v="1"/>
    <x v="4"/>
    <x v="2"/>
    <x v="0"/>
    <x v="0"/>
    <x v="0"/>
    <n v="3"/>
    <x v="0"/>
    <x v="1"/>
    <x v="7"/>
    <x v="486"/>
    <x v="1"/>
    <x v="1"/>
  </r>
  <r>
    <d v="2023-05-02T16:29:18"/>
    <x v="0"/>
    <x v="1082"/>
    <x v="0"/>
    <x v="2"/>
    <x v="2"/>
    <x v="0"/>
    <x v="0"/>
    <x v="0"/>
    <n v="3"/>
    <x v="5"/>
    <x v="1"/>
    <x v="9"/>
    <x v="138"/>
    <x v="1"/>
    <x v="3"/>
  </r>
  <r>
    <d v="2023-05-02T16:32:56"/>
    <x v="0"/>
    <x v="818"/>
    <x v="1"/>
    <x v="3"/>
    <x v="0"/>
    <x v="0"/>
    <x v="0"/>
    <x v="1"/>
    <n v="5"/>
    <x v="1"/>
    <x v="1"/>
    <x v="16"/>
    <x v="221"/>
    <x v="1"/>
    <x v="3"/>
  </r>
  <r>
    <d v="2023-05-02T16:39:48"/>
    <x v="0"/>
    <x v="1083"/>
    <x v="1"/>
    <x v="2"/>
    <x v="1"/>
    <x v="0"/>
    <x v="0"/>
    <x v="0"/>
    <n v="5"/>
    <x v="6"/>
    <x v="1"/>
    <x v="19"/>
    <x v="207"/>
    <x v="0"/>
    <x v="1"/>
  </r>
  <r>
    <d v="2023-05-02T16:55:23"/>
    <x v="1"/>
    <x v="1084"/>
    <x v="0"/>
    <x v="0"/>
    <x v="2"/>
    <x v="0"/>
    <x v="0"/>
    <x v="0"/>
    <n v="1"/>
    <x v="3"/>
    <x v="2"/>
    <x v="9"/>
    <x v="206"/>
    <x v="1"/>
    <x v="7"/>
  </r>
  <r>
    <d v="2023-05-02T17:21:51"/>
    <x v="0"/>
    <x v="818"/>
    <x v="1"/>
    <x v="0"/>
    <x v="2"/>
    <x v="0"/>
    <x v="1"/>
    <x v="0"/>
    <n v="4"/>
    <x v="1"/>
    <x v="0"/>
    <x v="11"/>
    <x v="224"/>
    <x v="0"/>
    <x v="3"/>
  </r>
  <r>
    <d v="2023-05-02T18:04:14"/>
    <x v="0"/>
    <x v="1075"/>
    <x v="0"/>
    <x v="3"/>
    <x v="1"/>
    <x v="0"/>
    <x v="1"/>
    <x v="1"/>
    <n v="8"/>
    <x v="1"/>
    <x v="0"/>
    <x v="10"/>
    <x v="566"/>
    <x v="0"/>
    <x v="3"/>
  </r>
  <r>
    <d v="2023-05-02T18:11:34"/>
    <x v="0"/>
    <x v="1077"/>
    <x v="0"/>
    <x v="4"/>
    <x v="2"/>
    <x v="0"/>
    <x v="1"/>
    <x v="1"/>
    <n v="10"/>
    <x v="5"/>
    <x v="2"/>
    <x v="10"/>
    <x v="567"/>
    <x v="2"/>
    <x v="7"/>
  </r>
  <r>
    <d v="2023-05-02T18:22:38"/>
    <x v="0"/>
    <x v="1077"/>
    <x v="1"/>
    <x v="4"/>
    <x v="0"/>
    <x v="0"/>
    <x v="1"/>
    <x v="0"/>
    <n v="1"/>
    <x v="3"/>
    <x v="2"/>
    <x v="9"/>
    <x v="568"/>
    <x v="3"/>
    <x v="0"/>
  </r>
  <r>
    <d v="2023-05-02T18:39:54"/>
    <x v="0"/>
    <x v="818"/>
    <x v="1"/>
    <x v="4"/>
    <x v="1"/>
    <x v="1"/>
    <x v="0"/>
    <x v="0"/>
    <n v="2"/>
    <x v="6"/>
    <x v="1"/>
    <x v="18"/>
    <x v="366"/>
    <x v="0"/>
    <x v="1"/>
  </r>
  <r>
    <d v="2023-05-02T18:58:04"/>
    <x v="0"/>
    <x v="1085"/>
    <x v="0"/>
    <x v="0"/>
    <x v="1"/>
    <x v="0"/>
    <x v="0"/>
    <x v="0"/>
    <n v="5"/>
    <x v="5"/>
    <x v="1"/>
    <x v="8"/>
    <x v="569"/>
    <x v="1"/>
    <x v="3"/>
  </r>
  <r>
    <d v="2023-05-02T20:00:58"/>
    <x v="0"/>
    <x v="1086"/>
    <x v="0"/>
    <x v="4"/>
    <x v="2"/>
    <x v="3"/>
    <x v="0"/>
    <x v="0"/>
    <n v="1"/>
    <x v="1"/>
    <x v="1"/>
    <x v="9"/>
    <x v="193"/>
    <x v="2"/>
    <x v="11"/>
  </r>
  <r>
    <d v="2023-05-02T20:02:23"/>
    <x v="0"/>
    <x v="1075"/>
    <x v="1"/>
    <x v="3"/>
    <x v="2"/>
    <x v="0"/>
    <x v="1"/>
    <x v="1"/>
    <n v="3"/>
    <x v="3"/>
    <x v="2"/>
    <x v="8"/>
    <x v="230"/>
    <x v="4"/>
    <x v="7"/>
  </r>
  <r>
    <d v="2023-05-02T20:43:46"/>
    <x v="0"/>
    <x v="1087"/>
    <x v="0"/>
    <x v="0"/>
    <x v="0"/>
    <x v="0"/>
    <x v="0"/>
    <x v="0"/>
    <n v="2"/>
    <x v="1"/>
    <x v="0"/>
    <x v="8"/>
    <x v="247"/>
    <x v="1"/>
    <x v="1"/>
  </r>
  <r>
    <d v="2023-05-02T20:47:52"/>
    <x v="0"/>
    <x v="685"/>
    <x v="0"/>
    <x v="4"/>
    <x v="0"/>
    <x v="1"/>
    <x v="1"/>
    <x v="1"/>
    <n v="7"/>
    <x v="1"/>
    <x v="2"/>
    <x v="22"/>
    <x v="402"/>
    <x v="2"/>
    <x v="7"/>
  </r>
  <r>
    <d v="2023-05-02T21:02:29"/>
    <x v="0"/>
    <x v="1088"/>
    <x v="0"/>
    <x v="4"/>
    <x v="1"/>
    <x v="0"/>
    <x v="1"/>
    <x v="1"/>
    <n v="6"/>
    <x v="6"/>
    <x v="0"/>
    <x v="7"/>
    <x v="350"/>
    <x v="0"/>
    <x v="4"/>
  </r>
  <r>
    <d v="2023-05-02T21:04:29"/>
    <x v="0"/>
    <x v="392"/>
    <x v="0"/>
    <x v="3"/>
    <x v="0"/>
    <x v="0"/>
    <x v="1"/>
    <x v="0"/>
    <n v="4"/>
    <x v="6"/>
    <x v="1"/>
    <x v="8"/>
    <x v="570"/>
    <x v="0"/>
    <x v="2"/>
  </r>
  <r>
    <d v="2023-05-02T21:06:08"/>
    <x v="0"/>
    <x v="1089"/>
    <x v="1"/>
    <x v="0"/>
    <x v="0"/>
    <x v="0"/>
    <x v="0"/>
    <x v="0"/>
    <n v="2"/>
    <x v="3"/>
    <x v="2"/>
    <x v="18"/>
    <x v="517"/>
    <x v="0"/>
    <x v="7"/>
  </r>
  <r>
    <d v="2023-05-02T21:21:35"/>
    <x v="0"/>
    <x v="297"/>
    <x v="0"/>
    <x v="3"/>
    <x v="0"/>
    <x v="1"/>
    <x v="0"/>
    <x v="0"/>
    <n v="1"/>
    <x v="1"/>
    <x v="2"/>
    <x v="18"/>
    <x v="116"/>
    <x v="0"/>
    <x v="7"/>
  </r>
  <r>
    <d v="2023-05-02T21:25:13"/>
    <x v="0"/>
    <x v="1090"/>
    <x v="1"/>
    <x v="0"/>
    <x v="0"/>
    <x v="0"/>
    <x v="1"/>
    <x v="0"/>
    <n v="5"/>
    <x v="5"/>
    <x v="1"/>
    <x v="6"/>
    <x v="224"/>
    <x v="1"/>
    <x v="3"/>
  </r>
  <r>
    <d v="2023-05-02T21:26:31"/>
    <x v="0"/>
    <x v="685"/>
    <x v="1"/>
    <x v="0"/>
    <x v="0"/>
    <x v="0"/>
    <x v="0"/>
    <x v="0"/>
    <n v="7"/>
    <x v="1"/>
    <x v="1"/>
    <x v="9"/>
    <x v="195"/>
    <x v="0"/>
    <x v="1"/>
  </r>
  <r>
    <d v="2023-05-02T21:26:44"/>
    <x v="0"/>
    <x v="83"/>
    <x v="1"/>
    <x v="3"/>
    <x v="0"/>
    <x v="0"/>
    <x v="0"/>
    <x v="0"/>
    <n v="5"/>
    <x v="6"/>
    <x v="2"/>
    <x v="6"/>
    <x v="485"/>
    <x v="0"/>
    <x v="11"/>
  </r>
  <r>
    <d v="2023-05-02T21:28:17"/>
    <x v="0"/>
    <x v="1091"/>
    <x v="0"/>
    <x v="4"/>
    <x v="0"/>
    <x v="0"/>
    <x v="0"/>
    <x v="1"/>
    <n v="3"/>
    <x v="6"/>
    <x v="2"/>
    <x v="19"/>
    <x v="251"/>
    <x v="0"/>
    <x v="18"/>
  </r>
  <r>
    <d v="2023-05-02T21:34:03"/>
    <x v="0"/>
    <x v="314"/>
    <x v="0"/>
    <x v="4"/>
    <x v="0"/>
    <x v="1"/>
    <x v="0"/>
    <x v="0"/>
    <n v="8"/>
    <x v="1"/>
    <x v="1"/>
    <x v="8"/>
    <x v="250"/>
    <x v="0"/>
    <x v="1"/>
  </r>
  <r>
    <d v="2023-05-02T21:51:21"/>
    <x v="0"/>
    <x v="1092"/>
    <x v="0"/>
    <x v="4"/>
    <x v="1"/>
    <x v="0"/>
    <x v="1"/>
    <x v="0"/>
    <n v="3"/>
    <x v="0"/>
    <x v="1"/>
    <x v="14"/>
    <x v="125"/>
    <x v="0"/>
    <x v="23"/>
  </r>
  <r>
    <d v="2023-05-02T22:38:03"/>
    <x v="0"/>
    <x v="392"/>
    <x v="1"/>
    <x v="0"/>
    <x v="2"/>
    <x v="1"/>
    <x v="0"/>
    <x v="1"/>
    <n v="4"/>
    <x v="6"/>
    <x v="1"/>
    <x v="11"/>
    <x v="179"/>
    <x v="2"/>
    <x v="4"/>
  </r>
  <r>
    <d v="2023-05-02T22:40:23"/>
    <x v="0"/>
    <x v="685"/>
    <x v="1"/>
    <x v="2"/>
    <x v="2"/>
    <x v="1"/>
    <x v="0"/>
    <x v="0"/>
    <n v="4"/>
    <x v="1"/>
    <x v="0"/>
    <x v="10"/>
    <x v="571"/>
    <x v="0"/>
    <x v="13"/>
  </r>
  <r>
    <d v="2023-05-02T23:02:08"/>
    <x v="0"/>
    <x v="818"/>
    <x v="1"/>
    <x v="4"/>
    <x v="1"/>
    <x v="0"/>
    <x v="0"/>
    <x v="0"/>
    <n v="8"/>
    <x v="1"/>
    <x v="1"/>
    <x v="18"/>
    <x v="508"/>
    <x v="2"/>
    <x v="11"/>
  </r>
  <r>
    <d v="2023-05-02T23:18:32"/>
    <x v="0"/>
    <x v="1093"/>
    <x v="0"/>
    <x v="4"/>
    <x v="2"/>
    <x v="0"/>
    <x v="0"/>
    <x v="0"/>
    <n v="5"/>
    <x v="6"/>
    <x v="2"/>
    <x v="6"/>
    <x v="572"/>
    <x v="0"/>
    <x v="7"/>
  </r>
  <r>
    <d v="2023-05-02T23:20:56"/>
    <x v="0"/>
    <x v="685"/>
    <x v="0"/>
    <x v="2"/>
    <x v="1"/>
    <x v="1"/>
    <x v="0"/>
    <x v="0"/>
    <n v="7"/>
    <x v="6"/>
    <x v="2"/>
    <x v="16"/>
    <x v="292"/>
    <x v="0"/>
    <x v="3"/>
  </r>
  <r>
    <d v="2023-05-02T23:21:57"/>
    <x v="0"/>
    <x v="278"/>
    <x v="1"/>
    <x v="2"/>
    <x v="2"/>
    <x v="0"/>
    <x v="0"/>
    <x v="1"/>
    <n v="7"/>
    <x v="1"/>
    <x v="1"/>
    <x v="19"/>
    <x v="573"/>
    <x v="0"/>
    <x v="1"/>
  </r>
  <r>
    <d v="2023-05-02T23:32:32"/>
    <x v="0"/>
    <x v="1073"/>
    <x v="0"/>
    <x v="4"/>
    <x v="2"/>
    <x v="1"/>
    <x v="1"/>
    <x v="1"/>
    <n v="5"/>
    <x v="1"/>
    <x v="1"/>
    <x v="19"/>
    <x v="216"/>
    <x v="1"/>
    <x v="6"/>
  </r>
  <r>
    <d v="2023-05-02T23:33:57"/>
    <x v="0"/>
    <x v="358"/>
    <x v="1"/>
    <x v="4"/>
    <x v="1"/>
    <x v="1"/>
    <x v="0"/>
    <x v="0"/>
    <n v="6"/>
    <x v="0"/>
    <x v="4"/>
    <x v="17"/>
    <x v="143"/>
    <x v="0"/>
    <x v="4"/>
  </r>
  <r>
    <d v="2023-05-02T23:45:17"/>
    <x v="0"/>
    <x v="685"/>
    <x v="1"/>
    <x v="1"/>
    <x v="1"/>
    <x v="1"/>
    <x v="0"/>
    <x v="0"/>
    <n v="10"/>
    <x v="1"/>
    <x v="2"/>
    <x v="6"/>
    <x v="574"/>
    <x v="0"/>
    <x v="1"/>
  </r>
  <r>
    <d v="2023-05-03T00:23:18"/>
    <x v="1"/>
    <x v="1094"/>
    <x v="0"/>
    <x v="4"/>
    <x v="2"/>
    <x v="3"/>
    <x v="0"/>
    <x v="1"/>
    <n v="4"/>
    <x v="0"/>
    <x v="2"/>
    <x v="14"/>
    <x v="514"/>
    <x v="1"/>
    <x v="7"/>
  </r>
  <r>
    <d v="2023-05-03T01:23:25"/>
    <x v="0"/>
    <x v="579"/>
    <x v="1"/>
    <x v="0"/>
    <x v="1"/>
    <x v="1"/>
    <x v="0"/>
    <x v="0"/>
    <n v="5"/>
    <x v="6"/>
    <x v="1"/>
    <x v="17"/>
    <x v="197"/>
    <x v="1"/>
    <x v="1"/>
  </r>
  <r>
    <d v="2023-05-03T02:10:30"/>
    <x v="0"/>
    <x v="1095"/>
    <x v="1"/>
    <x v="2"/>
    <x v="1"/>
    <x v="0"/>
    <x v="0"/>
    <x v="0"/>
    <n v="7"/>
    <x v="1"/>
    <x v="1"/>
    <x v="22"/>
    <x v="517"/>
    <x v="0"/>
    <x v="1"/>
  </r>
  <r>
    <d v="2023-05-03T05:37:53"/>
    <x v="0"/>
    <x v="477"/>
    <x v="0"/>
    <x v="4"/>
    <x v="2"/>
    <x v="1"/>
    <x v="0"/>
    <x v="0"/>
    <n v="3"/>
    <x v="1"/>
    <x v="2"/>
    <x v="9"/>
    <x v="225"/>
    <x v="0"/>
    <x v="1"/>
  </r>
  <r>
    <d v="2023-05-03T06:20:37"/>
    <x v="0"/>
    <x v="685"/>
    <x v="0"/>
    <x v="3"/>
    <x v="2"/>
    <x v="0"/>
    <x v="0"/>
    <x v="0"/>
    <n v="5"/>
    <x v="5"/>
    <x v="1"/>
    <x v="6"/>
    <x v="224"/>
    <x v="0"/>
    <x v="7"/>
  </r>
  <r>
    <d v="2023-05-03T06:38:15"/>
    <x v="0"/>
    <x v="818"/>
    <x v="1"/>
    <x v="0"/>
    <x v="2"/>
    <x v="0"/>
    <x v="0"/>
    <x v="0"/>
    <n v="5"/>
    <x v="1"/>
    <x v="2"/>
    <x v="10"/>
    <x v="575"/>
    <x v="2"/>
    <x v="1"/>
  </r>
  <r>
    <d v="2023-05-03T10:02:09"/>
    <x v="2"/>
    <x v="247"/>
    <x v="0"/>
    <x v="0"/>
    <x v="1"/>
    <x v="1"/>
    <x v="0"/>
    <x v="0"/>
    <n v="8"/>
    <x v="5"/>
    <x v="1"/>
    <x v="8"/>
    <x v="108"/>
    <x v="0"/>
    <x v="3"/>
  </r>
  <r>
    <d v="2023-05-03T10:38:22"/>
    <x v="0"/>
    <x v="1096"/>
    <x v="0"/>
    <x v="4"/>
    <x v="2"/>
    <x v="0"/>
    <x v="1"/>
    <x v="0"/>
    <n v="5"/>
    <x v="1"/>
    <x v="0"/>
    <x v="6"/>
    <x v="417"/>
    <x v="1"/>
    <x v="1"/>
  </r>
  <r>
    <d v="2023-05-03T12:35:54"/>
    <x v="0"/>
    <x v="1077"/>
    <x v="1"/>
    <x v="4"/>
    <x v="2"/>
    <x v="0"/>
    <x v="1"/>
    <x v="0"/>
    <n v="7"/>
    <x v="1"/>
    <x v="1"/>
    <x v="15"/>
    <x v="207"/>
    <x v="0"/>
    <x v="1"/>
  </r>
  <r>
    <d v="2023-05-03T14:22:32"/>
    <x v="0"/>
    <x v="1097"/>
    <x v="0"/>
    <x v="2"/>
    <x v="1"/>
    <x v="0"/>
    <x v="0"/>
    <x v="0"/>
    <n v="4"/>
    <x v="1"/>
    <x v="1"/>
    <x v="6"/>
    <x v="140"/>
    <x v="0"/>
    <x v="1"/>
  </r>
  <r>
    <d v="2023-05-03T19:10:24"/>
    <x v="0"/>
    <x v="1098"/>
    <x v="1"/>
    <x v="3"/>
    <x v="1"/>
    <x v="0"/>
    <x v="0"/>
    <x v="0"/>
    <n v="6"/>
    <x v="1"/>
    <x v="0"/>
    <x v="17"/>
    <x v="196"/>
    <x v="0"/>
    <x v="1"/>
  </r>
  <r>
    <d v="2023-05-03T21:37:39"/>
    <x v="0"/>
    <x v="1099"/>
    <x v="1"/>
    <x v="2"/>
    <x v="0"/>
    <x v="0"/>
    <x v="0"/>
    <x v="0"/>
    <n v="7"/>
    <x v="0"/>
    <x v="1"/>
    <x v="14"/>
    <x v="197"/>
    <x v="0"/>
    <x v="14"/>
  </r>
  <r>
    <d v="2023-05-03T22:09:59"/>
    <x v="0"/>
    <x v="123"/>
    <x v="1"/>
    <x v="0"/>
    <x v="0"/>
    <x v="0"/>
    <x v="0"/>
    <x v="0"/>
    <n v="1"/>
    <x v="6"/>
    <x v="1"/>
    <x v="9"/>
    <x v="576"/>
    <x v="0"/>
    <x v="11"/>
  </r>
  <r>
    <d v="2023-05-03T22:41:10"/>
    <x v="0"/>
    <x v="774"/>
    <x v="0"/>
    <x v="1"/>
    <x v="0"/>
    <x v="1"/>
    <x v="0"/>
    <x v="0"/>
    <n v="1"/>
    <x v="1"/>
    <x v="0"/>
    <x v="9"/>
    <x v="206"/>
    <x v="2"/>
    <x v="1"/>
  </r>
  <r>
    <d v="2023-05-03T23:49:26"/>
    <x v="0"/>
    <x v="388"/>
    <x v="1"/>
    <x v="4"/>
    <x v="2"/>
    <x v="0"/>
    <x v="0"/>
    <x v="0"/>
    <n v="4"/>
    <x v="6"/>
    <x v="1"/>
    <x v="13"/>
    <x v="233"/>
    <x v="0"/>
    <x v="1"/>
  </r>
  <r>
    <d v="2023-05-04T09:55:41"/>
    <x v="0"/>
    <x v="1100"/>
    <x v="1"/>
    <x v="1"/>
    <x v="2"/>
    <x v="0"/>
    <x v="0"/>
    <x v="0"/>
    <n v="6"/>
    <x v="6"/>
    <x v="1"/>
    <x v="6"/>
    <x v="111"/>
    <x v="0"/>
    <x v="2"/>
  </r>
  <r>
    <d v="2023-05-04T13:08:12"/>
    <x v="0"/>
    <x v="1077"/>
    <x v="1"/>
    <x v="4"/>
    <x v="1"/>
    <x v="1"/>
    <x v="0"/>
    <x v="0"/>
    <n v="10"/>
    <x v="1"/>
    <x v="2"/>
    <x v="7"/>
    <x v="422"/>
    <x v="0"/>
    <x v="7"/>
  </r>
  <r>
    <d v="2023-05-04T15:07:59"/>
    <x v="0"/>
    <x v="1101"/>
    <x v="1"/>
    <x v="1"/>
    <x v="0"/>
    <x v="0"/>
    <x v="0"/>
    <x v="0"/>
    <n v="8"/>
    <x v="6"/>
    <x v="0"/>
    <x v="7"/>
    <x v="153"/>
    <x v="0"/>
    <x v="4"/>
  </r>
  <r>
    <d v="2023-05-04T15:10:55"/>
    <x v="0"/>
    <x v="289"/>
    <x v="1"/>
    <x v="1"/>
    <x v="0"/>
    <x v="1"/>
    <x v="1"/>
    <x v="0"/>
    <n v="7"/>
    <x v="3"/>
    <x v="2"/>
    <x v="13"/>
    <x v="577"/>
    <x v="2"/>
    <x v="3"/>
  </r>
  <r>
    <d v="2023-05-04T15:20:18"/>
    <x v="0"/>
    <x v="1102"/>
    <x v="1"/>
    <x v="3"/>
    <x v="1"/>
    <x v="0"/>
    <x v="0"/>
    <x v="0"/>
    <n v="8"/>
    <x v="5"/>
    <x v="0"/>
    <x v="11"/>
    <x v="578"/>
    <x v="0"/>
    <x v="2"/>
  </r>
  <r>
    <d v="2023-05-04T15:30:02"/>
    <x v="0"/>
    <x v="929"/>
    <x v="0"/>
    <x v="0"/>
    <x v="0"/>
    <x v="0"/>
    <x v="1"/>
    <x v="0"/>
    <n v="6"/>
    <x v="5"/>
    <x v="1"/>
    <x v="17"/>
    <x v="266"/>
    <x v="0"/>
    <x v="0"/>
  </r>
  <r>
    <d v="2023-05-04T15:31:13"/>
    <x v="0"/>
    <x v="1103"/>
    <x v="0"/>
    <x v="4"/>
    <x v="2"/>
    <x v="1"/>
    <x v="0"/>
    <x v="0"/>
    <n v="7"/>
    <x v="3"/>
    <x v="2"/>
    <x v="14"/>
    <x v="579"/>
    <x v="1"/>
    <x v="7"/>
  </r>
  <r>
    <d v="2023-05-04T15:39:16"/>
    <x v="0"/>
    <x v="371"/>
    <x v="1"/>
    <x v="4"/>
    <x v="2"/>
    <x v="1"/>
    <x v="0"/>
    <x v="1"/>
    <n v="9"/>
    <x v="3"/>
    <x v="2"/>
    <x v="9"/>
    <x v="141"/>
    <x v="3"/>
    <x v="14"/>
  </r>
  <r>
    <d v="2023-05-04T15:40:12"/>
    <x v="0"/>
    <x v="309"/>
    <x v="1"/>
    <x v="3"/>
    <x v="1"/>
    <x v="0"/>
    <x v="0"/>
    <x v="0"/>
    <n v="6"/>
    <x v="5"/>
    <x v="1"/>
    <x v="8"/>
    <x v="308"/>
    <x v="2"/>
    <x v="2"/>
  </r>
  <r>
    <d v="2023-05-04T15:46:03"/>
    <x v="0"/>
    <x v="1104"/>
    <x v="1"/>
    <x v="0"/>
    <x v="0"/>
    <x v="0"/>
    <x v="0"/>
    <x v="0"/>
    <n v="3"/>
    <x v="6"/>
    <x v="0"/>
    <x v="11"/>
    <x v="502"/>
    <x v="3"/>
    <x v="1"/>
  </r>
  <r>
    <d v="2023-05-04T15:56:38"/>
    <x v="0"/>
    <x v="1105"/>
    <x v="0"/>
    <x v="0"/>
    <x v="1"/>
    <x v="0"/>
    <x v="0"/>
    <x v="0"/>
    <n v="4"/>
    <x v="5"/>
    <x v="1"/>
    <x v="24"/>
    <x v="580"/>
    <x v="0"/>
    <x v="11"/>
  </r>
  <r>
    <d v="2023-05-04T15:57:19"/>
    <x v="0"/>
    <x v="1106"/>
    <x v="0"/>
    <x v="4"/>
    <x v="0"/>
    <x v="0"/>
    <x v="0"/>
    <x v="0"/>
    <n v="7"/>
    <x v="3"/>
    <x v="2"/>
    <x v="9"/>
    <x v="141"/>
    <x v="2"/>
    <x v="7"/>
  </r>
  <r>
    <d v="2023-05-04T15:58:02"/>
    <x v="0"/>
    <x v="1107"/>
    <x v="1"/>
    <x v="0"/>
    <x v="2"/>
    <x v="0"/>
    <x v="0"/>
    <x v="0"/>
    <n v="3"/>
    <x v="3"/>
    <x v="2"/>
    <x v="6"/>
    <x v="353"/>
    <x v="3"/>
    <x v="1"/>
  </r>
  <r>
    <d v="2023-05-04T16:12:19"/>
    <x v="0"/>
    <x v="301"/>
    <x v="0"/>
    <x v="1"/>
    <x v="0"/>
    <x v="3"/>
    <x v="1"/>
    <x v="0"/>
    <n v="8"/>
    <x v="6"/>
    <x v="0"/>
    <x v="18"/>
    <x v="239"/>
    <x v="0"/>
    <x v="1"/>
  </r>
  <r>
    <d v="2023-05-04T16:16:32"/>
    <x v="0"/>
    <x v="1108"/>
    <x v="0"/>
    <x v="4"/>
    <x v="2"/>
    <x v="0"/>
    <x v="1"/>
    <x v="1"/>
    <n v="3"/>
    <x v="6"/>
    <x v="1"/>
    <x v="6"/>
    <x v="575"/>
    <x v="0"/>
    <x v="3"/>
  </r>
  <r>
    <d v="2023-05-04T16:29:50"/>
    <x v="0"/>
    <x v="1101"/>
    <x v="0"/>
    <x v="0"/>
    <x v="0"/>
    <x v="0"/>
    <x v="1"/>
    <x v="0"/>
    <n v="8"/>
    <x v="0"/>
    <x v="0"/>
    <x v="22"/>
    <x v="132"/>
    <x v="0"/>
    <x v="1"/>
  </r>
  <r>
    <d v="2023-05-04T16:36:33"/>
    <x v="0"/>
    <x v="61"/>
    <x v="1"/>
    <x v="0"/>
    <x v="1"/>
    <x v="0"/>
    <x v="1"/>
    <x v="0"/>
    <n v="1"/>
    <x v="6"/>
    <x v="2"/>
    <x v="9"/>
    <x v="332"/>
    <x v="1"/>
    <x v="1"/>
  </r>
  <r>
    <d v="2023-05-04T16:39:44"/>
    <x v="0"/>
    <x v="61"/>
    <x v="0"/>
    <x v="2"/>
    <x v="2"/>
    <x v="0"/>
    <x v="0"/>
    <x v="0"/>
    <n v="4"/>
    <x v="5"/>
    <x v="1"/>
    <x v="9"/>
    <x v="340"/>
    <x v="0"/>
    <x v="1"/>
  </r>
  <r>
    <d v="2023-05-04T16:56:19"/>
    <x v="0"/>
    <x v="371"/>
    <x v="1"/>
    <x v="0"/>
    <x v="0"/>
    <x v="1"/>
    <x v="0"/>
    <x v="0"/>
    <n v="10"/>
    <x v="6"/>
    <x v="1"/>
    <x v="6"/>
    <x v="218"/>
    <x v="2"/>
    <x v="3"/>
  </r>
  <r>
    <d v="2023-05-04T17:15:18"/>
    <x v="0"/>
    <x v="625"/>
    <x v="0"/>
    <x v="0"/>
    <x v="2"/>
    <x v="0"/>
    <x v="0"/>
    <x v="0"/>
    <n v="8"/>
    <x v="6"/>
    <x v="1"/>
    <x v="6"/>
    <x v="326"/>
    <x v="0"/>
    <x v="11"/>
  </r>
  <r>
    <d v="2023-05-04T17:27:57"/>
    <x v="0"/>
    <x v="421"/>
    <x v="0"/>
    <x v="4"/>
    <x v="2"/>
    <x v="1"/>
    <x v="0"/>
    <x v="0"/>
    <n v="6"/>
    <x v="1"/>
    <x v="0"/>
    <x v="9"/>
    <x v="340"/>
    <x v="1"/>
    <x v="4"/>
  </r>
  <r>
    <d v="2023-05-04T17:44:10"/>
    <x v="0"/>
    <x v="1109"/>
    <x v="0"/>
    <x v="4"/>
    <x v="0"/>
    <x v="1"/>
    <x v="0"/>
    <x v="0"/>
    <n v="6"/>
    <x v="6"/>
    <x v="1"/>
    <x v="6"/>
    <x v="110"/>
    <x v="0"/>
    <x v="3"/>
  </r>
  <r>
    <d v="2023-05-04T18:01:56"/>
    <x v="0"/>
    <x v="1110"/>
    <x v="0"/>
    <x v="4"/>
    <x v="0"/>
    <x v="1"/>
    <x v="1"/>
    <x v="1"/>
    <n v="8"/>
    <x v="3"/>
    <x v="1"/>
    <x v="9"/>
    <x v="574"/>
    <x v="2"/>
    <x v="4"/>
  </r>
  <r>
    <d v="2023-05-04T18:02:04"/>
    <x v="0"/>
    <x v="1101"/>
    <x v="1"/>
    <x v="4"/>
    <x v="2"/>
    <x v="0"/>
    <x v="1"/>
    <x v="0"/>
    <n v="6"/>
    <x v="1"/>
    <x v="1"/>
    <x v="11"/>
    <x v="359"/>
    <x v="0"/>
    <x v="3"/>
  </r>
  <r>
    <d v="2023-05-04T18:05:48"/>
    <x v="0"/>
    <x v="406"/>
    <x v="0"/>
    <x v="4"/>
    <x v="1"/>
    <x v="3"/>
    <x v="1"/>
    <x v="1"/>
    <n v="5"/>
    <x v="5"/>
    <x v="1"/>
    <x v="8"/>
    <x v="174"/>
    <x v="1"/>
    <x v="3"/>
  </r>
  <r>
    <d v="2023-05-04T18:42:31"/>
    <x v="0"/>
    <x v="1111"/>
    <x v="0"/>
    <x v="3"/>
    <x v="0"/>
    <x v="0"/>
    <x v="0"/>
    <x v="0"/>
    <n v="1"/>
    <x v="1"/>
    <x v="1"/>
    <x v="15"/>
    <x v="221"/>
    <x v="1"/>
    <x v="4"/>
  </r>
  <r>
    <d v="2023-05-04T20:39:15"/>
    <x v="0"/>
    <x v="1112"/>
    <x v="0"/>
    <x v="4"/>
    <x v="1"/>
    <x v="0"/>
    <x v="0"/>
    <x v="0"/>
    <n v="5"/>
    <x v="1"/>
    <x v="4"/>
    <x v="8"/>
    <x v="581"/>
    <x v="2"/>
    <x v="9"/>
  </r>
  <r>
    <d v="2023-05-04T20:56:45"/>
    <x v="0"/>
    <x v="949"/>
    <x v="0"/>
    <x v="0"/>
    <x v="1"/>
    <x v="0"/>
    <x v="0"/>
    <x v="0"/>
    <n v="8"/>
    <x v="6"/>
    <x v="1"/>
    <x v="17"/>
    <x v="140"/>
    <x v="2"/>
    <x v="0"/>
  </r>
  <r>
    <d v="2023-05-04T21:39:04"/>
    <x v="0"/>
    <x v="515"/>
    <x v="1"/>
    <x v="4"/>
    <x v="2"/>
    <x v="3"/>
    <x v="0"/>
    <x v="0"/>
    <n v="8"/>
    <x v="3"/>
    <x v="1"/>
    <x v="9"/>
    <x v="371"/>
    <x v="0"/>
    <x v="3"/>
  </r>
  <r>
    <d v="2023-05-04T22:28:17"/>
    <x v="0"/>
    <x v="1113"/>
    <x v="0"/>
    <x v="4"/>
    <x v="1"/>
    <x v="0"/>
    <x v="0"/>
    <x v="0"/>
    <n v="10"/>
    <x v="0"/>
    <x v="0"/>
    <x v="7"/>
    <x v="239"/>
    <x v="0"/>
    <x v="3"/>
  </r>
  <r>
    <d v="2023-05-04T22:30:02"/>
    <x v="0"/>
    <x v="702"/>
    <x v="0"/>
    <x v="0"/>
    <x v="2"/>
    <x v="1"/>
    <x v="0"/>
    <x v="0"/>
    <n v="8"/>
    <x v="3"/>
    <x v="1"/>
    <x v="9"/>
    <x v="206"/>
    <x v="1"/>
    <x v="4"/>
  </r>
  <r>
    <d v="2023-05-05T12:03:32"/>
    <x v="0"/>
    <x v="1114"/>
    <x v="1"/>
    <x v="4"/>
    <x v="0"/>
    <x v="0"/>
    <x v="0"/>
    <x v="0"/>
    <n v="7"/>
    <x v="6"/>
    <x v="0"/>
    <x v="9"/>
    <x v="458"/>
    <x v="0"/>
    <x v="1"/>
  </r>
  <r>
    <d v="2023-05-05T12:11:09"/>
    <x v="0"/>
    <x v="964"/>
    <x v="0"/>
    <x v="0"/>
    <x v="1"/>
    <x v="1"/>
    <x v="0"/>
    <x v="0"/>
    <n v="5"/>
    <x v="1"/>
    <x v="1"/>
    <x v="15"/>
    <x v="167"/>
    <x v="1"/>
    <x v="1"/>
  </r>
  <r>
    <d v="2023-05-05T12:43:48"/>
    <x v="0"/>
    <x v="949"/>
    <x v="1"/>
    <x v="2"/>
    <x v="2"/>
    <x v="3"/>
    <x v="0"/>
    <x v="0"/>
    <n v="5"/>
    <x v="6"/>
    <x v="1"/>
    <x v="19"/>
    <x v="140"/>
    <x v="0"/>
    <x v="7"/>
  </r>
  <r>
    <d v="2023-05-05T12:48:37"/>
    <x v="0"/>
    <x v="997"/>
    <x v="0"/>
    <x v="4"/>
    <x v="1"/>
    <x v="3"/>
    <x v="0"/>
    <x v="0"/>
    <n v="5"/>
    <x v="6"/>
    <x v="2"/>
    <x v="6"/>
    <x v="338"/>
    <x v="0"/>
    <x v="1"/>
  </r>
  <r>
    <d v="2023-05-05T14:47:30"/>
    <x v="0"/>
    <x v="1115"/>
    <x v="0"/>
    <x v="3"/>
    <x v="0"/>
    <x v="0"/>
    <x v="0"/>
    <x v="0"/>
    <n v="3"/>
    <x v="1"/>
    <x v="1"/>
    <x v="24"/>
    <x v="582"/>
    <x v="1"/>
    <x v="1"/>
  </r>
  <r>
    <d v="2023-05-05T18:02:03"/>
    <x v="0"/>
    <x v="1116"/>
    <x v="1"/>
    <x v="3"/>
    <x v="2"/>
    <x v="0"/>
    <x v="0"/>
    <x v="0"/>
    <n v="3"/>
    <x v="3"/>
    <x v="1"/>
    <x v="6"/>
    <x v="142"/>
    <x v="1"/>
    <x v="4"/>
  </r>
  <r>
    <d v="2023-05-05T23:30:15"/>
    <x v="0"/>
    <x v="900"/>
    <x v="0"/>
    <x v="3"/>
    <x v="0"/>
    <x v="1"/>
    <x v="0"/>
    <x v="1"/>
    <n v="6"/>
    <x v="1"/>
    <x v="2"/>
    <x v="9"/>
    <x v="101"/>
    <x v="3"/>
    <x v="3"/>
  </r>
  <r>
    <d v="2023-05-06T00:05:31"/>
    <x v="0"/>
    <x v="194"/>
    <x v="0"/>
    <x v="3"/>
    <x v="0"/>
    <x v="0"/>
    <x v="0"/>
    <x v="0"/>
    <n v="6"/>
    <x v="6"/>
    <x v="0"/>
    <x v="6"/>
    <x v="408"/>
    <x v="0"/>
    <x v="3"/>
  </r>
  <r>
    <d v="2023-05-06T00:11:02"/>
    <x v="3"/>
    <x v="1117"/>
    <x v="1"/>
    <x v="0"/>
    <x v="0"/>
    <x v="0"/>
    <x v="0"/>
    <x v="0"/>
    <n v="5"/>
    <x v="1"/>
    <x v="1"/>
    <x v="11"/>
    <x v="200"/>
    <x v="0"/>
    <x v="1"/>
  </r>
  <r>
    <d v="2023-05-06T02:23:48"/>
    <x v="0"/>
    <x v="1118"/>
    <x v="1"/>
    <x v="3"/>
    <x v="0"/>
    <x v="0"/>
    <x v="0"/>
    <x v="0"/>
    <n v="10"/>
    <x v="6"/>
    <x v="4"/>
    <x v="11"/>
    <x v="124"/>
    <x v="2"/>
    <x v="11"/>
  </r>
  <r>
    <d v="2023-05-06T15:42:34"/>
    <x v="0"/>
    <x v="296"/>
    <x v="0"/>
    <x v="0"/>
    <x v="1"/>
    <x v="1"/>
    <x v="0"/>
    <x v="0"/>
    <n v="5"/>
    <x v="5"/>
    <x v="2"/>
    <x v="11"/>
    <x v="98"/>
    <x v="1"/>
    <x v="2"/>
  </r>
  <r>
    <d v="2023-05-06T17:06:57"/>
    <x v="0"/>
    <x v="1101"/>
    <x v="0"/>
    <x v="4"/>
    <x v="0"/>
    <x v="0"/>
    <x v="0"/>
    <x v="0"/>
    <n v="9"/>
    <x v="6"/>
    <x v="1"/>
    <x v="6"/>
    <x v="370"/>
    <x v="0"/>
    <x v="1"/>
  </r>
  <r>
    <d v="2023-05-06T19:12:05"/>
    <x v="0"/>
    <x v="164"/>
    <x v="1"/>
    <x v="3"/>
    <x v="1"/>
    <x v="0"/>
    <x v="0"/>
    <x v="0"/>
    <n v="5"/>
    <x v="1"/>
    <x v="1"/>
    <x v="11"/>
    <x v="547"/>
    <x v="0"/>
    <x v="3"/>
  </r>
  <r>
    <d v="2023-05-07T14:34:48"/>
    <x v="0"/>
    <x v="1119"/>
    <x v="0"/>
    <x v="4"/>
    <x v="0"/>
    <x v="1"/>
    <x v="1"/>
    <x v="1"/>
    <n v="9"/>
    <x v="6"/>
    <x v="1"/>
    <x v="7"/>
    <x v="400"/>
    <x v="0"/>
    <x v="7"/>
  </r>
  <r>
    <d v="2023-05-08T12:56:44"/>
    <x v="0"/>
    <x v="988"/>
    <x v="0"/>
    <x v="3"/>
    <x v="1"/>
    <x v="0"/>
    <x v="0"/>
    <x v="0"/>
    <n v="5"/>
    <x v="1"/>
    <x v="1"/>
    <x v="9"/>
    <x v="486"/>
    <x v="0"/>
    <x v="1"/>
  </r>
  <r>
    <d v="2023-05-09T07:27:39"/>
    <x v="0"/>
    <x v="1120"/>
    <x v="1"/>
    <x v="3"/>
    <x v="0"/>
    <x v="0"/>
    <x v="0"/>
    <x v="0"/>
    <n v="3"/>
    <x v="6"/>
    <x v="1"/>
    <x v="19"/>
    <x v="30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what type of manager you prefer ">
  <location ref="A59:B65" firstHeaderRow="1" firstDataRow="1" firstDataCol="1"/>
  <pivotFields count="16">
    <pivotField numFmtId="164" showAll="0"/>
    <pivotField showAll="0"/>
    <pivotField showAll="0"/>
    <pivotField dataField="1" multipleItemSelectionAllowed="1" showAll="0">
      <items count="4">
        <item x="1"/>
        <item h="1" x="0"/>
        <item h="1" x="2"/>
        <item t="default"/>
      </items>
    </pivotField>
    <pivotField showAll="0">
      <items count="6">
        <item x="3"/>
        <item x="4"/>
        <item x="2"/>
        <item x="0"/>
        <item x="1"/>
        <item t="default"/>
      </items>
    </pivotField>
    <pivotField showAll="0">
      <items count="4">
        <item x="2"/>
        <item x="1"/>
        <item x="0"/>
        <item t="default"/>
      </items>
    </pivotField>
    <pivotField showAll="0">
      <items count="5">
        <item x="3"/>
        <item x="2"/>
        <item x="0"/>
        <item x="1"/>
        <item t="default"/>
      </items>
    </pivotField>
    <pivotField showAll="0"/>
    <pivotField showAll="0"/>
    <pivotField showAll="0"/>
    <pivotField showAll="0">
      <items count="8">
        <item x="3"/>
        <item x="0"/>
        <item x="1"/>
        <item x="4"/>
        <item x="2"/>
        <item x="5"/>
        <item x="6"/>
        <item t="default"/>
      </items>
    </pivotField>
    <pivotField showAll="0">
      <items count="6">
        <item x="2"/>
        <item x="3"/>
        <item x="1"/>
        <item x="0"/>
        <item x="4"/>
        <item t="default"/>
      </items>
    </pivotField>
    <pivotField showAll="0">
      <items count="27">
        <item x="4"/>
        <item x="19"/>
        <item x="16"/>
        <item x="6"/>
        <item x="12"/>
        <item x="0"/>
        <item x="8"/>
        <item x="24"/>
        <item x="25"/>
        <item x="5"/>
        <item x="15"/>
        <item x="22"/>
        <item x="9"/>
        <item x="7"/>
        <item x="18"/>
        <item x="11"/>
        <item x="10"/>
        <item x="14"/>
        <item x="17"/>
        <item x="20"/>
        <item x="13"/>
        <item x="21"/>
        <item x="1"/>
        <item x="3"/>
        <item x="2"/>
        <item x="23"/>
        <item t="default"/>
      </items>
    </pivotField>
    <pivotField showAll="0">
      <items count="584">
        <item x="315"/>
        <item x="472"/>
        <item x="235"/>
        <item x="157"/>
        <item x="311"/>
        <item x="80"/>
        <item x="561"/>
        <item x="123"/>
        <item x="451"/>
        <item x="37"/>
        <item x="289"/>
        <item x="346"/>
        <item x="210"/>
        <item x="189"/>
        <item x="386"/>
        <item x="313"/>
        <item x="146"/>
        <item x="381"/>
        <item x="411"/>
        <item x="281"/>
        <item x="559"/>
        <item x="34"/>
        <item x="270"/>
        <item x="564"/>
        <item x="97"/>
        <item x="103"/>
        <item x="199"/>
        <item x="314"/>
        <item x="91"/>
        <item x="263"/>
        <item x="118"/>
        <item x="438"/>
        <item x="32"/>
        <item x="567"/>
        <item x="148"/>
        <item x="175"/>
        <item x="528"/>
        <item x="241"/>
        <item x="549"/>
        <item x="102"/>
        <item x="514"/>
        <item x="36"/>
        <item x="342"/>
        <item x="422"/>
        <item x="322"/>
        <item x="186"/>
        <item x="129"/>
        <item x="538"/>
        <item x="267"/>
        <item x="440"/>
        <item x="340"/>
        <item x="216"/>
        <item x="1"/>
        <item x="400"/>
        <item x="547"/>
        <item x="201"/>
        <item x="480"/>
        <item x="119"/>
        <item x="359"/>
        <item x="382"/>
        <item x="0"/>
        <item x="251"/>
        <item x="212"/>
        <item x="292"/>
        <item x="570"/>
        <item x="92"/>
        <item x="529"/>
        <item x="486"/>
        <item x="494"/>
        <item x="83"/>
        <item x="317"/>
        <item x="38"/>
        <item x="227"/>
        <item x="404"/>
        <item x="94"/>
        <item x="366"/>
        <item x="513"/>
        <item x="525"/>
        <item x="542"/>
        <item x="151"/>
        <item x="203"/>
        <item x="173"/>
        <item x="187"/>
        <item x="90"/>
        <item x="323"/>
        <item x="344"/>
        <item x="442"/>
        <item x="501"/>
        <item x="293"/>
        <item x="30"/>
        <item x="406"/>
        <item x="125"/>
        <item x="319"/>
        <item x="66"/>
        <item x="554"/>
        <item x="563"/>
        <item x="374"/>
        <item x="523"/>
        <item x="53"/>
        <item x="277"/>
        <item x="531"/>
        <item x="15"/>
        <item x="246"/>
        <item x="479"/>
        <item x="243"/>
        <item x="200"/>
        <item x="276"/>
        <item x="109"/>
        <item x="219"/>
        <item x="326"/>
        <item x="231"/>
        <item x="49"/>
        <item x="274"/>
        <item x="226"/>
        <item x="260"/>
        <item x="236"/>
        <item x="3"/>
        <item x="108"/>
        <item x="540"/>
        <item x="245"/>
        <item x="398"/>
        <item x="194"/>
        <item x="522"/>
        <item x="54"/>
        <item x="489"/>
        <item x="286"/>
        <item x="482"/>
        <item x="341"/>
        <item x="14"/>
        <item x="163"/>
        <item x="562"/>
        <item x="365"/>
        <item x="28"/>
        <item x="430"/>
        <item x="407"/>
        <item x="280"/>
        <item x="207"/>
        <item x="229"/>
        <item x="234"/>
        <item x="89"/>
        <item x="384"/>
        <item x="269"/>
        <item x="508"/>
        <item x="87"/>
        <item x="460"/>
        <item x="524"/>
        <item x="259"/>
        <item x="492"/>
        <item x="145"/>
        <item x="566"/>
        <item x="443"/>
        <item x="112"/>
        <item x="70"/>
        <item x="265"/>
        <item x="144"/>
        <item x="17"/>
        <item x="116"/>
        <item x="134"/>
        <item x="128"/>
        <item x="423"/>
        <item x="325"/>
        <item x="214"/>
        <item x="521"/>
        <item x="462"/>
        <item x="413"/>
        <item x="295"/>
        <item x="23"/>
        <item x="172"/>
        <item x="307"/>
        <item x="196"/>
        <item x="485"/>
        <item x="50"/>
        <item x="424"/>
        <item x="519"/>
        <item x="318"/>
        <item x="539"/>
        <item x="377"/>
        <item x="86"/>
        <item x="115"/>
        <item x="300"/>
        <item x="13"/>
        <item x="247"/>
        <item x="345"/>
        <item x="304"/>
        <item x="72"/>
        <item x="165"/>
        <item x="206"/>
        <item x="132"/>
        <item x="140"/>
        <item x="349"/>
        <item x="197"/>
        <item x="121"/>
        <item x="198"/>
        <item x="432"/>
        <item x="21"/>
        <item x="396"/>
        <item x="240"/>
        <item x="301"/>
        <item x="308"/>
        <item x="321"/>
        <item x="166"/>
        <item x="428"/>
        <item x="221"/>
        <item x="100"/>
        <item x="376"/>
        <item x="546"/>
        <item x="5"/>
        <item x="113"/>
        <item x="431"/>
        <item x="124"/>
        <item x="329"/>
        <item x="412"/>
        <item x="239"/>
        <item x="63"/>
        <item x="250"/>
        <item x="217"/>
        <item x="141"/>
        <item x="143"/>
        <item x="224"/>
        <item x="350"/>
        <item x="111"/>
        <item x="302"/>
        <item x="149"/>
        <item x="107"/>
        <item x="20"/>
        <item x="202"/>
        <item x="96"/>
        <item x="59"/>
        <item x="455"/>
        <item x="425"/>
        <item x="445"/>
        <item x="474"/>
        <item x="35"/>
        <item x="152"/>
        <item x="262"/>
        <item x="499"/>
        <item x="266"/>
        <item x="162"/>
        <item x="41"/>
        <item x="402"/>
        <item x="464"/>
        <item x="351"/>
        <item x="154"/>
        <item x="170"/>
        <item x="419"/>
        <item x="81"/>
        <item x="417"/>
        <item x="232"/>
        <item x="261"/>
        <item x="290"/>
        <item x="46"/>
        <item x="184"/>
        <item x="158"/>
        <item x="456"/>
        <item x="254"/>
        <item x="275"/>
        <item x="43"/>
        <item x="403"/>
        <item x="362"/>
        <item x="502"/>
        <item x="389"/>
        <item x="527"/>
        <item x="58"/>
        <item x="222"/>
        <item x="385"/>
        <item x="272"/>
        <item x="551"/>
        <item x="395"/>
        <item x="44"/>
        <item x="582"/>
        <item x="370"/>
        <item x="10"/>
        <item x="433"/>
        <item x="356"/>
        <item x="179"/>
        <item x="153"/>
        <item x="463"/>
        <item x="114"/>
        <item x="159"/>
        <item x="160"/>
        <item x="209"/>
        <item x="19"/>
        <item x="142"/>
        <item x="476"/>
        <item x="388"/>
        <item x="191"/>
        <item x="475"/>
        <item x="122"/>
        <item x="434"/>
        <item x="225"/>
        <item x="133"/>
        <item x="437"/>
        <item x="24"/>
        <item x="348"/>
        <item x="110"/>
        <item x="461"/>
        <item x="378"/>
        <item x="188"/>
        <item x="67"/>
        <item x="127"/>
        <item x="331"/>
        <item x="78"/>
        <item x="481"/>
        <item x="465"/>
        <item x="130"/>
        <item x="397"/>
        <item x="560"/>
        <item x="327"/>
        <item x="491"/>
        <item x="138"/>
        <item x="164"/>
        <item x="230"/>
        <item x="410"/>
        <item x="156"/>
        <item x="353"/>
        <item x="99"/>
        <item x="161"/>
        <item x="176"/>
        <item x="416"/>
        <item x="215"/>
        <item x="101"/>
        <item x="174"/>
        <item x="249"/>
        <item x="436"/>
        <item x="320"/>
        <item x="257"/>
        <item x="309"/>
        <item x="285"/>
        <item x="506"/>
        <item x="532"/>
        <item x="335"/>
        <item x="520"/>
        <item x="439"/>
        <item x="446"/>
        <item x="468"/>
        <item x="288"/>
        <item x="375"/>
        <item x="136"/>
        <item x="399"/>
        <item x="453"/>
        <item x="490"/>
        <item x="155"/>
        <item x="180"/>
        <item x="190"/>
        <item x="576"/>
        <item x="380"/>
        <item x="355"/>
        <item x="458"/>
        <item x="555"/>
        <item x="218"/>
        <item x="332"/>
        <item x="205"/>
        <item x="282"/>
        <item x="334"/>
        <item x="550"/>
        <item x="297"/>
        <item x="39"/>
        <item x="16"/>
        <item x="27"/>
        <item x="12"/>
        <item x="29"/>
        <item x="9"/>
        <item x="64"/>
        <item x="18"/>
        <item x="557"/>
        <item x="371"/>
        <item x="237"/>
        <item x="420"/>
        <item x="556"/>
        <item x="408"/>
        <item x="457"/>
        <item x="510"/>
        <item x="84"/>
        <item x="448"/>
        <item x="565"/>
        <item x="535"/>
        <item x="495"/>
        <item x="544"/>
        <item x="69"/>
        <item x="536"/>
        <item x="135"/>
        <item x="581"/>
        <item x="8"/>
        <item x="192"/>
        <item x="357"/>
        <item x="530"/>
        <item x="45"/>
        <item x="409"/>
        <item x="478"/>
        <item x="548"/>
        <item x="106"/>
        <item x="252"/>
        <item x="372"/>
        <item x="264"/>
        <item x="104"/>
        <item x="42"/>
        <item x="120"/>
        <item x="373"/>
        <item x="568"/>
        <item x="169"/>
        <item x="273"/>
        <item x="52"/>
        <item x="47"/>
        <item x="511"/>
        <item x="526"/>
        <item x="516"/>
        <item x="444"/>
        <item x="533"/>
        <item x="55"/>
        <item x="316"/>
        <item x="256"/>
        <item x="310"/>
        <item x="139"/>
        <item x="296"/>
        <item x="391"/>
        <item x="204"/>
        <item x="33"/>
        <item x="469"/>
        <item x="336"/>
        <item x="182"/>
        <item x="337"/>
        <item x="233"/>
        <item x="573"/>
        <item x="168"/>
        <item x="305"/>
        <item x="211"/>
        <item x="62"/>
        <item x="364"/>
        <item x="507"/>
        <item x="2"/>
        <item x="360"/>
        <item x="195"/>
        <item x="447"/>
        <item x="56"/>
        <item x="147"/>
        <item x="98"/>
        <item x="368"/>
        <item x="85"/>
        <item x="390"/>
        <item x="572"/>
        <item x="339"/>
        <item x="208"/>
        <item x="401"/>
        <item x="60"/>
        <item x="369"/>
        <item x="358"/>
        <item x="512"/>
        <item x="7"/>
        <item x="415"/>
        <item x="238"/>
        <item x="105"/>
        <item x="75"/>
        <item x="471"/>
        <item x="48"/>
        <item x="137"/>
        <item x="213"/>
        <item x="405"/>
        <item x="298"/>
        <item x="255"/>
        <item x="498"/>
        <item x="271"/>
        <item x="287"/>
        <item x="500"/>
        <item x="441"/>
        <item x="167"/>
        <item x="569"/>
        <item x="312"/>
        <item x="473"/>
        <item x="258"/>
        <item x="363"/>
        <item x="220"/>
        <item x="517"/>
        <item x="379"/>
        <item x="518"/>
        <item x="328"/>
        <item x="452"/>
        <item x="117"/>
        <item x="426"/>
        <item x="387"/>
        <item x="450"/>
        <item x="181"/>
        <item x="268"/>
        <item x="574"/>
        <item x="393"/>
        <item x="484"/>
        <item x="352"/>
        <item x="283"/>
        <item x="228"/>
        <item x="553"/>
        <item x="333"/>
        <item x="284"/>
        <item x="294"/>
        <item x="253"/>
        <item x="509"/>
        <item x="354"/>
        <item x="367"/>
        <item x="361"/>
        <item x="435"/>
        <item x="470"/>
        <item x="418"/>
        <item x="178"/>
        <item x="303"/>
        <item x="299"/>
        <item x="248"/>
        <item x="95"/>
        <item x="545"/>
        <item x="347"/>
        <item x="571"/>
        <item x="577"/>
        <item x="449"/>
        <item x="150"/>
        <item x="330"/>
        <item x="543"/>
        <item x="429"/>
        <item x="223"/>
        <item x="579"/>
        <item x="244"/>
        <item x="185"/>
        <item x="131"/>
        <item x="504"/>
        <item x="279"/>
        <item x="459"/>
        <item x="488"/>
        <item x="383"/>
        <item x="552"/>
        <item x="306"/>
        <item x="343"/>
        <item x="534"/>
        <item x="487"/>
        <item x="578"/>
        <item x="477"/>
        <item x="454"/>
        <item x="183"/>
        <item x="126"/>
        <item x="171"/>
        <item x="580"/>
        <item x="515"/>
        <item x="278"/>
        <item x="177"/>
        <item x="466"/>
        <item x="558"/>
        <item x="493"/>
        <item x="503"/>
        <item x="291"/>
        <item x="505"/>
        <item x="392"/>
        <item x="242"/>
        <item x="338"/>
        <item x="483"/>
        <item x="414"/>
        <item x="537"/>
        <item x="575"/>
        <item x="427"/>
        <item x="65"/>
        <item x="68"/>
        <item x="11"/>
        <item x="40"/>
        <item x="71"/>
        <item x="51"/>
        <item x="4"/>
        <item x="79"/>
        <item x="77"/>
        <item x="61"/>
        <item x="26"/>
        <item x="74"/>
        <item x="6"/>
        <item x="22"/>
        <item x="73"/>
        <item x="57"/>
        <item x="82"/>
        <item x="31"/>
        <item x="93"/>
        <item x="25"/>
        <item x="76"/>
        <item x="421"/>
        <item x="193"/>
        <item x="496"/>
        <item x="541"/>
        <item x="324"/>
        <item x="497"/>
        <item x="467"/>
        <item x="88"/>
        <item x="394"/>
        <item t="default"/>
      </items>
    </pivotField>
    <pivotField axis="axisRow" showAll="0">
      <items count="6">
        <item x="2"/>
        <item x="0"/>
        <item x="1"/>
        <item x="3"/>
        <item x="4"/>
        <item t="default"/>
      </items>
    </pivotField>
    <pivotField showAll="0">
      <items count="27">
        <item x="6"/>
        <item x="11"/>
        <item x="5"/>
        <item x="19"/>
        <item x="0"/>
        <item x="10"/>
        <item x="21"/>
        <item x="9"/>
        <item x="25"/>
        <item x="24"/>
        <item x="22"/>
        <item x="13"/>
        <item x="3"/>
        <item x="2"/>
        <item x="16"/>
        <item x="14"/>
        <item x="20"/>
        <item x="17"/>
        <item x="23"/>
        <item x="1"/>
        <item x="8"/>
        <item x="12"/>
        <item x="18"/>
        <item x="4"/>
        <item x="15"/>
        <item x="7"/>
        <item t="default"/>
      </items>
    </pivotField>
  </pivotFields>
  <rowFields count="1">
    <field x="14"/>
  </rowFields>
  <rowItems count="6">
    <i>
      <x/>
    </i>
    <i>
      <x v="1"/>
    </i>
    <i>
      <x v="2"/>
    </i>
    <i>
      <x v="3"/>
    </i>
    <i>
      <x v="4"/>
    </i>
    <i t="grand">
      <x/>
    </i>
  </rowItems>
  <colItems count="1">
    <i/>
  </colItems>
  <dataFields count="1">
    <dataField name="Count of gender" fld="3"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4" count="1" selected="0">
            <x v="0"/>
          </reference>
        </references>
      </pivotArea>
    </chartFormat>
    <chartFormat chart="2" format="9">
      <pivotArea type="data" outline="0" fieldPosition="0">
        <references count="2">
          <reference field="4294967294" count="1" selected="0">
            <x v="0"/>
          </reference>
          <reference field="14" count="1" selected="0">
            <x v="1"/>
          </reference>
        </references>
      </pivotArea>
    </chartFormat>
    <chartFormat chart="2" format="10">
      <pivotArea type="data" outline="0" fieldPosition="0">
        <references count="2">
          <reference field="4294967294" count="1" selected="0">
            <x v="0"/>
          </reference>
          <reference field="14" count="1" selected="0">
            <x v="2"/>
          </reference>
        </references>
      </pivotArea>
    </chartFormat>
    <chartFormat chart="2" format="11">
      <pivotArea type="data" outline="0" fieldPosition="0">
        <references count="2">
          <reference field="4294967294" count="1" selected="0">
            <x v="0"/>
          </reference>
          <reference field="14" count="1" selected="0">
            <x v="3"/>
          </reference>
        </references>
      </pivotArea>
    </chartFormat>
    <chartFormat chart="2" format="12">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will work for 3 years or more">
  <location ref="A22:B27" firstHeaderRow="1" firstDataRow="1" firstDataCol="1"/>
  <pivotFields count="16">
    <pivotField numFmtId="164" showAll="0"/>
    <pivotField showAll="0"/>
    <pivotField showAll="0"/>
    <pivotField dataField="1" multipleItemSelectionAllowed="1" showAll="0">
      <items count="4">
        <item x="1"/>
        <item h="1" x="0"/>
        <item h="1" x="2"/>
        <item t="default"/>
      </items>
    </pivotField>
    <pivotField showAll="0">
      <items count="6">
        <item x="3"/>
        <item x="4"/>
        <item x="2"/>
        <item x="0"/>
        <item x="1"/>
        <item t="default"/>
      </items>
    </pivotField>
    <pivotField showAll="0">
      <items count="4">
        <item x="2"/>
        <item x="1"/>
        <item x="0"/>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gender"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how get inspired">
  <location ref="A33:B39" firstHeaderRow="1" firstDataRow="1" firstDataCol="1"/>
  <pivotFields count="16">
    <pivotField numFmtId="164" showAll="0"/>
    <pivotField showAll="0"/>
    <pivotField showAll="0"/>
    <pivotField dataField="1" multipleItemSelectionAllowed="1" showAll="0">
      <items count="4">
        <item x="1"/>
        <item h="1" x="0"/>
        <item h="1" x="2"/>
        <item t="default"/>
      </items>
    </pivotField>
    <pivotField axis="axisRow" showAll="0">
      <items count="6">
        <item x="3"/>
        <item x="4"/>
        <item x="2"/>
        <item x="0"/>
        <item x="1"/>
        <item t="default"/>
      </items>
    </pivotField>
    <pivotField showAll="0">
      <items count="4">
        <item x="2"/>
        <item x="1"/>
        <item x="0"/>
        <item t="default"/>
      </items>
    </pivotField>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gender"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mpany having misaligned with client ">
  <location ref="A43:B46" firstHeaderRow="1" firstDataRow="1" firstDataCol="1"/>
  <pivotFields count="16">
    <pivotField numFmtId="164" showAll="0"/>
    <pivotField showAll="0"/>
    <pivotField showAll="0"/>
    <pivotField dataField="1" showAll="0" countASubtotal="1">
      <items count="4">
        <item x="1"/>
        <item h="1" x="0"/>
        <item h="1" x="2"/>
        <item t="countA"/>
      </items>
    </pivotField>
    <pivotField showAll="0"/>
    <pivotField showAll="0">
      <items count="4">
        <item x="2"/>
        <item x="1"/>
        <item x="0"/>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efered employer">
  <location ref="A67:B73" firstHeaderRow="1" firstDataRow="1" firstDataCol="1"/>
  <pivotFields count="16">
    <pivotField numFmtId="164" showAll="0"/>
    <pivotField showAll="0"/>
    <pivotField showAll="0"/>
    <pivotField dataField="1" multipleItemSelectionAllowed="1" showAll="0">
      <items count="4">
        <item x="1"/>
        <item h="1" x="0"/>
        <item h="1" x="2"/>
        <item t="default"/>
      </items>
    </pivotField>
    <pivotField showAll="0">
      <items count="6">
        <item x="3"/>
        <item x="4"/>
        <item x="2"/>
        <item x="0"/>
        <item x="1"/>
        <item t="default"/>
      </items>
    </pivotField>
    <pivotField showAll="0">
      <items count="4">
        <item x="2"/>
        <item x="1"/>
        <item x="0"/>
        <item t="default"/>
      </items>
    </pivotField>
    <pivotField showAll="0">
      <items count="5">
        <item x="3"/>
        <item x="2"/>
        <item x="0"/>
        <item x="1"/>
        <item t="default"/>
      </items>
    </pivotField>
    <pivotField showAll="0"/>
    <pivotField showAll="0"/>
    <pivotField showAll="0"/>
    <pivotField showAll="0">
      <items count="8">
        <item x="3"/>
        <item x="0"/>
        <item x="1"/>
        <item x="4"/>
        <item x="2"/>
        <item x="5"/>
        <item x="6"/>
        <item t="default"/>
      </items>
    </pivotField>
    <pivotField axis="axisRow" showAll="0">
      <items count="6">
        <item x="2"/>
        <item x="3"/>
        <item x="1"/>
        <item x="0"/>
        <item x="4"/>
        <item t="default"/>
      </items>
    </pivotField>
    <pivotField showAll="0">
      <items count="27">
        <item x="4"/>
        <item x="19"/>
        <item x="16"/>
        <item x="6"/>
        <item x="12"/>
        <item x="0"/>
        <item x="8"/>
        <item x="24"/>
        <item x="25"/>
        <item x="5"/>
        <item x="15"/>
        <item x="22"/>
        <item x="9"/>
        <item x="7"/>
        <item x="18"/>
        <item x="11"/>
        <item x="10"/>
        <item x="14"/>
        <item x="17"/>
        <item x="20"/>
        <item x="13"/>
        <item x="21"/>
        <item x="1"/>
        <item x="3"/>
        <item x="2"/>
        <item x="23"/>
        <item t="default"/>
      </items>
    </pivotField>
    <pivotField showAll="0">
      <items count="584">
        <item x="315"/>
        <item x="472"/>
        <item x="235"/>
        <item x="157"/>
        <item x="311"/>
        <item x="80"/>
        <item x="561"/>
        <item x="123"/>
        <item x="451"/>
        <item x="37"/>
        <item x="289"/>
        <item x="346"/>
        <item x="210"/>
        <item x="189"/>
        <item x="386"/>
        <item x="313"/>
        <item x="146"/>
        <item x="381"/>
        <item x="411"/>
        <item x="281"/>
        <item x="559"/>
        <item x="34"/>
        <item x="270"/>
        <item x="564"/>
        <item x="97"/>
        <item x="103"/>
        <item x="199"/>
        <item x="314"/>
        <item x="91"/>
        <item x="263"/>
        <item x="118"/>
        <item x="438"/>
        <item x="32"/>
        <item x="567"/>
        <item x="148"/>
        <item x="175"/>
        <item x="528"/>
        <item x="241"/>
        <item x="549"/>
        <item x="102"/>
        <item x="514"/>
        <item x="36"/>
        <item x="342"/>
        <item x="422"/>
        <item x="322"/>
        <item x="186"/>
        <item x="129"/>
        <item x="538"/>
        <item x="267"/>
        <item x="440"/>
        <item x="340"/>
        <item x="216"/>
        <item x="1"/>
        <item x="400"/>
        <item x="547"/>
        <item x="201"/>
        <item x="480"/>
        <item x="119"/>
        <item x="359"/>
        <item x="382"/>
        <item x="0"/>
        <item x="251"/>
        <item x="212"/>
        <item x="292"/>
        <item x="570"/>
        <item x="92"/>
        <item x="529"/>
        <item x="486"/>
        <item x="494"/>
        <item x="83"/>
        <item x="317"/>
        <item x="38"/>
        <item x="227"/>
        <item x="404"/>
        <item x="94"/>
        <item x="366"/>
        <item x="513"/>
        <item x="525"/>
        <item x="542"/>
        <item x="151"/>
        <item x="203"/>
        <item x="173"/>
        <item x="187"/>
        <item x="90"/>
        <item x="323"/>
        <item x="344"/>
        <item x="442"/>
        <item x="501"/>
        <item x="293"/>
        <item x="30"/>
        <item x="406"/>
        <item x="125"/>
        <item x="319"/>
        <item x="66"/>
        <item x="554"/>
        <item x="563"/>
        <item x="374"/>
        <item x="523"/>
        <item x="53"/>
        <item x="277"/>
        <item x="531"/>
        <item x="15"/>
        <item x="246"/>
        <item x="479"/>
        <item x="243"/>
        <item x="200"/>
        <item x="276"/>
        <item x="109"/>
        <item x="219"/>
        <item x="326"/>
        <item x="231"/>
        <item x="49"/>
        <item x="274"/>
        <item x="226"/>
        <item x="260"/>
        <item x="236"/>
        <item x="3"/>
        <item x="108"/>
        <item x="540"/>
        <item x="245"/>
        <item x="398"/>
        <item x="194"/>
        <item x="522"/>
        <item x="54"/>
        <item x="489"/>
        <item x="286"/>
        <item x="482"/>
        <item x="341"/>
        <item x="14"/>
        <item x="163"/>
        <item x="562"/>
        <item x="365"/>
        <item x="28"/>
        <item x="430"/>
        <item x="407"/>
        <item x="280"/>
        <item x="207"/>
        <item x="229"/>
        <item x="234"/>
        <item x="89"/>
        <item x="384"/>
        <item x="269"/>
        <item x="508"/>
        <item x="87"/>
        <item x="460"/>
        <item x="524"/>
        <item x="259"/>
        <item x="492"/>
        <item x="145"/>
        <item x="566"/>
        <item x="443"/>
        <item x="112"/>
        <item x="70"/>
        <item x="265"/>
        <item x="144"/>
        <item x="17"/>
        <item x="116"/>
        <item x="134"/>
        <item x="128"/>
        <item x="423"/>
        <item x="325"/>
        <item x="214"/>
        <item x="521"/>
        <item x="462"/>
        <item x="413"/>
        <item x="295"/>
        <item x="23"/>
        <item x="172"/>
        <item x="307"/>
        <item x="196"/>
        <item x="485"/>
        <item x="50"/>
        <item x="424"/>
        <item x="519"/>
        <item x="318"/>
        <item x="539"/>
        <item x="377"/>
        <item x="86"/>
        <item x="115"/>
        <item x="300"/>
        <item x="13"/>
        <item x="247"/>
        <item x="345"/>
        <item x="304"/>
        <item x="72"/>
        <item x="165"/>
        <item x="206"/>
        <item x="132"/>
        <item x="140"/>
        <item x="349"/>
        <item x="197"/>
        <item x="121"/>
        <item x="198"/>
        <item x="432"/>
        <item x="21"/>
        <item x="396"/>
        <item x="240"/>
        <item x="301"/>
        <item x="308"/>
        <item x="321"/>
        <item x="166"/>
        <item x="428"/>
        <item x="221"/>
        <item x="100"/>
        <item x="376"/>
        <item x="546"/>
        <item x="5"/>
        <item x="113"/>
        <item x="431"/>
        <item x="124"/>
        <item x="329"/>
        <item x="412"/>
        <item x="239"/>
        <item x="63"/>
        <item x="250"/>
        <item x="217"/>
        <item x="141"/>
        <item x="143"/>
        <item x="224"/>
        <item x="350"/>
        <item x="111"/>
        <item x="302"/>
        <item x="149"/>
        <item x="107"/>
        <item x="20"/>
        <item x="202"/>
        <item x="96"/>
        <item x="59"/>
        <item x="455"/>
        <item x="425"/>
        <item x="445"/>
        <item x="474"/>
        <item x="35"/>
        <item x="152"/>
        <item x="262"/>
        <item x="499"/>
        <item x="266"/>
        <item x="162"/>
        <item x="41"/>
        <item x="402"/>
        <item x="464"/>
        <item x="351"/>
        <item x="154"/>
        <item x="170"/>
        <item x="419"/>
        <item x="81"/>
        <item x="417"/>
        <item x="232"/>
        <item x="261"/>
        <item x="290"/>
        <item x="46"/>
        <item x="184"/>
        <item x="158"/>
        <item x="456"/>
        <item x="254"/>
        <item x="275"/>
        <item x="43"/>
        <item x="403"/>
        <item x="362"/>
        <item x="502"/>
        <item x="389"/>
        <item x="527"/>
        <item x="58"/>
        <item x="222"/>
        <item x="385"/>
        <item x="272"/>
        <item x="551"/>
        <item x="395"/>
        <item x="44"/>
        <item x="582"/>
        <item x="370"/>
        <item x="10"/>
        <item x="433"/>
        <item x="356"/>
        <item x="179"/>
        <item x="153"/>
        <item x="463"/>
        <item x="114"/>
        <item x="159"/>
        <item x="160"/>
        <item x="209"/>
        <item x="19"/>
        <item x="142"/>
        <item x="476"/>
        <item x="388"/>
        <item x="191"/>
        <item x="475"/>
        <item x="122"/>
        <item x="434"/>
        <item x="225"/>
        <item x="133"/>
        <item x="437"/>
        <item x="24"/>
        <item x="348"/>
        <item x="110"/>
        <item x="461"/>
        <item x="378"/>
        <item x="188"/>
        <item x="67"/>
        <item x="127"/>
        <item x="331"/>
        <item x="78"/>
        <item x="481"/>
        <item x="465"/>
        <item x="130"/>
        <item x="397"/>
        <item x="560"/>
        <item x="327"/>
        <item x="491"/>
        <item x="138"/>
        <item x="164"/>
        <item x="230"/>
        <item x="410"/>
        <item x="156"/>
        <item x="353"/>
        <item x="99"/>
        <item x="161"/>
        <item x="176"/>
        <item x="416"/>
        <item x="215"/>
        <item x="101"/>
        <item x="174"/>
        <item x="249"/>
        <item x="436"/>
        <item x="320"/>
        <item x="257"/>
        <item x="309"/>
        <item x="285"/>
        <item x="506"/>
        <item x="532"/>
        <item x="335"/>
        <item x="520"/>
        <item x="439"/>
        <item x="446"/>
        <item x="468"/>
        <item x="288"/>
        <item x="375"/>
        <item x="136"/>
        <item x="399"/>
        <item x="453"/>
        <item x="490"/>
        <item x="155"/>
        <item x="180"/>
        <item x="190"/>
        <item x="576"/>
        <item x="380"/>
        <item x="355"/>
        <item x="458"/>
        <item x="555"/>
        <item x="218"/>
        <item x="332"/>
        <item x="205"/>
        <item x="282"/>
        <item x="334"/>
        <item x="550"/>
        <item x="297"/>
        <item x="39"/>
        <item x="16"/>
        <item x="27"/>
        <item x="12"/>
        <item x="29"/>
        <item x="9"/>
        <item x="64"/>
        <item x="18"/>
        <item x="557"/>
        <item x="371"/>
        <item x="237"/>
        <item x="420"/>
        <item x="556"/>
        <item x="408"/>
        <item x="457"/>
        <item x="510"/>
        <item x="84"/>
        <item x="448"/>
        <item x="565"/>
        <item x="535"/>
        <item x="495"/>
        <item x="544"/>
        <item x="69"/>
        <item x="536"/>
        <item x="135"/>
        <item x="581"/>
        <item x="8"/>
        <item x="192"/>
        <item x="357"/>
        <item x="530"/>
        <item x="45"/>
        <item x="409"/>
        <item x="478"/>
        <item x="548"/>
        <item x="106"/>
        <item x="252"/>
        <item x="372"/>
        <item x="264"/>
        <item x="104"/>
        <item x="42"/>
        <item x="120"/>
        <item x="373"/>
        <item x="568"/>
        <item x="169"/>
        <item x="273"/>
        <item x="52"/>
        <item x="47"/>
        <item x="511"/>
        <item x="526"/>
        <item x="516"/>
        <item x="444"/>
        <item x="533"/>
        <item x="55"/>
        <item x="316"/>
        <item x="256"/>
        <item x="310"/>
        <item x="139"/>
        <item x="296"/>
        <item x="391"/>
        <item x="204"/>
        <item x="33"/>
        <item x="469"/>
        <item x="336"/>
        <item x="182"/>
        <item x="337"/>
        <item x="233"/>
        <item x="573"/>
        <item x="168"/>
        <item x="305"/>
        <item x="211"/>
        <item x="62"/>
        <item x="364"/>
        <item x="507"/>
        <item x="2"/>
        <item x="360"/>
        <item x="195"/>
        <item x="447"/>
        <item x="56"/>
        <item x="147"/>
        <item x="98"/>
        <item x="368"/>
        <item x="85"/>
        <item x="390"/>
        <item x="572"/>
        <item x="339"/>
        <item x="208"/>
        <item x="401"/>
        <item x="60"/>
        <item x="369"/>
        <item x="358"/>
        <item x="512"/>
        <item x="7"/>
        <item x="415"/>
        <item x="238"/>
        <item x="105"/>
        <item x="75"/>
        <item x="471"/>
        <item x="48"/>
        <item x="137"/>
        <item x="213"/>
        <item x="405"/>
        <item x="298"/>
        <item x="255"/>
        <item x="498"/>
        <item x="271"/>
        <item x="287"/>
        <item x="500"/>
        <item x="441"/>
        <item x="167"/>
        <item x="569"/>
        <item x="312"/>
        <item x="473"/>
        <item x="258"/>
        <item x="363"/>
        <item x="220"/>
        <item x="517"/>
        <item x="379"/>
        <item x="518"/>
        <item x="328"/>
        <item x="452"/>
        <item x="117"/>
        <item x="426"/>
        <item x="387"/>
        <item x="450"/>
        <item x="181"/>
        <item x="268"/>
        <item x="574"/>
        <item x="393"/>
        <item x="484"/>
        <item x="352"/>
        <item x="283"/>
        <item x="228"/>
        <item x="553"/>
        <item x="333"/>
        <item x="284"/>
        <item x="294"/>
        <item x="253"/>
        <item x="509"/>
        <item x="354"/>
        <item x="367"/>
        <item x="361"/>
        <item x="435"/>
        <item x="470"/>
        <item x="418"/>
        <item x="178"/>
        <item x="303"/>
        <item x="299"/>
        <item x="248"/>
        <item x="95"/>
        <item x="545"/>
        <item x="347"/>
        <item x="571"/>
        <item x="577"/>
        <item x="449"/>
        <item x="150"/>
        <item x="330"/>
        <item x="543"/>
        <item x="429"/>
        <item x="223"/>
        <item x="579"/>
        <item x="244"/>
        <item x="185"/>
        <item x="131"/>
        <item x="504"/>
        <item x="279"/>
        <item x="459"/>
        <item x="488"/>
        <item x="383"/>
        <item x="552"/>
        <item x="306"/>
        <item x="343"/>
        <item x="534"/>
        <item x="487"/>
        <item x="578"/>
        <item x="477"/>
        <item x="454"/>
        <item x="183"/>
        <item x="126"/>
        <item x="171"/>
        <item x="580"/>
        <item x="515"/>
        <item x="278"/>
        <item x="177"/>
        <item x="466"/>
        <item x="558"/>
        <item x="493"/>
        <item x="503"/>
        <item x="291"/>
        <item x="505"/>
        <item x="392"/>
        <item x="242"/>
        <item x="338"/>
        <item x="483"/>
        <item x="414"/>
        <item x="537"/>
        <item x="575"/>
        <item x="427"/>
        <item x="65"/>
        <item x="68"/>
        <item x="11"/>
        <item x="40"/>
        <item x="71"/>
        <item x="51"/>
        <item x="4"/>
        <item x="79"/>
        <item x="77"/>
        <item x="61"/>
        <item x="26"/>
        <item x="74"/>
        <item x="6"/>
        <item x="22"/>
        <item x="73"/>
        <item x="57"/>
        <item x="82"/>
        <item x="31"/>
        <item x="93"/>
        <item x="25"/>
        <item x="76"/>
        <item x="421"/>
        <item x="193"/>
        <item x="496"/>
        <item x="541"/>
        <item x="324"/>
        <item x="497"/>
        <item x="467"/>
        <item x="88"/>
        <item x="394"/>
        <item t="default"/>
      </items>
    </pivotField>
    <pivotField showAll="0">
      <items count="6">
        <item x="2"/>
        <item x="0"/>
        <item x="1"/>
        <item x="3"/>
        <item x="4"/>
        <item t="default"/>
      </items>
    </pivotField>
    <pivotField showAll="0">
      <items count="27">
        <item x="6"/>
        <item x="11"/>
        <item x="5"/>
        <item x="19"/>
        <item x="0"/>
        <item x="10"/>
        <item x="21"/>
        <item x="9"/>
        <item x="25"/>
        <item x="24"/>
        <item x="22"/>
        <item x="13"/>
        <item x="3"/>
        <item x="2"/>
        <item x="16"/>
        <item x="14"/>
        <item x="20"/>
        <item x="17"/>
        <item x="23"/>
        <item x="1"/>
        <item x="8"/>
        <item x="12"/>
        <item x="18"/>
        <item x="4"/>
        <item x="15"/>
        <item x="7"/>
        <item t="default"/>
      </items>
    </pivotField>
  </pivotFields>
  <rowFields count="1">
    <field x="11"/>
  </rowFields>
  <rowItems count="6">
    <i>
      <x/>
    </i>
    <i>
      <x v="1"/>
    </i>
    <i>
      <x v="2"/>
    </i>
    <i>
      <x v="3"/>
    </i>
    <i>
      <x v="4"/>
    </i>
    <i t="grand">
      <x/>
    </i>
  </rowItems>
  <colItems count="1">
    <i/>
  </colItems>
  <dataFields count="1">
    <dataField name="Count of gender" fld="3"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0"/>
          </reference>
        </references>
      </pivotArea>
    </chartFormat>
    <chartFormat chart="2" format="4">
      <pivotArea type="data" outline="0" fieldPosition="0">
        <references count="2">
          <reference field="4294967294" count="1" selected="0">
            <x v="0"/>
          </reference>
          <reference field="11" count="1" selected="0">
            <x v="1"/>
          </reference>
        </references>
      </pivotArea>
    </chartFormat>
    <chartFormat chart="2" format="5">
      <pivotArea type="data" outline="0" fieldPosition="0">
        <references count="2">
          <reference field="4294967294" count="1" selected="0">
            <x v="0"/>
          </reference>
          <reference field="11" count="1" selected="0">
            <x v="2"/>
          </reference>
        </references>
      </pivotArea>
    </chartFormat>
    <chartFormat chart="2" format="6">
      <pivotArea type="data" outline="0" fieldPosition="0">
        <references count="2">
          <reference field="4294967294" count="1" selected="0">
            <x v="0"/>
          </reference>
          <reference field="11" count="1" selected="0">
            <x v="3"/>
          </reference>
        </references>
      </pivotArea>
    </chartFormat>
    <chartFormat chart="2" format="7">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untry ">
  <location ref="A3:B9" firstHeaderRow="1" firstDataRow="1" firstDataCol="1"/>
  <pivotFields count="16">
    <pivotField numFmtId="164" showAll="0"/>
    <pivotField axis="axisRow" showAll="0">
      <items count="8">
        <item x="3"/>
        <item x="2"/>
        <item x="0"/>
        <item x="4"/>
        <item x="5"/>
        <item x="1"/>
        <item x="6"/>
        <item t="default"/>
      </items>
    </pivotField>
    <pivotField showAll="0"/>
    <pivotField dataField="1" multipleItemSelectionAllowed="1" showAll="0" countASubtotal="1">
      <items count="4">
        <item x="1"/>
        <item h="1" x="0"/>
        <item h="1" x="2"/>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4"/>
    </i>
    <i>
      <x v="5"/>
    </i>
    <i t="grand">
      <x/>
    </i>
  </rowItems>
  <colItems count="1">
    <i/>
  </colItems>
  <dataFields count="1">
    <dataField name="Count of gender" fld="3"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oing for higher education out side the country">
  <location ref="A15:B19" firstHeaderRow="1" firstDataRow="1" firstDataCol="1"/>
  <pivotFields count="16">
    <pivotField numFmtId="164" showAll="0"/>
    <pivotField showAll="0"/>
    <pivotField showAll="0"/>
    <pivotField dataField="1" multipleItemSelectionAllowed="1" showAll="0">
      <items count="4">
        <item x="1"/>
        <item h="1" x="0"/>
        <item h="1" x="2"/>
        <item t="default"/>
      </items>
    </pivotField>
    <pivotField showAll="0">
      <items count="6">
        <item x="3"/>
        <item x="4"/>
        <item x="2"/>
        <item x="0"/>
        <item x="1"/>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gender" fld="3" subtotal="count" baseField="0" baseItem="0"/>
  </dataFields>
  <chartFormats count="4">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efered working environment">
  <location ref="A48:B56" firstHeaderRow="1" firstDataRow="1" firstDataCol="1"/>
  <pivotFields count="16">
    <pivotField numFmtId="164" showAll="0"/>
    <pivotField showAll="0"/>
    <pivotField showAll="0"/>
    <pivotField dataField="1" multipleItemSelectionAllowed="1" showAll="0">
      <items count="4">
        <item x="1"/>
        <item h="1" x="0"/>
        <item h="1" x="2"/>
        <item t="default"/>
      </items>
    </pivotField>
    <pivotField showAll="0">
      <items count="6">
        <item x="3"/>
        <item x="4"/>
        <item x="2"/>
        <item x="0"/>
        <item x="1"/>
        <item t="default"/>
      </items>
    </pivotField>
    <pivotField showAll="0">
      <items count="4">
        <item x="2"/>
        <item x="1"/>
        <item x="0"/>
        <item t="default"/>
      </items>
    </pivotField>
    <pivotField showAll="0">
      <items count="5">
        <item x="3"/>
        <item x="2"/>
        <item x="0"/>
        <item x="1"/>
        <item t="default"/>
      </items>
    </pivotField>
    <pivotField showAll="0"/>
    <pivotField showAll="0"/>
    <pivotField showAll="0"/>
    <pivotField axis="axisRow" showAll="0">
      <items count="8">
        <item x="3"/>
        <item x="0"/>
        <item x="1"/>
        <item x="4"/>
        <item x="2"/>
        <item x="5"/>
        <item x="6"/>
        <item t="default"/>
      </items>
    </pivotField>
    <pivotField showAll="0"/>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Count of gender" fld="3" subtotal="count"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 chart="3" format="5">
      <pivotArea type="data" outline="0" fieldPosition="0">
        <references count="2">
          <reference field="4294967294" count="1" selected="0">
            <x v="0"/>
          </reference>
          <reference field="10" count="1" selected="0">
            <x v="3"/>
          </reference>
        </references>
      </pivotArea>
    </chartFormat>
    <chartFormat chart="3" format="6">
      <pivotArea type="data" outline="0" fieldPosition="0">
        <references count="2">
          <reference field="4294967294" count="1" selected="0">
            <x v="0"/>
          </reference>
          <reference field="10" count="1" selected="0">
            <x v="2"/>
          </reference>
        </references>
      </pivotArea>
    </chartFormat>
    <chartFormat chart="3" format="7">
      <pivotArea type="data" outline="0" fieldPosition="0">
        <references count="2">
          <reference field="4294967294" count="1" selected="0">
            <x v="0"/>
          </reference>
          <reference field="10" count="1" selected="0">
            <x v="4"/>
          </reference>
        </references>
      </pivotArea>
    </chartFormat>
    <chartFormat chart="3" format="8">
      <pivotArea type="data" outline="0" fieldPosition="0">
        <references count="2">
          <reference field="4294967294" count="1" selected="0">
            <x v="0"/>
          </reference>
          <reference field="10" count="1" selected="0">
            <x v="5"/>
          </reference>
        </references>
      </pivotArea>
    </chartFormat>
    <chartFormat chart="3" format="9">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3"/>
    <pivotTable tabId="2" name="PivotTable1"/>
    <pivotTable tabId="2" name="PivotTable10"/>
    <pivotTable tabId="2" name="PivotTable11"/>
    <pivotTable tabId="2" name="PivotTable12"/>
    <pivotTable tabId="2" name="PivotTable7"/>
    <pivotTable tabId="2" name="PivotTable8"/>
    <pivotTable tabId="2" name="PivotTable9"/>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684000"/>
</slicers>
</file>

<file path=xl/theme/theme1.xml><?xml version="1.0" encoding="utf-8"?>
<a:theme xmlns:a="http://schemas.openxmlformats.org/drawingml/2006/main" name="Sheets">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943"/>
  <sheetViews>
    <sheetView topLeftCell="H1" workbookViewId="0">
      <selection activeCell="L14" sqref="L14"/>
    </sheetView>
  </sheetViews>
  <sheetFormatPr defaultColWidth="12.6640625" defaultRowHeight="15.75" customHeight="1" x14ac:dyDescent="0.25"/>
  <cols>
    <col min="1" max="1" width="22.44140625" customWidth="1"/>
    <col min="2" max="2" width="22.77734375" customWidth="1"/>
    <col min="4" max="4" width="20.6640625" customWidth="1"/>
    <col min="5" max="5" width="30.5546875" customWidth="1"/>
    <col min="6" max="6" width="38" customWidth="1"/>
    <col min="7" max="7" width="29.88671875" customWidth="1"/>
    <col min="11" max="11" width="11.88671875" customWidth="1"/>
    <col min="12" max="12" width="68" customWidth="1"/>
    <col min="13" max="13" width="52.109375" customWidth="1"/>
    <col min="14" max="14" width="32.5546875" customWidth="1"/>
    <col min="15" max="15" width="60.88671875" customWidth="1"/>
    <col min="16" max="16" width="147.6640625" customWidth="1"/>
    <col min="17" max="17" width="125.44140625" customWidth="1"/>
    <col min="18" max="18" width="31.44140625" customWidth="1"/>
  </cols>
  <sheetData>
    <row r="1" spans="1:17" ht="13.2" x14ac:dyDescent="0.25">
      <c r="A1" s="1" t="str">
        <f ca="1">IFERROR(__xludf.DUMMYFUNCTION("IMPORTRANGE(""https://docs.google.com/spreadsheets/d/1QrGs3rT9RwmBP46hZgfVvScUFPWN3wMCFWiRRmWY3cE/edit#gid=698899005"",""'Form responses 1'!A:S"")"),"Timestamp")</f>
        <v>Timestamp</v>
      </c>
      <c r="B1" s="1" t="s">
        <v>0</v>
      </c>
      <c r="C1" s="1" t="s">
        <v>2</v>
      </c>
      <c r="D1" s="3" t="s">
        <v>1</v>
      </c>
      <c r="E1" s="1" t="s">
        <v>3</v>
      </c>
      <c r="F1" s="8" t="s">
        <v>27</v>
      </c>
      <c r="G1" s="1" t="s">
        <v>4</v>
      </c>
      <c r="H1" s="1" t="str">
        <f ca="1">IFERROR(__xludf.DUMMYFUNCTION("""COMPUTED_VALUE"""),"Would you work for a company whose mission is not clearly defined and publicly posted.")</f>
        <v>Would you work for a company whose mission is not clearly defined and publicly posted.</v>
      </c>
      <c r="I1" s="1" t="str">
        <f ca="1">IFERROR(__xludf.DUMMYFUNCTION("""COMPUTED_VALUE"""),"How likely would you work for a company whose mission is misaligned with their public actions or even their product ?")</f>
        <v>How likely would you work for a company whose mission is misaligned with their public actions or even their product ?</v>
      </c>
      <c r="J1" s="4" t="s">
        <v>7</v>
      </c>
      <c r="K1" s="4" t="s">
        <v>8</v>
      </c>
      <c r="L1" s="4" t="s">
        <v>9</v>
      </c>
      <c r="M1" s="4" t="s">
        <v>10</v>
      </c>
      <c r="N1" s="4" t="s">
        <v>11</v>
      </c>
      <c r="O1" s="1" t="str">
        <f ca="1">IFERROR(__xludf.DUMMYFUNCTION("""COMPUTED_VALUE"""),"What type of Manager would you work without looking into your watch ?")</f>
        <v>What type of Manager would you work without looking into your watch ?</v>
      </c>
      <c r="P1" s="4" t="s">
        <v>12</v>
      </c>
      <c r="Q1" s="1"/>
    </row>
    <row r="2" spans="1:17" ht="13.2" x14ac:dyDescent="0.25">
      <c r="A2" s="2">
        <f ca="1">IFERROR(__xludf.DUMMYFUNCTION("""COMPUTED_VALUE"""),44911.4903468171)</f>
        <v>44911.490346817103</v>
      </c>
      <c r="B2" s="1" t="str">
        <f ca="1">IFERROR(__xludf.DUMMYFUNCTION("""COMPUTED_VALUE"""),"India")</f>
        <v>India</v>
      </c>
      <c r="C2" s="1">
        <f ca="1">IFERROR(__xludf.DUMMYFUNCTION("""COMPUTED_VALUE"""),273005)</f>
        <v>273005</v>
      </c>
      <c r="D2" s="3" t="str">
        <f ca="1">IFERROR(__xludf.DUMMYFUNCTION("""COMPUTED_VALUE"""),"Male")</f>
        <v>Male</v>
      </c>
      <c r="E2" s="1" t="str">
        <f ca="1">IFERROR(__xludf.DUMMYFUNCTION("""COMPUTED_VALUE"""),"People who have changed the world for better")</f>
        <v>People who have changed the world for better</v>
      </c>
      <c r="F2" s="1" t="str">
        <f ca="1">IFERROR(__xludf.DUMMYFUNCTION("""COMPUTED_VALUE"""),"Yes, I will earn and do that")</f>
        <v>Yes, I will earn and do that</v>
      </c>
      <c r="G2" s="1" t="str">
        <f ca="1">IFERROR(__xludf.DUMMYFUNCTION("""COMPUTED_VALUE"""),"This will be hard to do, but if it is the right company I would try")</f>
        <v>This will be hard to do, but if it is the right company I would try</v>
      </c>
      <c r="H2" s="1" t="str">
        <f ca="1">IFERROR(__xludf.DUMMYFUNCTION("""COMPUTED_VALUE"""),"No")</f>
        <v>No</v>
      </c>
      <c r="I2" s="1" t="str">
        <f ca="1">IFERROR(__xludf.DUMMYFUNCTION("""COMPUTED_VALUE"""),"Will NOT work for them")</f>
        <v>Will NOT work for them</v>
      </c>
      <c r="J2" s="1">
        <f ca="1">IFERROR(__xludf.DUMMYFUNCTION("""COMPUTED_VALUE"""),4)</f>
        <v>4</v>
      </c>
      <c r="K2" s="1" t="str">
        <f ca="1">IFERROR(__xludf.DUMMYFUNCTION("""COMPUTED_VALUE"""),"Fully Remote with No option to visit offices")</f>
        <v>Fully Remote with No option to visit offices</v>
      </c>
      <c r="L2" s="1" t="str">
        <f ca="1">IFERROR(__xludf.DUMMYFUNCTION("""COMPUTED_VALUE"""),"Employer who rewards learning and enables that environment")</f>
        <v>Employer who rewards learning and enables that environment</v>
      </c>
      <c r="M2" s="1" t="str">
        <f ca="1">IFERROR(__xludf.DUMMYFUNCTION("""COMPUTED_VALUE"""),"Instructor or Expert Learning Programs, Trial and error by doing side projects within the company")</f>
        <v>Instructor or Expert Learning Programs, Trial and error by doing side projects within the company</v>
      </c>
      <c r="N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 s="1" t="str">
        <f ca="1">IFERROR(__xludf.DUMMYFUNCTION("""COMPUTED_VALUE"""),"Manager who explains what is expected, sets a goal and helps achieve it")</f>
        <v>Manager who explains what is expected, sets a goal and helps achieve it</v>
      </c>
      <c r="P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2" s="1"/>
    </row>
    <row r="3" spans="1:17" ht="13.2" x14ac:dyDescent="0.25">
      <c r="A3" s="2">
        <f ca="1">IFERROR(__xludf.DUMMYFUNCTION("""COMPUTED_VALUE"""),44911.490670081)</f>
        <v>44911.490670081002</v>
      </c>
      <c r="B3" s="1" t="str">
        <f ca="1">IFERROR(__xludf.DUMMYFUNCTION("""COMPUTED_VALUE"""),"India")</f>
        <v>India</v>
      </c>
      <c r="C3" s="1">
        <f ca="1">IFERROR(__xludf.DUMMYFUNCTION("""COMPUTED_VALUE"""),851129)</f>
        <v>851129</v>
      </c>
      <c r="D3" s="3" t="str">
        <f ca="1">IFERROR(__xludf.DUMMYFUNCTION("""COMPUTED_VALUE"""),"Male")</f>
        <v>Male</v>
      </c>
      <c r="E3" s="1" t="str">
        <f ca="1">IFERROR(__xludf.DUMMYFUNCTION("""COMPUTED_VALUE"""),"People who have changed the world for better")</f>
        <v>People who have changed the world for better</v>
      </c>
      <c r="F3" s="1" t="str">
        <f ca="1">IFERROR(__xludf.DUMMYFUNCTION("""COMPUTED_VALUE"""),"No, But if someone could bare the cost I will")</f>
        <v>No, But if someone could bare the cost I will</v>
      </c>
      <c r="G3" s="1" t="str">
        <f ca="1">IFERROR(__xludf.DUMMYFUNCTION("""COMPUTED_VALUE"""),"This will be hard to do, but if it is the right company I would try")</f>
        <v>This will be hard to do, but if it is the right company I would try</v>
      </c>
      <c r="H3" s="1" t="str">
        <f ca="1">IFERROR(__xludf.DUMMYFUNCTION("""COMPUTED_VALUE"""),"No")</f>
        <v>No</v>
      </c>
      <c r="I3" s="1" t="str">
        <f ca="1">IFERROR(__xludf.DUMMYFUNCTION("""COMPUTED_VALUE"""),"Will NOT work for them")</f>
        <v>Will NOT work for them</v>
      </c>
      <c r="J3" s="1">
        <f ca="1">IFERROR(__xludf.DUMMYFUNCTION("""COMPUTED_VALUE"""),1)</f>
        <v>1</v>
      </c>
      <c r="K3" s="1" t="str">
        <f ca="1">IFERROR(__xludf.DUMMYFUNCTION("""COMPUTED_VALUE"""),"Fully Remote with Options to travel as and when needed")</f>
        <v>Fully Remote with Options to travel as and when needed</v>
      </c>
      <c r="L3" s="1" t="str">
        <f ca="1">IFERROR(__xludf.DUMMYFUNCTION("""COMPUTED_VALUE"""),"Employer who pushes your limits by enabling an learning environment, and rewards you at the end")</f>
        <v>Employer who pushes your limits by enabling an learning environment, and rewards you at the end</v>
      </c>
      <c r="M3" s="1" t="str">
        <f ca="1">IFERROR(__xludf.DUMMYFUNCTION("""COMPUTED_VALUE"""),"Self Paced Learning Portals, Instructor or Expert Learning Programs")</f>
        <v>Self Paced Learning Portals, Instructor or Expert Learning Programs</v>
      </c>
      <c r="N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 s="1" t="str">
        <f ca="1">IFERROR(__xludf.DUMMYFUNCTION("""COMPUTED_VALUE"""),"Manager who explains what is expected, sets a goal and helps achieve it")</f>
        <v>Manager who explains what is expected, sets a goal and helps achieve it</v>
      </c>
      <c r="P3" s="1" t="str">
        <f ca="1">IFERROR(__xludf.DUMMYFUNCTION("""COMPUTED_VALUE"""),"Work with 5 to 6 people in my team")</f>
        <v>Work with 5 to 6 people in my team</v>
      </c>
      <c r="Q3" s="1"/>
    </row>
    <row r="4" spans="1:17" ht="13.2" x14ac:dyDescent="0.25">
      <c r="A4" s="2">
        <f ca="1">IFERROR(__xludf.DUMMYFUNCTION("""COMPUTED_VALUE"""),44911.4967823958)</f>
        <v>44911.4967823958</v>
      </c>
      <c r="B4" s="1" t="str">
        <f ca="1">IFERROR(__xludf.DUMMYFUNCTION("""COMPUTED_VALUE"""),"India")</f>
        <v>India</v>
      </c>
      <c r="C4" s="1">
        <f ca="1">IFERROR(__xludf.DUMMYFUNCTION("""COMPUTED_VALUE"""),123106)</f>
        <v>123106</v>
      </c>
      <c r="D4" s="3" t="str">
        <f ca="1">IFERROR(__xludf.DUMMYFUNCTION("""COMPUTED_VALUE"""),"Female")</f>
        <v>Female</v>
      </c>
      <c r="E4" s="1" t="str">
        <f ca="1">IFERROR(__xludf.DUMMYFUNCTION("""COMPUTED_VALUE"""),"Social Media like LinkedIn")</f>
        <v>Social Media like LinkedIn</v>
      </c>
      <c r="F4" s="1" t="str">
        <f ca="1">IFERROR(__xludf.DUMMYFUNCTION("""COMPUTED_VALUE"""),"Yes, I will earn and do that")</f>
        <v>Yes, I will earn and do that</v>
      </c>
      <c r="G4" s="1" t="str">
        <f ca="1">IFERROR(__xludf.DUMMYFUNCTION("""COMPUTED_VALUE"""),"Will work for 3 years or more")</f>
        <v>Will work for 3 years or more</v>
      </c>
      <c r="H4" s="1" t="str">
        <f ca="1">IFERROR(__xludf.DUMMYFUNCTION("""COMPUTED_VALUE"""),"Yes")</f>
        <v>Yes</v>
      </c>
      <c r="I4" s="1" t="str">
        <f ca="1">IFERROR(__xludf.DUMMYFUNCTION("""COMPUTED_VALUE"""),"Will work for them")</f>
        <v>Will work for them</v>
      </c>
      <c r="J4" s="1">
        <f ca="1">IFERROR(__xludf.DUMMYFUNCTION("""COMPUTED_VALUE"""),7)</f>
        <v>7</v>
      </c>
      <c r="K4" s="1" t="str">
        <f ca="1">IFERROR(__xludf.DUMMYFUNCTION("""COMPUTED_VALUE"""),"Hybrid Working Environment with less than 15 days a month at office")</f>
        <v>Hybrid Working Environment with less than 15 days a month at office</v>
      </c>
      <c r="L4" s="1" t="str">
        <f ca="1">IFERROR(__xludf.DUMMYFUNCTION("""COMPUTED_VALUE"""),"Employer who pushes your limits by enabling an learning environment, and rewards you at the end")</f>
        <v>Employer who pushes your limits by enabling an learning environment, and rewards you at the end</v>
      </c>
      <c r="M4" s="1" t="str">
        <f ca="1">IFERROR(__xludf.DUMMYFUNCTION("""COMPUTED_VALUE"""),"Self Paced Learning Portals, Trial and error by doing side projects within the company")</f>
        <v>Self Paced Learning Portals, Trial and error by doing side projects within the company</v>
      </c>
      <c r="N4" s="1" t="str">
        <f ca="1">IFERROR(__xludf.DUMMYFUNCTION("""COMPUTED_VALUE"""),"Manage and drive End-to-End Projects or Products, Design and Develop amazing software, Become a content Creator in some platform")</f>
        <v>Manage and drive End-to-End Projects or Products, Design and Develop amazing software, Become a content Creator in some platform</v>
      </c>
      <c r="O4" s="1" t="str">
        <f ca="1">IFERROR(__xludf.DUMMYFUNCTION("""COMPUTED_VALUE"""),"Manager who explains what is expected, sets a goal and helps achieve it")</f>
        <v>Manager who explains what is expected, sets a goal and helps achieve it</v>
      </c>
      <c r="P4" s="1" t="str">
        <f ca="1">IFERROR(__xludf.DUMMYFUNCTION("""COMPUTED_VALUE"""),"Work with 2 to 3 people in my team, Work with 5 to 6 people in my team")</f>
        <v>Work with 2 to 3 people in my team, Work with 5 to 6 people in my team</v>
      </c>
      <c r="Q4" s="1"/>
    </row>
    <row r="5" spans="1:17" ht="13.2" x14ac:dyDescent="0.25">
      <c r="A5" s="2">
        <f ca="1">IFERROR(__xludf.DUMMYFUNCTION("""COMPUTED_VALUE"""),44911.4991419675)</f>
        <v>44911.499141967499</v>
      </c>
      <c r="B5" s="1" t="str">
        <f ca="1">IFERROR(__xludf.DUMMYFUNCTION("""COMPUTED_VALUE"""),"India")</f>
        <v>India</v>
      </c>
      <c r="C5" s="1">
        <f ca="1">IFERROR(__xludf.DUMMYFUNCTION("""COMPUTED_VALUE"""),834003)</f>
        <v>834003</v>
      </c>
      <c r="D5" s="3" t="str">
        <f ca="1">IFERROR(__xludf.DUMMYFUNCTION("""COMPUTED_VALUE"""),"Male")</f>
        <v>Male</v>
      </c>
      <c r="E5" s="1" t="str">
        <f ca="1">IFERROR(__xludf.DUMMYFUNCTION("""COMPUTED_VALUE"""),"People from my circle, but not family members")</f>
        <v>People from my circle, but not family members</v>
      </c>
      <c r="F5" s="1" t="str">
        <f ca="1">IFERROR(__xludf.DUMMYFUNCTION("""COMPUTED_VALUE"""),"No, But if someone could bare the cost I will")</f>
        <v>No, But if someone could bare the cost I will</v>
      </c>
      <c r="G5" s="1" t="str">
        <f ca="1">IFERROR(__xludf.DUMMYFUNCTION("""COMPUTED_VALUE"""),"This will be hard to do, but if it is the right company I would try")</f>
        <v>This will be hard to do, but if it is the right company I would try</v>
      </c>
      <c r="H5" s="1" t="str">
        <f ca="1">IFERROR(__xludf.DUMMYFUNCTION("""COMPUTED_VALUE"""),"No")</f>
        <v>No</v>
      </c>
      <c r="I5" s="1" t="str">
        <f ca="1">IFERROR(__xludf.DUMMYFUNCTION("""COMPUTED_VALUE"""),"Will NOT work for them")</f>
        <v>Will NOT work for them</v>
      </c>
      <c r="J5" s="1">
        <f ca="1">IFERROR(__xludf.DUMMYFUNCTION("""COMPUTED_VALUE"""),6)</f>
        <v>6</v>
      </c>
      <c r="K5" s="1" t="str">
        <f ca="1">IFERROR(__xludf.DUMMYFUNCTION("""COMPUTED_VALUE"""),"Hybrid Working Environment with less than 15 days a month at office")</f>
        <v>Hybrid Working Environment with less than 15 days a month at office</v>
      </c>
      <c r="L5" s="1" t="str">
        <f ca="1">IFERROR(__xludf.DUMMYFUNCTION("""COMPUTED_VALUE"""),"Employer who pushes your limits by enabling an learning environment, and rewards you at the end")</f>
        <v>Employer who pushes your limits by enabling an learning environment, and rewards you at the end</v>
      </c>
      <c r="M5" s="1" t="str">
        <f ca="1">IFERROR(__xludf.DUMMYFUNCTION("""COMPUTED_VALUE"""),"Instructor or Expert Learning Programs, Trial and error by doing side projects within the company")</f>
        <v>Instructor or Expert Learning Programs, Trial and error by doing side projects within the company</v>
      </c>
      <c r="N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5" s="1" t="str">
        <f ca="1">IFERROR(__xludf.DUMMYFUNCTION("""COMPUTED_VALUE"""),"Manager who explains what is expected, sets a goal and helps achieve it")</f>
        <v>Manager who explains what is expected, sets a goal and helps achieve it</v>
      </c>
      <c r="P5" s="1" t="str">
        <f ca="1">IFERROR(__xludf.DUMMYFUNCTION("""COMPUTED_VALUE"""),"Work with 2 to 3 people in my team")</f>
        <v>Work with 2 to 3 people in my team</v>
      </c>
      <c r="Q5" s="1"/>
    </row>
    <row r="6" spans="1:17" ht="13.2" x14ac:dyDescent="0.25">
      <c r="A6" s="2">
        <f ca="1">IFERROR(__xludf.DUMMYFUNCTION("""COMPUTED_VALUE"""),44911.4996104745)</f>
        <v>44911.499610474501</v>
      </c>
      <c r="B6" s="1" t="str">
        <f ca="1">IFERROR(__xludf.DUMMYFUNCTION("""COMPUTED_VALUE"""),"India")</f>
        <v>India</v>
      </c>
      <c r="C6" s="1">
        <f ca="1">IFERROR(__xludf.DUMMYFUNCTION("""COMPUTED_VALUE"""),301019)</f>
        <v>301019</v>
      </c>
      <c r="D6" s="3" t="str">
        <f ca="1">IFERROR(__xludf.DUMMYFUNCTION("""COMPUTED_VALUE"""),"Female")</f>
        <v>Female</v>
      </c>
      <c r="E6" s="1" t="str">
        <f ca="1">IFERROR(__xludf.DUMMYFUNCTION("""COMPUTED_VALUE"""),"Influencers who had successful careers")</f>
        <v>Influencers who had successful careers</v>
      </c>
      <c r="F6" s="1" t="str">
        <f ca="1">IFERROR(__xludf.DUMMYFUNCTION("""COMPUTED_VALUE"""),"No, But if someone could bare the cost I will")</f>
        <v>No, But if someone could bare the cost I will</v>
      </c>
      <c r="G6" s="1" t="str">
        <f ca="1">IFERROR(__xludf.DUMMYFUNCTION("""COMPUTED_VALUE"""),"Will work for 3 years or more")</f>
        <v>Will work for 3 years or more</v>
      </c>
      <c r="H6" s="1" t="str">
        <f ca="1">IFERROR(__xludf.DUMMYFUNCTION("""COMPUTED_VALUE"""),"No")</f>
        <v>No</v>
      </c>
      <c r="I6" s="1" t="str">
        <f ca="1">IFERROR(__xludf.DUMMYFUNCTION("""COMPUTED_VALUE"""),"Will NOT work for them")</f>
        <v>Will NOT work for them</v>
      </c>
      <c r="J6" s="1">
        <f ca="1">IFERROR(__xludf.DUMMYFUNCTION("""COMPUTED_VALUE"""),5)</f>
        <v>5</v>
      </c>
      <c r="K6" s="1" t="str">
        <f ca="1">IFERROR(__xludf.DUMMYFUNCTION("""COMPUTED_VALUE"""),"Fully Remote with Options to travel as and when needed")</f>
        <v>Fully Remote with Options to travel as and when needed</v>
      </c>
      <c r="L6" s="1" t="str">
        <f ca="1">IFERROR(__xludf.DUMMYFUNCTION("""COMPUTED_VALUE"""),"Employer who appreciates learning and enables that environment")</f>
        <v>Employer who appreciates learning and enables that environment</v>
      </c>
      <c r="M6" s="1" t="str">
        <f ca="1">IFERROR(__xludf.DUMMYFUNCTION("""COMPUTED_VALUE"""),"Self Paced Learning Portals, Learning by observing others")</f>
        <v>Self Paced Learning Portals, Learning by observing others</v>
      </c>
      <c r="N6"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6" s="1" t="str">
        <f ca="1">IFERROR(__xludf.DUMMYFUNCTION("""COMPUTED_VALUE"""),"Manager who explains what is expected, sets a goal and helps achieve it")</f>
        <v>Manager who explains what is expected, sets a goal and helps achieve it</v>
      </c>
      <c r="P6" s="1" t="str">
        <f ca="1">IFERROR(__xludf.DUMMYFUNCTION("""COMPUTED_VALUE"""),"Work with 2 to 3 people in my team, Work with 5 to 6 people in my team")</f>
        <v>Work with 2 to 3 people in my team, Work with 5 to 6 people in my team</v>
      </c>
      <c r="Q6" s="1"/>
    </row>
    <row r="7" spans="1:17" ht="13.2" x14ac:dyDescent="0.25">
      <c r="A7" s="2">
        <f ca="1">IFERROR(__xludf.DUMMYFUNCTION("""COMPUTED_VALUE"""),44911.4997339351)</f>
        <v>44911.499733935103</v>
      </c>
      <c r="B7" s="1" t="str">
        <f ca="1">IFERROR(__xludf.DUMMYFUNCTION("""COMPUTED_VALUE"""),"India")</f>
        <v>India</v>
      </c>
      <c r="C7" s="1">
        <f ca="1">IFERROR(__xludf.DUMMYFUNCTION("""COMPUTED_VALUE"""),768028)</f>
        <v>768028</v>
      </c>
      <c r="D7" s="3" t="str">
        <f ca="1">IFERROR(__xludf.DUMMYFUNCTION("""COMPUTED_VALUE"""),"Female")</f>
        <v>Female</v>
      </c>
      <c r="E7" s="1" t="str">
        <f ca="1">IFERROR(__xludf.DUMMYFUNCTION("""COMPUTED_VALUE"""),"My Parents")</f>
        <v>My Parents</v>
      </c>
      <c r="F7" s="1" t="str">
        <f ca="1">IFERROR(__xludf.DUMMYFUNCTION("""COMPUTED_VALUE"""),"Yes, I will earn and do that")</f>
        <v>Yes, I will earn and do that</v>
      </c>
      <c r="G7" s="1" t="str">
        <f ca="1">IFERROR(__xludf.DUMMYFUNCTION("""COMPUTED_VALUE"""),"This will be hard to do, but if it is the right company I would try")</f>
        <v>This will be hard to do, but if it is the right company I would try</v>
      </c>
      <c r="H7" s="1" t="str">
        <f ca="1">IFERROR(__xludf.DUMMYFUNCTION("""COMPUTED_VALUE"""),"No")</f>
        <v>No</v>
      </c>
      <c r="I7" s="1" t="str">
        <f ca="1">IFERROR(__xludf.DUMMYFUNCTION("""COMPUTED_VALUE"""),"Will NOT work for them")</f>
        <v>Will NOT work for them</v>
      </c>
      <c r="J7" s="1">
        <f ca="1">IFERROR(__xludf.DUMMYFUNCTION("""COMPUTED_VALUE"""),6)</f>
        <v>6</v>
      </c>
      <c r="K7" s="1" t="str">
        <f ca="1">IFERROR(__xludf.DUMMYFUNCTION("""COMPUTED_VALUE"""),"Fully Remote with Options to travel as and when needed")</f>
        <v>Fully Remote with Options to travel as and when needed</v>
      </c>
      <c r="L7" s="1" t="str">
        <f ca="1">IFERROR(__xludf.DUMMYFUNCTION("""COMPUTED_VALUE"""),"Employer who appreciates learning and enables that environment")</f>
        <v>Employer who appreciates learning and enables that environment</v>
      </c>
      <c r="M7" s="1" t="str">
        <f ca="1">IFERROR(__xludf.DUMMYFUNCTION("""COMPUTED_VALUE"""),"Instructor or Expert Learning Programs, Learning by observing others")</f>
        <v>Instructor or Expert Learning Programs, Learning by observing others</v>
      </c>
      <c r="N7"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7" s="1" t="str">
        <f ca="1">IFERROR(__xludf.DUMMYFUNCTION("""COMPUTED_VALUE"""),"Manager who explains what is expected, sets a goal and helps achieve it")</f>
        <v>Manager who explains what is expected, sets a goal and helps achieve it</v>
      </c>
      <c r="P7" s="1" t="str">
        <f ca="1">IFERROR(__xludf.DUMMYFUNCTION("""COMPUTED_VALUE"""),"Work with 2 to 3 people in my team")</f>
        <v>Work with 2 to 3 people in my team</v>
      </c>
      <c r="Q7" s="1"/>
    </row>
    <row r="8" spans="1:17" ht="13.2" x14ac:dyDescent="0.25">
      <c r="A8" s="2">
        <f ca="1">IFERROR(__xludf.DUMMYFUNCTION("""COMPUTED_VALUE"""),44911.5000374074)</f>
        <v>44911.500037407401</v>
      </c>
      <c r="B8" s="1" t="str">
        <f ca="1">IFERROR(__xludf.DUMMYFUNCTION("""COMPUTED_VALUE"""),"India")</f>
        <v>India</v>
      </c>
      <c r="C8" s="1">
        <f ca="1">IFERROR(__xludf.DUMMYFUNCTION("""COMPUTED_VALUE"""),301019)</f>
        <v>301019</v>
      </c>
      <c r="D8" s="3" t="str">
        <f ca="1">IFERROR(__xludf.DUMMYFUNCTION("""COMPUTED_VALUE"""),"Male")</f>
        <v>Male</v>
      </c>
      <c r="E8" s="1" t="str">
        <f ca="1">IFERROR(__xludf.DUMMYFUNCTION("""COMPUTED_VALUE"""),"People from my circle, but not family members")</f>
        <v>People from my circle, but not family members</v>
      </c>
      <c r="F8" s="1" t="str">
        <f ca="1">IFERROR(__xludf.DUMMYFUNCTION("""COMPUTED_VALUE"""),"No, But if someone could bare the cost I will")</f>
        <v>No, But if someone could bare the cost I will</v>
      </c>
      <c r="G8" s="1" t="str">
        <f ca="1">IFERROR(__xludf.DUMMYFUNCTION("""COMPUTED_VALUE"""),"This will be hard to do, but if it is the right company I would try")</f>
        <v>This will be hard to do, but if it is the right company I would try</v>
      </c>
      <c r="H8" s="1" t="str">
        <f ca="1">IFERROR(__xludf.DUMMYFUNCTION("""COMPUTED_VALUE"""),"Yes")</f>
        <v>Yes</v>
      </c>
      <c r="I8" s="1" t="str">
        <f ca="1">IFERROR(__xludf.DUMMYFUNCTION("""COMPUTED_VALUE"""),"Will work for them")</f>
        <v>Will work for them</v>
      </c>
      <c r="J8" s="1">
        <f ca="1">IFERROR(__xludf.DUMMYFUNCTION("""COMPUTED_VALUE"""),7)</f>
        <v>7</v>
      </c>
      <c r="K8" s="1" t="str">
        <f ca="1">IFERROR(__xludf.DUMMYFUNCTION("""COMPUTED_VALUE"""),"Fully Remote with Options to travel as and when needed")</f>
        <v>Fully Remote with Options to travel as and when needed</v>
      </c>
      <c r="L8" s="1" t="str">
        <f ca="1">IFERROR(__xludf.DUMMYFUNCTION("""COMPUTED_VALUE"""),"Employer who pushes your limits by enabling an learning environment, and rewards you at the end")</f>
        <v>Employer who pushes your limits by enabling an learning environment, and rewards you at the end</v>
      </c>
      <c r="M8" s="1" t="str">
        <f ca="1">IFERROR(__xludf.DUMMYFUNCTION("""COMPUTED_VALUE"""),"Instructor or Expert Learning Programs, Learning by observing others")</f>
        <v>Instructor or Expert Learning Programs, Learning by observing others</v>
      </c>
      <c r="N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8" s="1" t="str">
        <f ca="1">IFERROR(__xludf.DUMMYFUNCTION("""COMPUTED_VALUE"""),"Manager who explains what is expected, sets a goal and helps achieve it")</f>
        <v>Manager who explains what is expected, sets a goal and helps achieve it</v>
      </c>
      <c r="P8" s="1" t="str">
        <f ca="1">IFERROR(__xludf.DUMMYFUNCTION("""COMPUTED_VALUE"""),"Work with 5 to 6 people in my team")</f>
        <v>Work with 5 to 6 people in my team</v>
      </c>
      <c r="Q8" s="1"/>
    </row>
    <row r="9" spans="1:17" ht="13.2" x14ac:dyDescent="0.25">
      <c r="A9" s="2">
        <f ca="1">IFERROR(__xludf.DUMMYFUNCTION("""COMPUTED_VALUE"""),44911.5014718287)</f>
        <v>44911.501471828698</v>
      </c>
      <c r="B9" s="1" t="str">
        <f ca="1">IFERROR(__xludf.DUMMYFUNCTION("""COMPUTED_VALUE"""),"India")</f>
        <v>India</v>
      </c>
      <c r="C9" s="1">
        <f ca="1">IFERROR(__xludf.DUMMYFUNCTION("""COMPUTED_VALUE"""),722207)</f>
        <v>722207</v>
      </c>
      <c r="D9" s="3" t="str">
        <f ca="1">IFERROR(__xludf.DUMMYFUNCTION("""COMPUTED_VALUE"""),"Male")</f>
        <v>Male</v>
      </c>
      <c r="E9" s="1" t="str">
        <f ca="1">IFERROR(__xludf.DUMMYFUNCTION("""COMPUTED_VALUE"""),"People from my circle, but not family members")</f>
        <v>People from my circle, but not family members</v>
      </c>
      <c r="F9" s="1" t="str">
        <f ca="1">IFERROR(__xludf.DUMMYFUNCTION("""COMPUTED_VALUE"""),"No, But if someone could bare the cost I will")</f>
        <v>No, But if someone could bare the cost I will</v>
      </c>
      <c r="G9" s="1" t="str">
        <f ca="1">IFERROR(__xludf.DUMMYFUNCTION("""COMPUTED_VALUE"""),"This will be hard to do, but if it is the right company I would try")</f>
        <v>This will be hard to do, but if it is the right company I would try</v>
      </c>
      <c r="H9" s="1" t="str">
        <f ca="1">IFERROR(__xludf.DUMMYFUNCTION("""COMPUTED_VALUE"""),"No")</f>
        <v>No</v>
      </c>
      <c r="I9" s="1" t="str">
        <f ca="1">IFERROR(__xludf.DUMMYFUNCTION("""COMPUTED_VALUE"""),"Will work for them")</f>
        <v>Will work for them</v>
      </c>
      <c r="J9" s="1">
        <f ca="1">IFERROR(__xludf.DUMMYFUNCTION("""COMPUTED_VALUE"""),5)</f>
        <v>5</v>
      </c>
      <c r="K9" s="1" t="str">
        <f ca="1">IFERROR(__xludf.DUMMYFUNCTION("""COMPUTED_VALUE"""),"Hybrid Working Environment with less than 15 days a month at office")</f>
        <v>Hybrid Working Environment with less than 15 days a month at office</v>
      </c>
      <c r="L9" s="1" t="str">
        <f ca="1">IFERROR(__xludf.DUMMYFUNCTION("""COMPUTED_VALUE"""),"Employer who pushes your limits by enabling an learning environment, and rewards you at the end")</f>
        <v>Employer who pushes your limits by enabling an learning environment, and rewards you at the end</v>
      </c>
      <c r="M9" s="1" t="str">
        <f ca="1">IFERROR(__xludf.DUMMYFUNCTION("""COMPUTED_VALUE"""),"Self Paced Learning Portals, Trial and error by doing side projects within the company")</f>
        <v>Self Paced Learning Portals, Trial and error by doing side projects within the company</v>
      </c>
      <c r="N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9" s="1" t="str">
        <f ca="1">IFERROR(__xludf.DUMMYFUNCTION("""COMPUTED_VALUE"""),"Manager who explains what is expected, sets a goal and helps achieve it")</f>
        <v>Manager who explains what is expected, sets a goal and helps achieve it</v>
      </c>
      <c r="P9" s="1" t="str">
        <f ca="1">IFERROR(__xludf.DUMMYFUNCTION("""COMPUTED_VALUE"""),"Work with 7 to 10 or more people in my team")</f>
        <v>Work with 7 to 10 or more people in my team</v>
      </c>
      <c r="Q9" s="1"/>
    </row>
    <row r="10" spans="1:17" ht="13.2" x14ac:dyDescent="0.25">
      <c r="A10" s="2">
        <f ca="1">IFERROR(__xludf.DUMMYFUNCTION("""COMPUTED_VALUE"""),44911.508448125)</f>
        <v>44911.508448125001</v>
      </c>
      <c r="B10" s="1" t="str">
        <f ca="1">IFERROR(__xludf.DUMMYFUNCTION("""COMPUTED_VALUE"""),"India")</f>
        <v>India</v>
      </c>
      <c r="C10" s="1">
        <f ca="1">IFERROR(__xludf.DUMMYFUNCTION("""COMPUTED_VALUE"""),400022)</f>
        <v>400022</v>
      </c>
      <c r="D10" s="3" t="str">
        <f ca="1">IFERROR(__xludf.DUMMYFUNCTION("""COMPUTED_VALUE"""),"Male")</f>
        <v>Male</v>
      </c>
      <c r="E10" s="1" t="str">
        <f ca="1">IFERROR(__xludf.DUMMYFUNCTION("""COMPUTED_VALUE"""),"People from my circle, but not family members")</f>
        <v>People from my circle, but not family members</v>
      </c>
      <c r="F10" s="1" t="str">
        <f ca="1">IFERROR(__xludf.DUMMYFUNCTION("""COMPUTED_VALUE"""),"No, But if someone could bare the cost I will")</f>
        <v>No, But if someone could bare the cost I will</v>
      </c>
      <c r="G10" s="1" t="str">
        <f ca="1">IFERROR(__xludf.DUMMYFUNCTION("""COMPUTED_VALUE"""),"This will be hard to do, but if it is the right company I would try")</f>
        <v>This will be hard to do, but if it is the right company I would try</v>
      </c>
      <c r="H10" s="1" t="str">
        <f ca="1">IFERROR(__xludf.DUMMYFUNCTION("""COMPUTED_VALUE"""),"Yes")</f>
        <v>Yes</v>
      </c>
      <c r="I10" s="1" t="str">
        <f ca="1">IFERROR(__xludf.DUMMYFUNCTION("""COMPUTED_VALUE"""),"Will NOT work for them")</f>
        <v>Will NOT work for them</v>
      </c>
      <c r="J10" s="1">
        <f ca="1">IFERROR(__xludf.DUMMYFUNCTION("""COMPUTED_VALUE"""),6)</f>
        <v>6</v>
      </c>
      <c r="K10" s="1" t="str">
        <f ca="1">IFERROR(__xludf.DUMMYFUNCTION("""COMPUTED_VALUE"""),"Fully Remote with Options to travel as and when needed")</f>
        <v>Fully Remote with Options to travel as and when needed</v>
      </c>
      <c r="L10" s="1" t="str">
        <f ca="1">IFERROR(__xludf.DUMMYFUNCTION("""COMPUTED_VALUE"""),"Employer who rewards learning and enables that environment")</f>
        <v>Employer who rewards learning and enables that environment</v>
      </c>
      <c r="M10" s="1" t="str">
        <f ca="1">IFERROR(__xludf.DUMMYFUNCTION("""COMPUTED_VALUE"""),"Self Paced Learning Portals, Instructor or Expert Learning Programs")</f>
        <v>Self Paced Learning Portals, Instructor or Expert Learning Programs</v>
      </c>
      <c r="N10" s="1" t="str">
        <f ca="1">IFERROR(__xludf.DUMMYFUNCTION("""COMPUTED_VALUE"""),"Teaching in any of the institutes/online or Offline, Look deeply into Data and generate insights, Become a content Creator in some platform")</f>
        <v>Teaching in any of the institutes/online or Offline, Look deeply into Data and generate insights, Become a content Creator in some platform</v>
      </c>
      <c r="O10" s="1" t="str">
        <f ca="1">IFERROR(__xludf.DUMMYFUNCTION("""COMPUTED_VALUE"""),"Manager who explains what is expected, sets a goal and helps achieve it")</f>
        <v>Manager who explains what is expected, sets a goal and helps achieve it</v>
      </c>
      <c r="P10" s="1" t="str">
        <f ca="1">IFERROR(__xludf.DUMMYFUNCTION("""COMPUTED_VALUE"""),"Work with 5 to 6 people in my team")</f>
        <v>Work with 5 to 6 people in my team</v>
      </c>
      <c r="Q10" s="1"/>
    </row>
    <row r="11" spans="1:17" ht="13.2" x14ac:dyDescent="0.25">
      <c r="A11" s="2">
        <f ca="1">IFERROR(__xludf.DUMMYFUNCTION("""COMPUTED_VALUE"""),44911.525286331)</f>
        <v>44911.525286331002</v>
      </c>
      <c r="B11" s="1" t="str">
        <f ca="1">IFERROR(__xludf.DUMMYFUNCTION("""COMPUTED_VALUE"""),"India")</f>
        <v>India</v>
      </c>
      <c r="C11" s="1">
        <f ca="1">IFERROR(__xludf.DUMMYFUNCTION("""COMPUTED_VALUE"""),201310)</f>
        <v>201310</v>
      </c>
      <c r="D11" s="3" t="str">
        <f ca="1">IFERROR(__xludf.DUMMYFUNCTION("""COMPUTED_VALUE"""),"Male")</f>
        <v>Male</v>
      </c>
      <c r="E11" s="1" t="str">
        <f ca="1">IFERROR(__xludf.DUMMYFUNCTION("""COMPUTED_VALUE"""),"Social Media like LinkedIn")</f>
        <v>Social Media like LinkedIn</v>
      </c>
      <c r="F11" s="1" t="str">
        <f ca="1">IFERROR(__xludf.DUMMYFUNCTION("""COMPUTED_VALUE"""),"No, But if someone could bare the cost I will")</f>
        <v>No, But if someone could bare the cost I will</v>
      </c>
      <c r="G11" s="1" t="str">
        <f ca="1">IFERROR(__xludf.DUMMYFUNCTION("""COMPUTED_VALUE"""),"This will be hard to do, but if it is the right company I would try")</f>
        <v>This will be hard to do, but if it is the right company I would try</v>
      </c>
      <c r="H11" s="1" t="str">
        <f ca="1">IFERROR(__xludf.DUMMYFUNCTION("""COMPUTED_VALUE"""),"Yes")</f>
        <v>Yes</v>
      </c>
      <c r="I11" s="1" t="str">
        <f ca="1">IFERROR(__xludf.DUMMYFUNCTION("""COMPUTED_VALUE"""),"Will work for them")</f>
        <v>Will work for them</v>
      </c>
      <c r="J11" s="1">
        <f ca="1">IFERROR(__xludf.DUMMYFUNCTION("""COMPUTED_VALUE"""),7)</f>
        <v>7</v>
      </c>
      <c r="K11" s="1" t="str">
        <f ca="1">IFERROR(__xludf.DUMMYFUNCTION("""COMPUTED_VALUE"""),"Every Day Office Environment")</f>
        <v>Every Day Office Environment</v>
      </c>
      <c r="L11" s="1" t="str">
        <f ca="1">IFERROR(__xludf.DUMMYFUNCTION("""COMPUTED_VALUE"""),"Employer who rewards learning and enables that environment")</f>
        <v>Employer who rewards learning and enables that environment</v>
      </c>
      <c r="M11" s="1" t="str">
        <f ca="1">IFERROR(__xludf.DUMMYFUNCTION("""COMPUTED_VALUE"""),"Self Paced Learning Portals, Learning by observing others")</f>
        <v>Self Paced Learning Portals, Learning by observing others</v>
      </c>
      <c r="N1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1" s="1" t="str">
        <f ca="1">IFERROR(__xludf.DUMMYFUNCTION("""COMPUTED_VALUE"""),"Manager who explains what is expected, sets a goal and helps achieve it")</f>
        <v>Manager who explains what is expected, sets a goal and helps achieve it</v>
      </c>
      <c r="P11" s="1" t="str">
        <f ca="1">IFERROR(__xludf.DUMMYFUNCTION("""COMPUTED_VALUE"""),"Work alone, Work with 2 to 3 people in my team, Work with 5 to 6 people in my team")</f>
        <v>Work alone, Work with 2 to 3 people in my team, Work with 5 to 6 people in my team</v>
      </c>
      <c r="Q11" s="1"/>
    </row>
    <row r="12" spans="1:17" ht="13.2" x14ac:dyDescent="0.25">
      <c r="A12" s="2">
        <f ca="1">IFERROR(__xludf.DUMMYFUNCTION("""COMPUTED_VALUE"""),44911.5286915277)</f>
        <v>44911.528691527703</v>
      </c>
      <c r="B12" s="1" t="str">
        <f ca="1">IFERROR(__xludf.DUMMYFUNCTION("""COMPUTED_VALUE"""),"India")</f>
        <v>India</v>
      </c>
      <c r="C12" s="1">
        <f ca="1">IFERROR(__xludf.DUMMYFUNCTION("""COMPUTED_VALUE"""),679121)</f>
        <v>679121</v>
      </c>
      <c r="D12" s="3" t="str">
        <f ca="1">IFERROR(__xludf.DUMMYFUNCTION("""COMPUTED_VALUE"""),"Male")</f>
        <v>Male</v>
      </c>
      <c r="E12" s="1" t="str">
        <f ca="1">IFERROR(__xludf.DUMMYFUNCTION("""COMPUTED_VALUE"""),"People from my circle, but not family members")</f>
        <v>People from my circle, but not family members</v>
      </c>
      <c r="F12" s="1" t="str">
        <f ca="1">IFERROR(__xludf.DUMMYFUNCTION("""COMPUTED_VALUE"""),"Yes, I will earn and do that")</f>
        <v>Yes, I will earn and do that</v>
      </c>
      <c r="G12" s="1" t="str">
        <f ca="1">IFERROR(__xludf.DUMMYFUNCTION("""COMPUTED_VALUE"""),"This will be hard to do, but if it is the right company I would try")</f>
        <v>This will be hard to do, but if it is the right company I would try</v>
      </c>
      <c r="H12" s="1" t="str">
        <f ca="1">IFERROR(__xludf.DUMMYFUNCTION("""COMPUTED_VALUE"""),"Yes")</f>
        <v>Yes</v>
      </c>
      <c r="I12" s="1" t="str">
        <f ca="1">IFERROR(__xludf.DUMMYFUNCTION("""COMPUTED_VALUE"""),"Will work for them")</f>
        <v>Will work for them</v>
      </c>
      <c r="J12" s="1">
        <f ca="1">IFERROR(__xludf.DUMMYFUNCTION("""COMPUTED_VALUE"""),8)</f>
        <v>8</v>
      </c>
      <c r="K12" s="1" t="str">
        <f ca="1">IFERROR(__xludf.DUMMYFUNCTION("""COMPUTED_VALUE"""),"Fully Remote with Options to travel as and when needed")</f>
        <v>Fully Remote with Options to travel as and when needed</v>
      </c>
      <c r="L12" s="1" t="str">
        <f ca="1">IFERROR(__xludf.DUMMYFUNCTION("""COMPUTED_VALUE"""),"Employer who pushes your limits by enabling an learning environment, and rewards you at the end")</f>
        <v>Employer who pushes your limits by enabling an learning environment, and rewards you at the end</v>
      </c>
      <c r="M12" s="1" t="str">
        <f ca="1">IFERROR(__xludf.DUMMYFUNCTION("""COMPUTED_VALUE"""),"Self Paced Learning Portals, Trial and error by doing side projects within the company")</f>
        <v>Self Paced Learning Portals, Trial and error by doing side projects within the company</v>
      </c>
      <c r="N1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2" s="1" t="str">
        <f ca="1">IFERROR(__xludf.DUMMYFUNCTION("""COMPUTED_VALUE"""),"Manager who sets goal and helps me achieve it")</f>
        <v>Manager who sets goal and helps me achieve it</v>
      </c>
      <c r="P12" s="1" t="str">
        <f ca="1">IFERROR(__xludf.DUMMYFUNCTION("""COMPUTED_VALUE"""),"Work alone, Work with 2 to 3 people in my team, Work with 5 to 6 people in my team")</f>
        <v>Work alone, Work with 2 to 3 people in my team, Work with 5 to 6 people in my team</v>
      </c>
      <c r="Q12" s="1"/>
    </row>
    <row r="13" spans="1:17" ht="13.2" x14ac:dyDescent="0.25">
      <c r="A13" s="2">
        <f ca="1">IFERROR(__xludf.DUMMYFUNCTION("""COMPUTED_VALUE"""),44911.5293222916)</f>
        <v>44911.529322291601</v>
      </c>
      <c r="B13" s="1" t="str">
        <f ca="1">IFERROR(__xludf.DUMMYFUNCTION("""COMPUTED_VALUE"""),"India")</f>
        <v>India</v>
      </c>
      <c r="C13" s="1">
        <f ca="1">IFERROR(__xludf.DUMMYFUNCTION("""COMPUTED_VALUE"""),639111)</f>
        <v>639111</v>
      </c>
      <c r="D13" s="3" t="str">
        <f ca="1">IFERROR(__xludf.DUMMYFUNCTION("""COMPUTED_VALUE"""),"Male")</f>
        <v>Male</v>
      </c>
      <c r="E13" s="1" t="str">
        <f ca="1">IFERROR(__xludf.DUMMYFUNCTION("""COMPUTED_VALUE"""),"People who have changed the world for better")</f>
        <v>People who have changed the world for better</v>
      </c>
      <c r="F13" s="1" t="str">
        <f ca="1">IFERROR(__xludf.DUMMYFUNCTION("""COMPUTED_VALUE"""),"No, But if someone could bare the cost I will")</f>
        <v>No, But if someone could bare the cost I will</v>
      </c>
      <c r="G13" s="1" t="str">
        <f ca="1">IFERROR(__xludf.DUMMYFUNCTION("""COMPUTED_VALUE"""),"Will work for 3 years or more")</f>
        <v>Will work for 3 years or more</v>
      </c>
      <c r="H13" s="1" t="str">
        <f ca="1">IFERROR(__xludf.DUMMYFUNCTION("""COMPUTED_VALUE"""),"No")</f>
        <v>No</v>
      </c>
      <c r="I13" s="1" t="str">
        <f ca="1">IFERROR(__xludf.DUMMYFUNCTION("""COMPUTED_VALUE"""),"Will NOT work for them")</f>
        <v>Will NOT work for them</v>
      </c>
      <c r="J13" s="1">
        <f ca="1">IFERROR(__xludf.DUMMYFUNCTION("""COMPUTED_VALUE"""),1)</f>
        <v>1</v>
      </c>
      <c r="K13" s="1" t="str">
        <f ca="1">IFERROR(__xludf.DUMMYFUNCTION("""COMPUTED_VALUE"""),"Fully Remote with Options to travel as and when needed")</f>
        <v>Fully Remote with Options to travel as and when needed</v>
      </c>
      <c r="L13" s="1" t="str">
        <f ca="1">IFERROR(__xludf.DUMMYFUNCTION("""COMPUTED_VALUE"""),"Employer who appreciates learning and enables that environment")</f>
        <v>Employer who appreciates learning and enables that environment</v>
      </c>
      <c r="M13" s="1" t="str">
        <f ca="1">IFERROR(__xludf.DUMMYFUNCTION("""COMPUTED_VALUE"""),"Self Paced Learning Portals, Instructor or Expert Learning Programs")</f>
        <v>Self Paced Learning Portals, Instructor or Expert Learning Programs</v>
      </c>
      <c r="N13"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3" s="1" t="str">
        <f ca="1">IFERROR(__xludf.DUMMYFUNCTION("""COMPUTED_VALUE"""),"Manager who sets goal and helps me achieve it")</f>
        <v>Manager who sets goal and helps me achieve it</v>
      </c>
      <c r="P13" s="1" t="str">
        <f ca="1">IFERROR(__xludf.DUMMYFUNCTION("""COMPUTED_VALUE"""),"Work alone")</f>
        <v>Work alone</v>
      </c>
      <c r="Q13" s="1"/>
    </row>
    <row r="14" spans="1:17" ht="13.2" x14ac:dyDescent="0.25">
      <c r="A14" s="2">
        <f ca="1">IFERROR(__xludf.DUMMYFUNCTION("""COMPUTED_VALUE"""),44911.5440213888)</f>
        <v>44911.5440213888</v>
      </c>
      <c r="B14" s="1" t="str">
        <f ca="1">IFERROR(__xludf.DUMMYFUNCTION("""COMPUTED_VALUE"""),"India")</f>
        <v>India</v>
      </c>
      <c r="C14" s="1">
        <f ca="1">IFERROR(__xludf.DUMMYFUNCTION("""COMPUTED_VALUE"""),136119)</f>
        <v>136119</v>
      </c>
      <c r="D14" s="3" t="str">
        <f ca="1">IFERROR(__xludf.DUMMYFUNCTION("""COMPUTED_VALUE"""),"Male")</f>
        <v>Male</v>
      </c>
      <c r="E14" s="1" t="str">
        <f ca="1">IFERROR(__xludf.DUMMYFUNCTION("""COMPUTED_VALUE"""),"My Parents")</f>
        <v>My Parents</v>
      </c>
      <c r="F14" s="1" t="str">
        <f ca="1">IFERROR(__xludf.DUMMYFUNCTION("""COMPUTED_VALUE"""),"No, But if someone could bare the cost I will")</f>
        <v>No, But if someone could bare the cost I will</v>
      </c>
      <c r="G14" s="1" t="str">
        <f ca="1">IFERROR(__xludf.DUMMYFUNCTION("""COMPUTED_VALUE"""),"This will be hard to do, but if it is the right company I would try")</f>
        <v>This will be hard to do, but if it is the right company I would try</v>
      </c>
      <c r="H14" s="1" t="str">
        <f ca="1">IFERROR(__xludf.DUMMYFUNCTION("""COMPUTED_VALUE"""),"Yes")</f>
        <v>Yes</v>
      </c>
      <c r="I14" s="1" t="str">
        <f ca="1">IFERROR(__xludf.DUMMYFUNCTION("""COMPUTED_VALUE"""),"Will work for them")</f>
        <v>Will work for them</v>
      </c>
      <c r="J14" s="1">
        <f ca="1">IFERROR(__xludf.DUMMYFUNCTION("""COMPUTED_VALUE"""),4)</f>
        <v>4</v>
      </c>
      <c r="K14" s="1" t="str">
        <f ca="1">IFERROR(__xludf.DUMMYFUNCTION("""COMPUTED_VALUE"""),"Hybrid Working Environment with less than 15 days a month at office")</f>
        <v>Hybrid Working Environment with less than 15 days a month at office</v>
      </c>
      <c r="L14" s="1" t="str">
        <f ca="1">IFERROR(__xludf.DUMMYFUNCTION("""COMPUTED_VALUE"""),"Employer who appreciates learning and enables that environment")</f>
        <v>Employer who appreciates learning and enables that environment</v>
      </c>
      <c r="M14" s="1" t="str">
        <f ca="1">IFERROR(__xludf.DUMMYFUNCTION("""COMPUTED_VALUE"""),"Learning by observing others, Trial and error by doing side projects within the company")</f>
        <v>Learning by observing others, Trial and error by doing side projects within the company</v>
      </c>
      <c r="N1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4" s="1" t="str">
        <f ca="1">IFERROR(__xludf.DUMMYFUNCTION("""COMPUTED_VALUE"""),"Manager who sets goal and helps me achieve it")</f>
        <v>Manager who sets goal and helps me achieve it</v>
      </c>
      <c r="P14" s="1" t="str">
        <f ca="1">IFERROR(__xludf.DUMMYFUNCTION("""COMPUTED_VALUE"""),"Work with 2 to 3 people in my team")</f>
        <v>Work with 2 to 3 people in my team</v>
      </c>
      <c r="Q14" s="1"/>
    </row>
    <row r="15" spans="1:17" ht="13.2" x14ac:dyDescent="0.25">
      <c r="A15" s="2">
        <f ca="1">IFERROR(__xludf.DUMMYFUNCTION("""COMPUTED_VALUE"""),44911.5561873726)</f>
        <v>44911.556187372596</v>
      </c>
      <c r="B15" s="1" t="str">
        <f ca="1">IFERROR(__xludf.DUMMYFUNCTION("""COMPUTED_VALUE"""),"India")</f>
        <v>India</v>
      </c>
      <c r="C15" s="1">
        <f ca="1">IFERROR(__xludf.DUMMYFUNCTION("""COMPUTED_VALUE"""),678104)</f>
        <v>678104</v>
      </c>
      <c r="D15" s="3" t="str">
        <f ca="1">IFERROR(__xludf.DUMMYFUNCTION("""COMPUTED_VALUE"""),"Male")</f>
        <v>Male</v>
      </c>
      <c r="E15" s="1" t="str">
        <f ca="1">IFERROR(__xludf.DUMMYFUNCTION("""COMPUTED_VALUE"""),"People who have changed the world for better")</f>
        <v>People who have changed the world for better</v>
      </c>
      <c r="F15" s="1" t="str">
        <f ca="1">IFERROR(__xludf.DUMMYFUNCTION("""COMPUTED_VALUE"""),"Yes, I will earn and do that")</f>
        <v>Yes, I will earn and do that</v>
      </c>
      <c r="G15" s="1" t="str">
        <f ca="1">IFERROR(__xludf.DUMMYFUNCTION("""COMPUTED_VALUE"""),"This will be hard to do, but if it is the right company I would try")</f>
        <v>This will be hard to do, but if it is the right company I would try</v>
      </c>
      <c r="H15" s="1" t="str">
        <f ca="1">IFERROR(__xludf.DUMMYFUNCTION("""COMPUTED_VALUE"""),"No")</f>
        <v>No</v>
      </c>
      <c r="I15" s="1" t="str">
        <f ca="1">IFERROR(__xludf.DUMMYFUNCTION("""COMPUTED_VALUE"""),"Will NOT work for them")</f>
        <v>Will NOT work for them</v>
      </c>
      <c r="J15" s="1">
        <f ca="1">IFERROR(__xludf.DUMMYFUNCTION("""COMPUTED_VALUE"""),1)</f>
        <v>1</v>
      </c>
      <c r="K15" s="1" t="str">
        <f ca="1">IFERROR(__xludf.DUMMYFUNCTION("""COMPUTED_VALUE"""),"Fully Remote with Options to travel as and when needed")</f>
        <v>Fully Remote with Options to travel as and when needed</v>
      </c>
      <c r="L15" s="1" t="str">
        <f ca="1">IFERROR(__xludf.DUMMYFUNCTION("""COMPUTED_VALUE"""),"Employer who pushes your limits by enabling an learning environment, and rewards you at the end")</f>
        <v>Employer who pushes your limits by enabling an learning environment, and rewards you at the end</v>
      </c>
      <c r="M15" s="1" t="str">
        <f ca="1">IFERROR(__xludf.DUMMYFUNCTION("""COMPUTED_VALUE"""),"Self Paced Learning Portals, Trial and error by doing side projects within the company")</f>
        <v>Self Paced Learning Portals, Trial and error by doing side projects within the company</v>
      </c>
      <c r="N1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5" s="1" t="str">
        <f ca="1">IFERROR(__xludf.DUMMYFUNCTION("""COMPUTED_VALUE"""),"Manager who sets goal and helps me achieve it")</f>
        <v>Manager who sets goal and helps me achieve it</v>
      </c>
      <c r="P15" s="1" t="str">
        <f ca="1">IFERROR(__xludf.DUMMYFUNCTION("""COMPUTED_VALUE"""),"Work with 5 to 6 people in my team")</f>
        <v>Work with 5 to 6 people in my team</v>
      </c>
      <c r="Q15" s="1"/>
    </row>
    <row r="16" spans="1:17" ht="13.2" x14ac:dyDescent="0.25">
      <c r="A16" s="2">
        <f ca="1">IFERROR(__xludf.DUMMYFUNCTION("""COMPUTED_VALUE"""),44911.5579486805)</f>
        <v>44911.5579486805</v>
      </c>
      <c r="B16" s="1" t="str">
        <f ca="1">IFERROR(__xludf.DUMMYFUNCTION("""COMPUTED_VALUE"""),"India")</f>
        <v>India</v>
      </c>
      <c r="C16" s="1">
        <f ca="1">IFERROR(__xludf.DUMMYFUNCTION("""COMPUTED_VALUE"""),560024)</f>
        <v>560024</v>
      </c>
      <c r="D16" s="3" t="str">
        <f ca="1">IFERROR(__xludf.DUMMYFUNCTION("""COMPUTED_VALUE"""),"Female")</f>
        <v>Female</v>
      </c>
      <c r="E16" s="1" t="str">
        <f ca="1">IFERROR(__xludf.DUMMYFUNCTION("""COMPUTED_VALUE"""),"People from my circle, but not family members")</f>
        <v>People from my circle, but not family members</v>
      </c>
      <c r="F16" s="1" t="str">
        <f ca="1">IFERROR(__xludf.DUMMYFUNCTION("""COMPUTED_VALUE"""),"Yes, I will earn and do that")</f>
        <v>Yes, I will earn and do that</v>
      </c>
      <c r="G16" s="1" t="str">
        <f ca="1">IFERROR(__xludf.DUMMYFUNCTION("""COMPUTED_VALUE"""),"This will be hard to do, but if it is the right company I would try")</f>
        <v>This will be hard to do, but if it is the right company I would try</v>
      </c>
      <c r="H16" s="1" t="str">
        <f ca="1">IFERROR(__xludf.DUMMYFUNCTION("""COMPUTED_VALUE"""),"Yes")</f>
        <v>Yes</v>
      </c>
      <c r="I16" s="1" t="str">
        <f ca="1">IFERROR(__xludf.DUMMYFUNCTION("""COMPUTED_VALUE"""),"Will NOT work for them")</f>
        <v>Will NOT work for them</v>
      </c>
      <c r="J16" s="1">
        <f ca="1">IFERROR(__xludf.DUMMYFUNCTION("""COMPUTED_VALUE"""),6)</f>
        <v>6</v>
      </c>
      <c r="K16" s="1" t="str">
        <f ca="1">IFERROR(__xludf.DUMMYFUNCTION("""COMPUTED_VALUE"""),"Hybrid Working Environment with less than 15 days a month at office")</f>
        <v>Hybrid Working Environment with less than 15 days a month at office</v>
      </c>
      <c r="L16" s="1" t="str">
        <f ca="1">IFERROR(__xludf.DUMMYFUNCTION("""COMPUTED_VALUE"""),"Employer who pushes your limits by enabling an learning environment, and rewards you at the end")</f>
        <v>Employer who pushes your limits by enabling an learning environment, and rewards you at the end</v>
      </c>
      <c r="M16" s="1" t="str">
        <f ca="1">IFERROR(__xludf.DUMMYFUNCTION("""COMPUTED_VALUE"""),"Self Paced Learning Portals, Instructor or Expert Learning Programs")</f>
        <v>Self Paced Learning Portals, Instructor or Expert Learning Programs</v>
      </c>
      <c r="N16"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16" s="1" t="str">
        <f ca="1">IFERROR(__xludf.DUMMYFUNCTION("""COMPUTED_VALUE"""),"Manager who explains what is expected, sets a goal and helps achieve it")</f>
        <v>Manager who explains what is expected, sets a goal and helps achieve it</v>
      </c>
      <c r="P16" s="1" t="str">
        <f ca="1">IFERROR(__xludf.DUMMYFUNCTION("""COMPUTED_VALUE"""),"Work with more than 10 people in my team")</f>
        <v>Work with more than 10 people in my team</v>
      </c>
      <c r="Q16" s="1"/>
    </row>
    <row r="17" spans="1:17" ht="13.2" x14ac:dyDescent="0.25">
      <c r="A17" s="2">
        <f ca="1">IFERROR(__xludf.DUMMYFUNCTION("""COMPUTED_VALUE"""),44911.5590934026)</f>
        <v>44911.559093402597</v>
      </c>
      <c r="B17" s="1" t="str">
        <f ca="1">IFERROR(__xludf.DUMMYFUNCTION("""COMPUTED_VALUE"""),"India")</f>
        <v>India</v>
      </c>
      <c r="C17" s="1">
        <f ca="1">IFERROR(__xludf.DUMMYFUNCTION("""COMPUTED_VALUE"""),560064)</f>
        <v>560064</v>
      </c>
      <c r="D17" s="3" t="str">
        <f ca="1">IFERROR(__xludf.DUMMYFUNCTION("""COMPUTED_VALUE"""),"Male")</f>
        <v>Male</v>
      </c>
      <c r="E17" s="1" t="str">
        <f ca="1">IFERROR(__xludf.DUMMYFUNCTION("""COMPUTED_VALUE"""),"People from my circle, but not family members")</f>
        <v>People from my circle, but not family members</v>
      </c>
      <c r="F17" s="1" t="str">
        <f ca="1">IFERROR(__xludf.DUMMYFUNCTION("""COMPUTED_VALUE"""),"No, But if someone could bare the cost I will")</f>
        <v>No, But if someone could bare the cost I will</v>
      </c>
      <c r="G17" s="1" t="str">
        <f ca="1">IFERROR(__xludf.DUMMYFUNCTION("""COMPUTED_VALUE"""),"This will be hard to do, but if it is the right company I would try")</f>
        <v>This will be hard to do, but if it is the right company I would try</v>
      </c>
      <c r="H17" s="1" t="str">
        <f ca="1">IFERROR(__xludf.DUMMYFUNCTION("""COMPUTED_VALUE"""),"No")</f>
        <v>No</v>
      </c>
      <c r="I17" s="1" t="str">
        <f ca="1">IFERROR(__xludf.DUMMYFUNCTION("""COMPUTED_VALUE"""),"Will NOT work for them")</f>
        <v>Will NOT work for them</v>
      </c>
      <c r="J17" s="1">
        <f ca="1">IFERROR(__xludf.DUMMYFUNCTION("""COMPUTED_VALUE"""),8)</f>
        <v>8</v>
      </c>
      <c r="K17" s="1" t="str">
        <f ca="1">IFERROR(__xludf.DUMMYFUNCTION("""COMPUTED_VALUE"""),"Hybrid Working Environment with less than 10 days a month at office")</f>
        <v>Hybrid Working Environment with less than 10 days a month at office</v>
      </c>
      <c r="L17" s="1" t="str">
        <f ca="1">IFERROR(__xludf.DUMMYFUNCTION("""COMPUTED_VALUE"""),"Employer who pushes your limits by enabling an learning environment, and rewards you at the end")</f>
        <v>Employer who pushes your limits by enabling an learning environment, and rewards you at the end</v>
      </c>
      <c r="M17" s="1" t="str">
        <f ca="1">IFERROR(__xludf.DUMMYFUNCTION("""COMPUTED_VALUE"""),"Instructor or Expert Learning Programs, Learning by observing others")</f>
        <v>Instructor or Expert Learning Programs, Learning by observing others</v>
      </c>
      <c r="N17"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7" s="1" t="str">
        <f ca="1">IFERROR(__xludf.DUMMYFUNCTION("""COMPUTED_VALUE"""),"Manager who explains what is expected, sets a goal and helps achieve it")</f>
        <v>Manager who explains what is expected, sets a goal and helps achieve it</v>
      </c>
      <c r="P17" s="1" t="str">
        <f ca="1">IFERROR(__xludf.DUMMYFUNCTION("""COMPUTED_VALUE"""),"Work with 5 to 6 people in my team, Work with 7 to 10 or more people in my team")</f>
        <v>Work with 5 to 6 people in my team, Work with 7 to 10 or more people in my team</v>
      </c>
      <c r="Q17" s="1"/>
    </row>
    <row r="18" spans="1:17" ht="13.2" x14ac:dyDescent="0.25">
      <c r="A18" s="2">
        <f ca="1">IFERROR(__xludf.DUMMYFUNCTION("""COMPUTED_VALUE"""),44911.5597770486)</f>
        <v>44911.559777048598</v>
      </c>
      <c r="B18" s="1" t="str">
        <f ca="1">IFERROR(__xludf.DUMMYFUNCTION("""COMPUTED_VALUE"""),"India")</f>
        <v>India</v>
      </c>
      <c r="C18" s="1">
        <f ca="1">IFERROR(__xludf.DUMMYFUNCTION("""COMPUTED_VALUE"""),561203)</f>
        <v>561203</v>
      </c>
      <c r="D18" s="3" t="str">
        <f ca="1">IFERROR(__xludf.DUMMYFUNCTION("""COMPUTED_VALUE"""),"Male")</f>
        <v>Male</v>
      </c>
      <c r="E18" s="1" t="str">
        <f ca="1">IFERROR(__xludf.DUMMYFUNCTION("""COMPUTED_VALUE"""),"Influencers who had successful careers")</f>
        <v>Influencers who had successful careers</v>
      </c>
      <c r="F18" s="1" t="str">
        <f ca="1">IFERROR(__xludf.DUMMYFUNCTION("""COMPUTED_VALUE"""),"Yes, I will earn and do that")</f>
        <v>Yes, I will earn and do that</v>
      </c>
      <c r="G18" s="1" t="str">
        <f ca="1">IFERROR(__xludf.DUMMYFUNCTION("""COMPUTED_VALUE"""),"This will be hard to do, but if it is the right company I would try")</f>
        <v>This will be hard to do, but if it is the right company I would try</v>
      </c>
      <c r="H18" s="1" t="str">
        <f ca="1">IFERROR(__xludf.DUMMYFUNCTION("""COMPUTED_VALUE"""),"No")</f>
        <v>No</v>
      </c>
      <c r="I18" s="1" t="str">
        <f ca="1">IFERROR(__xludf.DUMMYFUNCTION("""COMPUTED_VALUE"""),"Will NOT work for them")</f>
        <v>Will NOT work for them</v>
      </c>
      <c r="J18" s="1">
        <f ca="1">IFERROR(__xludf.DUMMYFUNCTION("""COMPUTED_VALUE"""),1)</f>
        <v>1</v>
      </c>
      <c r="K18" s="1" t="str">
        <f ca="1">IFERROR(__xludf.DUMMYFUNCTION("""COMPUTED_VALUE"""),"Hybrid Working Environment with less than 15 days a month at office")</f>
        <v>Hybrid Working Environment with less than 15 days a month at office</v>
      </c>
      <c r="L18" s="1" t="str">
        <f ca="1">IFERROR(__xludf.DUMMYFUNCTION("""COMPUTED_VALUE"""),"Employer who pushes your limits by enabling an learning environment, and rewards you at the end")</f>
        <v>Employer who pushes your limits by enabling an learning environment, and rewards you at the end</v>
      </c>
      <c r="M18" s="1" t="str">
        <f ca="1">IFERROR(__xludf.DUMMYFUNCTION("""COMPUTED_VALUE"""),"Self Paced Learning Portals, Instructor or Expert Learning Programs")</f>
        <v>Self Paced Learning Portals, Instructor or Expert Learning Programs</v>
      </c>
      <c r="N18"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8" s="1" t="str">
        <f ca="1">IFERROR(__xludf.DUMMYFUNCTION("""COMPUTED_VALUE"""),"Manager who explains what is expected, sets a goal and helps achieve it")</f>
        <v>Manager who explains what is expected, sets a goal and helps achieve it</v>
      </c>
      <c r="P18" s="1" t="str">
        <f ca="1">IFERROR(__xludf.DUMMYFUNCTION("""COMPUTED_VALUE"""),"Work with 2 to 3 people in my team, Work with 5 to 6 people in my team")</f>
        <v>Work with 2 to 3 people in my team, Work with 5 to 6 people in my team</v>
      </c>
      <c r="Q18" s="1"/>
    </row>
    <row r="19" spans="1:17" ht="13.2" x14ac:dyDescent="0.25">
      <c r="A19" s="2">
        <f ca="1">IFERROR(__xludf.DUMMYFUNCTION("""COMPUTED_VALUE"""),44911.5621552546)</f>
        <v>44911.5621552546</v>
      </c>
      <c r="B19" s="1" t="str">
        <f ca="1">IFERROR(__xludf.DUMMYFUNCTION("""COMPUTED_VALUE"""),"India")</f>
        <v>India</v>
      </c>
      <c r="C19" s="1">
        <f ca="1">IFERROR(__xludf.DUMMYFUNCTION("""COMPUTED_VALUE"""),515201)</f>
        <v>515201</v>
      </c>
      <c r="D19" s="3" t="str">
        <f ca="1">IFERROR(__xludf.DUMMYFUNCTION("""COMPUTED_VALUE"""),"Male")</f>
        <v>Male</v>
      </c>
      <c r="E19" s="1" t="str">
        <f ca="1">IFERROR(__xludf.DUMMYFUNCTION("""COMPUTED_VALUE"""),"My Parents")</f>
        <v>My Parents</v>
      </c>
      <c r="F19" s="1" t="str">
        <f ca="1">IFERROR(__xludf.DUMMYFUNCTION("""COMPUTED_VALUE"""),"Yes, I will earn and do that")</f>
        <v>Yes, I will earn and do that</v>
      </c>
      <c r="G19" s="1" t="str">
        <f ca="1">IFERROR(__xludf.DUMMYFUNCTION("""COMPUTED_VALUE"""),"Will work for 3 years or more")</f>
        <v>Will work for 3 years or more</v>
      </c>
      <c r="H19" s="1" t="str">
        <f ca="1">IFERROR(__xludf.DUMMYFUNCTION("""COMPUTED_VALUE"""),"No")</f>
        <v>No</v>
      </c>
      <c r="I19" s="1" t="str">
        <f ca="1">IFERROR(__xludf.DUMMYFUNCTION("""COMPUTED_VALUE"""),"Will NOT work for them")</f>
        <v>Will NOT work for them</v>
      </c>
      <c r="J19" s="1">
        <f ca="1">IFERROR(__xludf.DUMMYFUNCTION("""COMPUTED_VALUE"""),2)</f>
        <v>2</v>
      </c>
      <c r="K19" s="1" t="str">
        <f ca="1">IFERROR(__xludf.DUMMYFUNCTION("""COMPUTED_VALUE"""),"Every Day Office Environment")</f>
        <v>Every Day Office Environment</v>
      </c>
      <c r="L19" s="1" t="str">
        <f ca="1">IFERROR(__xludf.DUMMYFUNCTION("""COMPUTED_VALUE"""),"Employer who appreciates learning and enables that environment")</f>
        <v>Employer who appreciates learning and enables that environment</v>
      </c>
      <c r="M19" s="1" t="str">
        <f ca="1">IFERROR(__xludf.DUMMYFUNCTION("""COMPUTED_VALUE"""),"Self Paced Learning Portals, Instructor or Expert Learning Programs")</f>
        <v>Self Paced Learning Portals, Instructor or Expert Learning Programs</v>
      </c>
      <c r="N1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19" s="1" t="str">
        <f ca="1">IFERROR(__xludf.DUMMYFUNCTION("""COMPUTED_VALUE"""),"Manager who sets goal and helps me achieve it")</f>
        <v>Manager who sets goal and helps me achieve it</v>
      </c>
      <c r="P19" s="1" t="str">
        <f ca="1">IFERROR(__xludf.DUMMYFUNCTION("""COMPUTED_VALUE"""),"Work with 5 to 6 people in my team")</f>
        <v>Work with 5 to 6 people in my team</v>
      </c>
      <c r="Q19" s="1"/>
    </row>
    <row r="20" spans="1:17" ht="13.2" x14ac:dyDescent="0.25">
      <c r="A20" s="2">
        <f ca="1">IFERROR(__xludf.DUMMYFUNCTION("""COMPUTED_VALUE"""),44911.5653887268)</f>
        <v>44911.565388726798</v>
      </c>
      <c r="B20" s="1" t="str">
        <f ca="1">IFERROR(__xludf.DUMMYFUNCTION("""COMPUTED_VALUE"""),"India")</f>
        <v>India</v>
      </c>
      <c r="C20" s="1">
        <f ca="1">IFERROR(__xludf.DUMMYFUNCTION("""COMPUTED_VALUE"""),211002)</f>
        <v>211002</v>
      </c>
      <c r="D20" s="3" t="str">
        <f ca="1">IFERROR(__xludf.DUMMYFUNCTION("""COMPUTED_VALUE"""),"Male")</f>
        <v>Male</v>
      </c>
      <c r="E20" s="1" t="str">
        <f ca="1">IFERROR(__xludf.DUMMYFUNCTION("""COMPUTED_VALUE"""),"People who have changed the world for better")</f>
        <v>People who have changed the world for better</v>
      </c>
      <c r="F20" s="1" t="str">
        <f ca="1">IFERROR(__xludf.DUMMYFUNCTION("""COMPUTED_VALUE"""),"Yes, I will earn and do that")</f>
        <v>Yes, I will earn and do that</v>
      </c>
      <c r="G20" s="1" t="str">
        <f ca="1">IFERROR(__xludf.DUMMYFUNCTION("""COMPUTED_VALUE"""),"This will be hard to do, but if it is the right company I would try")</f>
        <v>This will be hard to do, but if it is the right company I would try</v>
      </c>
      <c r="H20" s="1" t="str">
        <f ca="1">IFERROR(__xludf.DUMMYFUNCTION("""COMPUTED_VALUE"""),"No")</f>
        <v>No</v>
      </c>
      <c r="I20" s="1" t="str">
        <f ca="1">IFERROR(__xludf.DUMMYFUNCTION("""COMPUTED_VALUE"""),"Will work for them")</f>
        <v>Will work for them</v>
      </c>
      <c r="J20" s="1">
        <f ca="1">IFERROR(__xludf.DUMMYFUNCTION("""COMPUTED_VALUE"""),6)</f>
        <v>6</v>
      </c>
      <c r="K20" s="1" t="str">
        <f ca="1">IFERROR(__xludf.DUMMYFUNCTION("""COMPUTED_VALUE"""),"Every Day Office Environment")</f>
        <v>Every Day Office Environment</v>
      </c>
      <c r="L20" s="1" t="str">
        <f ca="1">IFERROR(__xludf.DUMMYFUNCTION("""COMPUTED_VALUE"""),"Employer who appreciates learning and enables that environment")</f>
        <v>Employer who appreciates learning and enables that environment</v>
      </c>
      <c r="M20" s="1" t="str">
        <f ca="1">IFERROR(__xludf.DUMMYFUNCTION("""COMPUTED_VALUE"""),"Self Paced Learning Portals, Trial and error by doing side projects within the company")</f>
        <v>Self Paced Learning Portals, Trial and error by doing side projects within the company</v>
      </c>
      <c r="N20"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20" s="1" t="str">
        <f ca="1">IFERROR(__xludf.DUMMYFUNCTION("""COMPUTED_VALUE"""),"Manager who explains what is expected, sets a goal and helps achieve it")</f>
        <v>Manager who explains what is expected, sets a goal and helps achieve it</v>
      </c>
      <c r="P20" s="1" t="str">
        <f ca="1">IFERROR(__xludf.DUMMYFUNCTION("""COMPUTED_VALUE"""),"Work with more than 10 people in my team")</f>
        <v>Work with more than 10 people in my team</v>
      </c>
      <c r="Q20" s="1"/>
    </row>
    <row r="21" spans="1:17" ht="13.2" x14ac:dyDescent="0.25">
      <c r="A21" s="2">
        <f ca="1">IFERROR(__xludf.DUMMYFUNCTION("""COMPUTED_VALUE"""),44911.5668785532)</f>
        <v>44911.566878553203</v>
      </c>
      <c r="B21" s="1" t="str">
        <f ca="1">IFERROR(__xludf.DUMMYFUNCTION("""COMPUTED_VALUE"""),"India")</f>
        <v>India</v>
      </c>
      <c r="C21" s="1">
        <f ca="1">IFERROR(__xludf.DUMMYFUNCTION("""COMPUTED_VALUE"""),577002)</f>
        <v>577002</v>
      </c>
      <c r="D21" s="3" t="str">
        <f ca="1">IFERROR(__xludf.DUMMYFUNCTION("""COMPUTED_VALUE"""),"Female")</f>
        <v>Female</v>
      </c>
      <c r="E21" s="1" t="str">
        <f ca="1">IFERROR(__xludf.DUMMYFUNCTION("""COMPUTED_VALUE"""),"Influencers who had successful careers")</f>
        <v>Influencers who had successful careers</v>
      </c>
      <c r="F21" s="1" t="str">
        <f ca="1">IFERROR(__xludf.DUMMYFUNCTION("""COMPUTED_VALUE"""),"Yes, I will earn and do that")</f>
        <v>Yes, I will earn and do that</v>
      </c>
      <c r="G21" s="1" t="str">
        <f ca="1">IFERROR(__xludf.DUMMYFUNCTION("""COMPUTED_VALUE"""),"No way, 3 years with one employer is crazy")</f>
        <v>No way, 3 years with one employer is crazy</v>
      </c>
      <c r="H21" s="1" t="str">
        <f ca="1">IFERROR(__xludf.DUMMYFUNCTION("""COMPUTED_VALUE"""),"No")</f>
        <v>No</v>
      </c>
      <c r="I21" s="1" t="str">
        <f ca="1">IFERROR(__xludf.DUMMYFUNCTION("""COMPUTED_VALUE"""),"Will NOT work for them")</f>
        <v>Will NOT work for them</v>
      </c>
      <c r="J21" s="1">
        <f ca="1">IFERROR(__xludf.DUMMYFUNCTION("""COMPUTED_VALUE"""),7)</f>
        <v>7</v>
      </c>
      <c r="K21" s="1" t="str">
        <f ca="1">IFERROR(__xludf.DUMMYFUNCTION("""COMPUTED_VALUE"""),"Hybrid Working Environment with less than 15 days a month at office")</f>
        <v>Hybrid Working Environment with less than 15 days a month at office</v>
      </c>
      <c r="L21" s="1" t="str">
        <f ca="1">IFERROR(__xludf.DUMMYFUNCTION("""COMPUTED_VALUE"""),"Employer who rewards learning and enables that environment")</f>
        <v>Employer who rewards learning and enables that environment</v>
      </c>
      <c r="M21" s="1" t="str">
        <f ca="1">IFERROR(__xludf.DUMMYFUNCTION("""COMPUTED_VALUE"""),"Instructor or Expert Learning Programs, Learning by observing others")</f>
        <v>Instructor or Expert Learning Programs, Learning by observing others</v>
      </c>
      <c r="N2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 s="1" t="str">
        <f ca="1">IFERROR(__xludf.DUMMYFUNCTION("""COMPUTED_VALUE"""),"Manager who explains what is expected, sets a goal and helps achieve it")</f>
        <v>Manager who explains what is expected, sets a goal and helps achieve it</v>
      </c>
      <c r="P21" s="1" t="str">
        <f ca="1">IFERROR(__xludf.DUMMYFUNCTION("""COMPUTED_VALUE"""),"Work alone, Work with 5 to 6 people in my team")</f>
        <v>Work alone, Work with 5 to 6 people in my team</v>
      </c>
      <c r="Q21" s="1"/>
    </row>
    <row r="22" spans="1:17" ht="13.2" x14ac:dyDescent="0.25">
      <c r="A22" s="2">
        <f ca="1">IFERROR(__xludf.DUMMYFUNCTION("""COMPUTED_VALUE"""),44911.5698231944)</f>
        <v>44911.569823194397</v>
      </c>
      <c r="B22" s="1" t="str">
        <f ca="1">IFERROR(__xludf.DUMMYFUNCTION("""COMPUTED_VALUE"""),"India")</f>
        <v>India</v>
      </c>
      <c r="C22" s="1">
        <f ca="1">IFERROR(__xludf.DUMMYFUNCTION("""COMPUTED_VALUE"""),673020)</f>
        <v>673020</v>
      </c>
      <c r="D22" s="3" t="str">
        <f ca="1">IFERROR(__xludf.DUMMYFUNCTION("""COMPUTED_VALUE"""),"Female")</f>
        <v>Female</v>
      </c>
      <c r="E22" s="1" t="str">
        <f ca="1">IFERROR(__xludf.DUMMYFUNCTION("""COMPUTED_VALUE"""),"People from my circle, but not family members")</f>
        <v>People from my circle, but not family members</v>
      </c>
      <c r="F22" s="1" t="str">
        <f ca="1">IFERROR(__xludf.DUMMYFUNCTION("""COMPUTED_VALUE"""),"No, But if someone could bare the cost I will")</f>
        <v>No, But if someone could bare the cost I will</v>
      </c>
      <c r="G22" s="1" t="str">
        <f ca="1">IFERROR(__xludf.DUMMYFUNCTION("""COMPUTED_VALUE"""),"This will be hard to do, but if it is the right company I would try")</f>
        <v>This will be hard to do, but if it is the right company I would try</v>
      </c>
      <c r="H22" s="1" t="str">
        <f ca="1">IFERROR(__xludf.DUMMYFUNCTION("""COMPUTED_VALUE"""),"No")</f>
        <v>No</v>
      </c>
      <c r="I22" s="1" t="str">
        <f ca="1">IFERROR(__xludf.DUMMYFUNCTION("""COMPUTED_VALUE"""),"Will NOT work for them")</f>
        <v>Will NOT work for them</v>
      </c>
      <c r="J22" s="1">
        <f ca="1">IFERROR(__xludf.DUMMYFUNCTION("""COMPUTED_VALUE"""),1)</f>
        <v>1</v>
      </c>
      <c r="K22" s="1" t="str">
        <f ca="1">IFERROR(__xludf.DUMMYFUNCTION("""COMPUTED_VALUE"""),"Hybrid Working Environment with less than 15 days a month at office")</f>
        <v>Hybrid Working Environment with less than 15 days a month at office</v>
      </c>
      <c r="L22" s="1" t="str">
        <f ca="1">IFERROR(__xludf.DUMMYFUNCTION("""COMPUTED_VALUE"""),"Employer who pushes your limits by enabling an learning environment, and rewards you at the end")</f>
        <v>Employer who pushes your limits by enabling an learning environment, and rewards you at the end</v>
      </c>
      <c r="M22" s="1" t="str">
        <f ca="1">IFERROR(__xludf.DUMMYFUNCTION("""COMPUTED_VALUE"""),"Instructor or Expert Learning Programs, Trial and error by doing side projects within the company")</f>
        <v>Instructor or Expert Learning Programs, Trial and error by doing side projects within the company</v>
      </c>
      <c r="N2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 s="1" t="str">
        <f ca="1">IFERROR(__xludf.DUMMYFUNCTION("""COMPUTED_VALUE"""),"Manager who explains what is expected, sets a goal and helps achieve it")</f>
        <v>Manager who explains what is expected, sets a goal and helps achieve it</v>
      </c>
      <c r="P22" s="1" t="str">
        <f ca="1">IFERROR(__xludf.DUMMYFUNCTION("""COMPUTED_VALUE"""),"Work with 5 to 6 people in my team")</f>
        <v>Work with 5 to 6 people in my team</v>
      </c>
      <c r="Q22" s="1"/>
    </row>
    <row r="23" spans="1:17" ht="13.2" x14ac:dyDescent="0.25">
      <c r="A23" s="2">
        <f ca="1">IFERROR(__xludf.DUMMYFUNCTION("""COMPUTED_VALUE"""),44911.5734704166)</f>
        <v>44911.573470416603</v>
      </c>
      <c r="B23" s="1" t="str">
        <f ca="1">IFERROR(__xludf.DUMMYFUNCTION("""COMPUTED_VALUE"""),"India")</f>
        <v>India</v>
      </c>
      <c r="C23" s="1">
        <f ca="1">IFERROR(__xludf.DUMMYFUNCTION("""COMPUTED_VALUE"""),301019)</f>
        <v>301019</v>
      </c>
      <c r="D23" s="3" t="str">
        <f ca="1">IFERROR(__xludf.DUMMYFUNCTION("""COMPUTED_VALUE"""),"Male")</f>
        <v>Male</v>
      </c>
      <c r="E23" s="1" t="str">
        <f ca="1">IFERROR(__xludf.DUMMYFUNCTION("""COMPUTED_VALUE"""),"My Parents")</f>
        <v>My Parents</v>
      </c>
      <c r="F23" s="1" t="str">
        <f ca="1">IFERROR(__xludf.DUMMYFUNCTION("""COMPUTED_VALUE"""),"Yes, I will earn and do that")</f>
        <v>Yes, I will earn and do that</v>
      </c>
      <c r="G23" s="1" t="str">
        <f ca="1">IFERROR(__xludf.DUMMYFUNCTION("""COMPUTED_VALUE"""),"No way, 3 years with one employer is crazy")</f>
        <v>No way, 3 years with one employer is crazy</v>
      </c>
      <c r="H23" s="1" t="str">
        <f ca="1">IFERROR(__xludf.DUMMYFUNCTION("""COMPUTED_VALUE"""),"No")</f>
        <v>No</v>
      </c>
      <c r="I23" s="1" t="str">
        <f ca="1">IFERROR(__xludf.DUMMYFUNCTION("""COMPUTED_VALUE"""),"Will NOT work for them")</f>
        <v>Will NOT work for them</v>
      </c>
      <c r="J23" s="1">
        <f ca="1">IFERROR(__xludf.DUMMYFUNCTION("""COMPUTED_VALUE"""),1)</f>
        <v>1</v>
      </c>
      <c r="K23" s="1" t="str">
        <f ca="1">IFERROR(__xludf.DUMMYFUNCTION("""COMPUTED_VALUE"""),"Every Day Office Environment")</f>
        <v>Every Day Office Environment</v>
      </c>
      <c r="L23" s="1" t="str">
        <f ca="1">IFERROR(__xludf.DUMMYFUNCTION("""COMPUTED_VALUE"""),"Employer who pushes your limits by enabling an learning environment, and rewards you at the end")</f>
        <v>Employer who pushes your limits by enabling an learning environment, and rewards you at the end</v>
      </c>
      <c r="M23" s="1" t="str">
        <f ca="1">IFERROR(__xludf.DUMMYFUNCTION("""COMPUTED_VALUE"""),"Self Paced Learning Portals, Learning by observing others")</f>
        <v>Self Paced Learning Portals, Learning by observing others</v>
      </c>
      <c r="N23" s="1" t="str">
        <f ca="1">IFERROR(__xludf.DUMMYFUNCTION("""COMPUTED_VALUE"""),"Design and Creative strategy in any company, Build and develop a Team, Design and Develop amazing software")</f>
        <v>Design and Creative strategy in any company, Build and develop a Team, Design and Develop amazing software</v>
      </c>
      <c r="O23" s="1" t="str">
        <f ca="1">IFERROR(__xludf.DUMMYFUNCTION("""COMPUTED_VALUE"""),"Manager who clearly describes what she/he needs")</f>
        <v>Manager who clearly describes what she/he needs</v>
      </c>
      <c r="P23" s="1" t="str">
        <f ca="1">IFERROR(__xludf.DUMMYFUNCTION("""COMPUTED_VALUE"""),"Work with 2 to 3 people in my team")</f>
        <v>Work with 2 to 3 people in my team</v>
      </c>
      <c r="Q23" s="1"/>
    </row>
    <row r="24" spans="1:17" ht="13.2" x14ac:dyDescent="0.25">
      <c r="A24" s="2">
        <f ca="1">IFERROR(__xludf.DUMMYFUNCTION("""COMPUTED_VALUE"""),44911.5742924189)</f>
        <v>44911.574292418903</v>
      </c>
      <c r="B24" s="1" t="str">
        <f ca="1">IFERROR(__xludf.DUMMYFUNCTION("""COMPUTED_VALUE"""),"India")</f>
        <v>India</v>
      </c>
      <c r="C24" s="1">
        <f ca="1">IFERROR(__xludf.DUMMYFUNCTION("""COMPUTED_VALUE"""),680613)</f>
        <v>680613</v>
      </c>
      <c r="D24" s="3" t="str">
        <f ca="1">IFERROR(__xludf.DUMMYFUNCTION("""COMPUTED_VALUE"""),"Female")</f>
        <v>Female</v>
      </c>
      <c r="E24" s="1" t="str">
        <f ca="1">IFERROR(__xludf.DUMMYFUNCTION("""COMPUTED_VALUE"""),"My Parents")</f>
        <v>My Parents</v>
      </c>
      <c r="F24" s="1" t="str">
        <f ca="1">IFERROR(__xludf.DUMMYFUNCTION("""COMPUTED_VALUE"""),"Yes, I will earn and do that")</f>
        <v>Yes, I will earn and do that</v>
      </c>
      <c r="G24" s="1" t="str">
        <f ca="1">IFERROR(__xludf.DUMMYFUNCTION("""COMPUTED_VALUE"""),"This will be hard to do, but if it is the right company I would try")</f>
        <v>This will be hard to do, but if it is the right company I would try</v>
      </c>
      <c r="H24" s="1" t="str">
        <f ca="1">IFERROR(__xludf.DUMMYFUNCTION("""COMPUTED_VALUE"""),"Yes")</f>
        <v>Yes</v>
      </c>
      <c r="I24" s="1" t="str">
        <f ca="1">IFERROR(__xludf.DUMMYFUNCTION("""COMPUTED_VALUE"""),"Will NOT work for them")</f>
        <v>Will NOT work for them</v>
      </c>
      <c r="J24" s="1">
        <f ca="1">IFERROR(__xludf.DUMMYFUNCTION("""COMPUTED_VALUE"""),3)</f>
        <v>3</v>
      </c>
      <c r="K24" s="1" t="str">
        <f ca="1">IFERROR(__xludf.DUMMYFUNCTION("""COMPUTED_VALUE"""),"Fully Remote with Options to travel as and when needed")</f>
        <v>Fully Remote with Options to travel as and when needed</v>
      </c>
      <c r="L24" s="1" t="str">
        <f ca="1">IFERROR(__xludf.DUMMYFUNCTION("""COMPUTED_VALUE"""),"Employer who rewards learning and enables that environment")</f>
        <v>Employer who rewards learning and enables that environment</v>
      </c>
      <c r="M24" s="1" t="str">
        <f ca="1">IFERROR(__xludf.DUMMYFUNCTION("""COMPUTED_VALUE"""),"Self Paced Learning Portals, Learning by observing others")</f>
        <v>Self Paced Learning Portals, Learning by observing others</v>
      </c>
      <c r="N2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 s="1" t="str">
        <f ca="1">IFERROR(__xludf.DUMMYFUNCTION("""COMPUTED_VALUE"""),"Manager who clearly describes what she/he needs")</f>
        <v>Manager who clearly describes what she/he needs</v>
      </c>
      <c r="P24" s="1" t="str">
        <f ca="1">IFERROR(__xludf.DUMMYFUNCTION("""COMPUTED_VALUE"""),"Work alone, Work with 2 to 3 people in my team, Work with 7 to 10 or more people in my team")</f>
        <v>Work alone, Work with 2 to 3 people in my team, Work with 7 to 10 or more people in my team</v>
      </c>
      <c r="Q24" s="1"/>
    </row>
    <row r="25" spans="1:17" ht="13.2" x14ac:dyDescent="0.25">
      <c r="A25" s="2">
        <f ca="1">IFERROR(__xludf.DUMMYFUNCTION("""COMPUTED_VALUE"""),44911.5773596527)</f>
        <v>44911.5773596527</v>
      </c>
      <c r="B25" s="1" t="str">
        <f ca="1">IFERROR(__xludf.DUMMYFUNCTION("""COMPUTED_VALUE"""),"India")</f>
        <v>India</v>
      </c>
      <c r="C25" s="1">
        <f ca="1">IFERROR(__xludf.DUMMYFUNCTION("""COMPUTED_VALUE"""),852201)</f>
        <v>852201</v>
      </c>
      <c r="D25" s="3" t="str">
        <f ca="1">IFERROR(__xludf.DUMMYFUNCTION("""COMPUTED_VALUE"""),"Male")</f>
        <v>Male</v>
      </c>
      <c r="E25" s="1" t="str">
        <f ca="1">IFERROR(__xludf.DUMMYFUNCTION("""COMPUTED_VALUE"""),"People who have changed the world for better")</f>
        <v>People who have changed the world for better</v>
      </c>
      <c r="F25" s="1" t="str">
        <f ca="1">IFERROR(__xludf.DUMMYFUNCTION("""COMPUTED_VALUE"""),"No, But if someone could bare the cost I will")</f>
        <v>No, But if someone could bare the cost I will</v>
      </c>
      <c r="G25" s="1" t="str">
        <f ca="1">IFERROR(__xludf.DUMMYFUNCTION("""COMPUTED_VALUE"""),"Will work for 3 years or more")</f>
        <v>Will work for 3 years or more</v>
      </c>
      <c r="H25" s="1" t="str">
        <f ca="1">IFERROR(__xludf.DUMMYFUNCTION("""COMPUTED_VALUE"""),"No")</f>
        <v>No</v>
      </c>
      <c r="I25" s="1" t="str">
        <f ca="1">IFERROR(__xludf.DUMMYFUNCTION("""COMPUTED_VALUE"""),"Will work for them")</f>
        <v>Will work for them</v>
      </c>
      <c r="J25" s="1">
        <f ca="1">IFERROR(__xludf.DUMMYFUNCTION("""COMPUTED_VALUE"""),8)</f>
        <v>8</v>
      </c>
      <c r="K25" s="1" t="str">
        <f ca="1">IFERROR(__xludf.DUMMYFUNCTION("""COMPUTED_VALUE"""),"Every Day Office Environment")</f>
        <v>Every Day Office Environment</v>
      </c>
      <c r="L25" s="1" t="str">
        <f ca="1">IFERROR(__xludf.DUMMYFUNCTION("""COMPUTED_VALUE"""),"Employer who pushes your limits by enabling an learning environment, and rewards you at the end")</f>
        <v>Employer who pushes your limits by enabling an learning environment, and rewards you at the end</v>
      </c>
      <c r="M25" s="1" t="str">
        <f ca="1">IFERROR(__xludf.DUMMYFUNCTION("""COMPUTED_VALUE"""),"Learning by observing others, Trial and error by doing side projects within the company")</f>
        <v>Learning by observing others, Trial and error by doing side projects within the company</v>
      </c>
      <c r="N2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5" s="1" t="str">
        <f ca="1">IFERROR(__xludf.DUMMYFUNCTION("""COMPUTED_VALUE"""),"Manager who explains what is expected, sets a goal and helps achieve it")</f>
        <v>Manager who explains what is expected, sets a goal and helps achieve it</v>
      </c>
      <c r="P25" s="1" t="str">
        <f ca="1">IFERROR(__xludf.DUMMYFUNCTION("""COMPUTED_VALUE"""),"Work with 7 to 10 or more people in my team")</f>
        <v>Work with 7 to 10 or more people in my team</v>
      </c>
      <c r="Q25" s="1"/>
    </row>
    <row r="26" spans="1:17" ht="13.2" x14ac:dyDescent="0.25">
      <c r="A26" s="2">
        <f ca="1">IFERROR(__xludf.DUMMYFUNCTION("""COMPUTED_VALUE"""),44911.5795081944)</f>
        <v>44911.579508194402</v>
      </c>
      <c r="B26" s="1" t="str">
        <f ca="1">IFERROR(__xludf.DUMMYFUNCTION("""COMPUTED_VALUE"""),"India")</f>
        <v>India</v>
      </c>
      <c r="C26" s="1">
        <f ca="1">IFERROR(__xludf.DUMMYFUNCTION("""COMPUTED_VALUE"""),731021)</f>
        <v>731021</v>
      </c>
      <c r="D26" s="3" t="str">
        <f ca="1">IFERROR(__xludf.DUMMYFUNCTION("""COMPUTED_VALUE"""),"Male")</f>
        <v>Male</v>
      </c>
      <c r="E26" s="1" t="str">
        <f ca="1">IFERROR(__xludf.DUMMYFUNCTION("""COMPUTED_VALUE"""),"People from my circle, but not family members")</f>
        <v>People from my circle, but not family members</v>
      </c>
      <c r="F26" s="1" t="str">
        <f ca="1">IFERROR(__xludf.DUMMYFUNCTION("""COMPUTED_VALUE"""),"No, But if someone could bare the cost I will")</f>
        <v>No, But if someone could bare the cost I will</v>
      </c>
      <c r="G26" s="1" t="str">
        <f ca="1">IFERROR(__xludf.DUMMYFUNCTION("""COMPUTED_VALUE"""),"Will work for 3 years or more")</f>
        <v>Will work for 3 years or more</v>
      </c>
      <c r="H26" s="1" t="str">
        <f ca="1">IFERROR(__xludf.DUMMYFUNCTION("""COMPUTED_VALUE"""),"No")</f>
        <v>No</v>
      </c>
      <c r="I26" s="1" t="str">
        <f ca="1">IFERROR(__xludf.DUMMYFUNCTION("""COMPUTED_VALUE"""),"Will NOT work for them")</f>
        <v>Will NOT work for them</v>
      </c>
      <c r="J26" s="1">
        <f ca="1">IFERROR(__xludf.DUMMYFUNCTION("""COMPUTED_VALUE"""),5)</f>
        <v>5</v>
      </c>
      <c r="K26" s="1" t="str">
        <f ca="1">IFERROR(__xludf.DUMMYFUNCTION("""COMPUTED_VALUE"""),"Hybrid Working Environment with less than 15 days a month at office")</f>
        <v>Hybrid Working Environment with less than 15 days a month at office</v>
      </c>
      <c r="L26" s="1" t="str">
        <f ca="1">IFERROR(__xludf.DUMMYFUNCTION("""COMPUTED_VALUE"""),"Employer who pushes your limits by enabling an learning environment, and rewards you at the end")</f>
        <v>Employer who pushes your limits by enabling an learning environment, and rewards you at the end</v>
      </c>
      <c r="M26" s="1" t="str">
        <f ca="1">IFERROR(__xludf.DUMMYFUNCTION("""COMPUTED_VALUE"""),"Learning by observing others, Trial and error by doing side projects within the company")</f>
        <v>Learning by observing others, Trial and error by doing side projects within the company</v>
      </c>
      <c r="N26"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6" s="1" t="str">
        <f ca="1">IFERROR(__xludf.DUMMYFUNCTION("""COMPUTED_VALUE"""),"Manager who explains what is expected, sets a goal and helps achieve it")</f>
        <v>Manager who explains what is expected, sets a goal and helps achieve it</v>
      </c>
      <c r="P26" s="1" t="str">
        <f ca="1">IFERROR(__xludf.DUMMYFUNCTION("""COMPUTED_VALUE"""),"Work with 5 to 6 people in my team")</f>
        <v>Work with 5 to 6 people in my team</v>
      </c>
      <c r="Q26" s="1"/>
    </row>
    <row r="27" spans="1:17" ht="13.2" x14ac:dyDescent="0.25">
      <c r="A27" s="2">
        <f ca="1">IFERROR(__xludf.DUMMYFUNCTION("""COMPUTED_VALUE"""),44911.586111875)</f>
        <v>44911.586111875004</v>
      </c>
      <c r="B27" s="1" t="str">
        <f ca="1">IFERROR(__xludf.DUMMYFUNCTION("""COMPUTED_VALUE"""),"India")</f>
        <v>India</v>
      </c>
      <c r="C27" s="1">
        <f ca="1">IFERROR(__xludf.DUMMYFUNCTION("""COMPUTED_VALUE"""),303007)</f>
        <v>303007</v>
      </c>
      <c r="D27" s="3" t="str">
        <f ca="1">IFERROR(__xludf.DUMMYFUNCTION("""COMPUTED_VALUE"""),"Male")</f>
        <v>Male</v>
      </c>
      <c r="E27" s="1" t="str">
        <f ca="1">IFERROR(__xludf.DUMMYFUNCTION("""COMPUTED_VALUE"""),"Influencers who had successful careers")</f>
        <v>Influencers who had successful careers</v>
      </c>
      <c r="F27" s="1" t="str">
        <f ca="1">IFERROR(__xludf.DUMMYFUNCTION("""COMPUTED_VALUE"""),"Yes, I will earn and do that")</f>
        <v>Yes, I will earn and do that</v>
      </c>
      <c r="G27" s="1" t="str">
        <f ca="1">IFERROR(__xludf.DUMMYFUNCTION("""COMPUTED_VALUE"""),"This will be hard to do, but if it is the right company I would try")</f>
        <v>This will be hard to do, but if it is the right company I would try</v>
      </c>
      <c r="H27" s="1" t="str">
        <f ca="1">IFERROR(__xludf.DUMMYFUNCTION("""COMPUTED_VALUE"""),"No")</f>
        <v>No</v>
      </c>
      <c r="I27" s="1" t="str">
        <f ca="1">IFERROR(__xludf.DUMMYFUNCTION("""COMPUTED_VALUE"""),"Will NOT work for them")</f>
        <v>Will NOT work for them</v>
      </c>
      <c r="J27" s="1">
        <f ca="1">IFERROR(__xludf.DUMMYFUNCTION("""COMPUTED_VALUE"""),1)</f>
        <v>1</v>
      </c>
      <c r="K27" s="1" t="str">
        <f ca="1">IFERROR(__xludf.DUMMYFUNCTION("""COMPUTED_VALUE"""),"Fully Remote with Options to travel as and when needed")</f>
        <v>Fully Remote with Options to travel as and when needed</v>
      </c>
      <c r="L27" s="1" t="str">
        <f ca="1">IFERROR(__xludf.DUMMYFUNCTION("""COMPUTED_VALUE"""),"Employer who appreciates learning and enables that environment")</f>
        <v>Employer who appreciates learning and enables that environment</v>
      </c>
      <c r="M27" s="1" t="str">
        <f ca="1">IFERROR(__xludf.DUMMYFUNCTION("""COMPUTED_VALUE"""),"Self Paced Learning Portals, Trial and error by doing side projects within the company")</f>
        <v>Self Paced Learning Portals, Trial and error by doing side projects within the company</v>
      </c>
      <c r="N27"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27" s="1" t="str">
        <f ca="1">IFERROR(__xludf.DUMMYFUNCTION("""COMPUTED_VALUE"""),"Manager who sets goal and helps me achieve it")</f>
        <v>Manager who sets goal and helps me achieve it</v>
      </c>
      <c r="P27" s="1" t="str">
        <f ca="1">IFERROR(__xludf.DUMMYFUNCTION("""COMPUTED_VALUE"""),"Work with more than 10 people in my team")</f>
        <v>Work with more than 10 people in my team</v>
      </c>
      <c r="Q27" s="1"/>
    </row>
    <row r="28" spans="1:17" ht="13.2" x14ac:dyDescent="0.25">
      <c r="A28" s="2">
        <f ca="1">IFERROR(__xludf.DUMMYFUNCTION("""COMPUTED_VALUE"""),44911.587258912)</f>
        <v>44911.587258911997</v>
      </c>
      <c r="B28" s="1" t="str">
        <f ca="1">IFERROR(__xludf.DUMMYFUNCTION("""COMPUTED_VALUE"""),"India")</f>
        <v>India</v>
      </c>
      <c r="C28" s="1">
        <f ca="1">IFERROR(__xludf.DUMMYFUNCTION("""COMPUTED_VALUE"""),852201)</f>
        <v>852201</v>
      </c>
      <c r="D28" s="3" t="str">
        <f ca="1">IFERROR(__xludf.DUMMYFUNCTION("""COMPUTED_VALUE"""),"Female")</f>
        <v>Female</v>
      </c>
      <c r="E28" s="1" t="str">
        <f ca="1">IFERROR(__xludf.DUMMYFUNCTION("""COMPUTED_VALUE"""),"My Parents")</f>
        <v>My Parents</v>
      </c>
      <c r="F28" s="1" t="str">
        <f ca="1">IFERROR(__xludf.DUMMYFUNCTION("""COMPUTED_VALUE"""),"No I would not be pursuing Higher Education outside of India")</f>
        <v>No I would not be pursuing Higher Education outside of India</v>
      </c>
      <c r="G28" s="1" t="str">
        <f ca="1">IFERROR(__xludf.DUMMYFUNCTION("""COMPUTED_VALUE"""),"Will work for 3 years or more")</f>
        <v>Will work for 3 years or more</v>
      </c>
      <c r="H28" s="1" t="str">
        <f ca="1">IFERROR(__xludf.DUMMYFUNCTION("""COMPUTED_VALUE"""),"No")</f>
        <v>No</v>
      </c>
      <c r="I28" s="1" t="str">
        <f ca="1">IFERROR(__xludf.DUMMYFUNCTION("""COMPUTED_VALUE"""),"Will work for them")</f>
        <v>Will work for them</v>
      </c>
      <c r="J28" s="1">
        <f ca="1">IFERROR(__xludf.DUMMYFUNCTION("""COMPUTED_VALUE"""),6)</f>
        <v>6</v>
      </c>
      <c r="K28" s="1" t="str">
        <f ca="1">IFERROR(__xludf.DUMMYFUNCTION("""COMPUTED_VALUE"""),"Hybrid Working Environment with less than 3 days a month at office")</f>
        <v>Hybrid Working Environment with less than 3 days a month at office</v>
      </c>
      <c r="L28" s="1" t="str">
        <f ca="1">IFERROR(__xludf.DUMMYFUNCTION("""COMPUTED_VALUE"""),"Employer who appreciates learning and enables that environment")</f>
        <v>Employer who appreciates learning and enables that environment</v>
      </c>
      <c r="M28" s="1" t="str">
        <f ca="1">IFERROR(__xludf.DUMMYFUNCTION("""COMPUTED_VALUE"""),"Self Paced Learning Portals, Instructor or Expert Learning Programs")</f>
        <v>Self Paced Learning Portals, Instructor or Expert Learning Programs</v>
      </c>
      <c r="N28"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8" s="1" t="str">
        <f ca="1">IFERROR(__xludf.DUMMYFUNCTION("""COMPUTED_VALUE"""),"Manager who sets targets and expects me to achieve it")</f>
        <v>Manager who sets targets and expects me to achieve it</v>
      </c>
      <c r="P28" s="1" t="str">
        <f ca="1">IFERROR(__xludf.DUMMYFUNCTION("""COMPUTED_VALUE"""),"Work with 5 to 6 people in my team")</f>
        <v>Work with 5 to 6 people in my team</v>
      </c>
      <c r="Q28" s="1"/>
    </row>
    <row r="29" spans="1:17" ht="13.2" x14ac:dyDescent="0.25">
      <c r="A29" s="2">
        <f ca="1">IFERROR(__xludf.DUMMYFUNCTION("""COMPUTED_VALUE"""),44911.5904140625)</f>
        <v>44911.590414062499</v>
      </c>
      <c r="B29" s="1" t="str">
        <f ca="1">IFERROR(__xludf.DUMMYFUNCTION("""COMPUTED_VALUE"""),"UAE")</f>
        <v>UAE</v>
      </c>
      <c r="C29" s="1">
        <f ca="1">IFERROR(__xludf.DUMMYFUNCTION("""COMPUTED_VALUE"""),27287)</f>
        <v>27287</v>
      </c>
      <c r="D29" s="3" t="str">
        <f ca="1">IFERROR(__xludf.DUMMYFUNCTION("""COMPUTED_VALUE"""),"Female")</f>
        <v>Female</v>
      </c>
      <c r="E29" s="1" t="str">
        <f ca="1">IFERROR(__xludf.DUMMYFUNCTION("""COMPUTED_VALUE"""),"My Parents")</f>
        <v>My Parents</v>
      </c>
      <c r="F29" s="1" t="str">
        <f ca="1">IFERROR(__xludf.DUMMYFUNCTION("""COMPUTED_VALUE"""),"Yes, I will earn and do that")</f>
        <v>Yes, I will earn and do that</v>
      </c>
      <c r="G29" s="1" t="str">
        <f ca="1">IFERROR(__xludf.DUMMYFUNCTION("""COMPUTED_VALUE"""),"This will be hard to do, but if it is the right company I would try")</f>
        <v>This will be hard to do, but if it is the right company I would try</v>
      </c>
      <c r="H29" s="1" t="str">
        <f ca="1">IFERROR(__xludf.DUMMYFUNCTION("""COMPUTED_VALUE"""),"No")</f>
        <v>No</v>
      </c>
      <c r="I29" s="1" t="str">
        <f ca="1">IFERROR(__xludf.DUMMYFUNCTION("""COMPUTED_VALUE"""),"Will NOT work for them")</f>
        <v>Will NOT work for them</v>
      </c>
      <c r="J29" s="1">
        <f ca="1">IFERROR(__xludf.DUMMYFUNCTION("""COMPUTED_VALUE"""),6)</f>
        <v>6</v>
      </c>
      <c r="K29" s="1" t="str">
        <f ca="1">IFERROR(__xludf.DUMMYFUNCTION("""COMPUTED_VALUE"""),"Hybrid Working Environment with less than 15 days a month at office")</f>
        <v>Hybrid Working Environment with less than 15 days a month at office</v>
      </c>
      <c r="L29" s="1" t="str">
        <f ca="1">IFERROR(__xludf.DUMMYFUNCTION("""COMPUTED_VALUE"""),"Employer who pushes your limits by enabling an learning environment, and rewards you at the end")</f>
        <v>Employer who pushes your limits by enabling an learning environment, and rewards you at the end</v>
      </c>
      <c r="M29" s="1" t="str">
        <f ca="1">IFERROR(__xludf.DUMMYFUNCTION("""COMPUTED_VALUE"""),"Learning by observing others, Trial and error by doing side projects within the company")</f>
        <v>Learning by observing others, Trial and error by doing side projects within the company</v>
      </c>
      <c r="N2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9" s="1" t="str">
        <f ca="1">IFERROR(__xludf.DUMMYFUNCTION("""COMPUTED_VALUE"""),"Manager who explains what is expected, sets a goal and helps achieve it")</f>
        <v>Manager who explains what is expected, sets a goal and helps achieve it</v>
      </c>
      <c r="P29" s="1" t="str">
        <f ca="1">IFERROR(__xludf.DUMMYFUNCTION("""COMPUTED_VALUE"""),"Work with 2 to 3 people in my team")</f>
        <v>Work with 2 to 3 people in my team</v>
      </c>
      <c r="Q29" s="1"/>
    </row>
    <row r="30" spans="1:17" ht="13.2" x14ac:dyDescent="0.25">
      <c r="A30" s="2">
        <f ca="1">IFERROR(__xludf.DUMMYFUNCTION("""COMPUTED_VALUE"""),44911.5985923495)</f>
        <v>44911.598592349503</v>
      </c>
      <c r="B30" s="1" t="str">
        <f ca="1">IFERROR(__xludf.DUMMYFUNCTION("""COMPUTED_VALUE"""),"India")</f>
        <v>India</v>
      </c>
      <c r="C30" s="1">
        <f ca="1">IFERROR(__xludf.DUMMYFUNCTION("""COMPUTED_VALUE"""),700063)</f>
        <v>700063</v>
      </c>
      <c r="D30" s="3" t="str">
        <f ca="1">IFERROR(__xludf.DUMMYFUNCTION("""COMPUTED_VALUE"""),"Male")</f>
        <v>Male</v>
      </c>
      <c r="E30" s="1" t="str">
        <f ca="1">IFERROR(__xludf.DUMMYFUNCTION("""COMPUTED_VALUE"""),"People who have changed the world for better")</f>
        <v>People who have changed the world for better</v>
      </c>
      <c r="F30" s="1" t="str">
        <f ca="1">IFERROR(__xludf.DUMMYFUNCTION("""COMPUTED_VALUE"""),"Yes, I will earn and do that")</f>
        <v>Yes, I will earn and do that</v>
      </c>
      <c r="G30" s="1" t="str">
        <f ca="1">IFERROR(__xludf.DUMMYFUNCTION("""COMPUTED_VALUE"""),"This will be hard to do, but if it is the right company I would try")</f>
        <v>This will be hard to do, but if it is the right company I would try</v>
      </c>
      <c r="H30" s="1" t="str">
        <f ca="1">IFERROR(__xludf.DUMMYFUNCTION("""COMPUTED_VALUE"""),"No")</f>
        <v>No</v>
      </c>
      <c r="I30" s="1" t="str">
        <f ca="1">IFERROR(__xludf.DUMMYFUNCTION("""COMPUTED_VALUE"""),"Will NOT work for them")</f>
        <v>Will NOT work for them</v>
      </c>
      <c r="J30" s="1">
        <f ca="1">IFERROR(__xludf.DUMMYFUNCTION("""COMPUTED_VALUE"""),5)</f>
        <v>5</v>
      </c>
      <c r="K30" s="1" t="str">
        <f ca="1">IFERROR(__xludf.DUMMYFUNCTION("""COMPUTED_VALUE"""),"Fully Remote with Options to travel as and when needed")</f>
        <v>Fully Remote with Options to travel as and when needed</v>
      </c>
      <c r="L30" s="1" t="str">
        <f ca="1">IFERROR(__xludf.DUMMYFUNCTION("""COMPUTED_VALUE"""),"Employer who pushes your limits by enabling an learning environment, and rewards you at the end")</f>
        <v>Employer who pushes your limits by enabling an learning environment, and rewards you at the end</v>
      </c>
      <c r="M30" s="1" t="str">
        <f ca="1">IFERROR(__xludf.DUMMYFUNCTION("""COMPUTED_VALUE"""),"Instructor or Expert Learning Programs, Trial and error by doing side projects within the company")</f>
        <v>Instructor or Expert Learning Programs, Trial and error by doing side projects within the company</v>
      </c>
      <c r="N30"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30" s="1" t="str">
        <f ca="1">IFERROR(__xludf.DUMMYFUNCTION("""COMPUTED_VALUE"""),"Manager who explains what is expected, sets a goal and helps achieve it")</f>
        <v>Manager who explains what is expected, sets a goal and helps achieve it</v>
      </c>
      <c r="P30" s="1" t="str">
        <f ca="1">IFERROR(__xludf.DUMMYFUNCTION("""COMPUTED_VALUE"""),"Work alone, Work with 2 to 3 people in my team, Work with 5 to 6 people in my team")</f>
        <v>Work alone, Work with 2 to 3 people in my team, Work with 5 to 6 people in my team</v>
      </c>
      <c r="Q30" s="1"/>
    </row>
    <row r="31" spans="1:17" ht="13.2" x14ac:dyDescent="0.25">
      <c r="A31" s="2">
        <f ca="1">IFERROR(__xludf.DUMMYFUNCTION("""COMPUTED_VALUE"""),44911.6073545833)</f>
        <v>44911.607354583299</v>
      </c>
      <c r="B31" s="1" t="str">
        <f ca="1">IFERROR(__xludf.DUMMYFUNCTION("""COMPUTED_VALUE"""),"India")</f>
        <v>India</v>
      </c>
      <c r="C31" s="1">
        <f ca="1">IFERROR(__xludf.DUMMYFUNCTION("""COMPUTED_VALUE"""),577528)</f>
        <v>577528</v>
      </c>
      <c r="D31" s="3" t="str">
        <f ca="1">IFERROR(__xludf.DUMMYFUNCTION("""COMPUTED_VALUE"""),"Male")</f>
        <v>Male</v>
      </c>
      <c r="E31" s="1" t="str">
        <f ca="1">IFERROR(__xludf.DUMMYFUNCTION("""COMPUTED_VALUE"""),"Social Media like LinkedIn")</f>
        <v>Social Media like LinkedIn</v>
      </c>
      <c r="F31" s="1" t="str">
        <f ca="1">IFERROR(__xludf.DUMMYFUNCTION("""COMPUTED_VALUE"""),"Yes, I will earn and do that")</f>
        <v>Yes, I will earn and do that</v>
      </c>
      <c r="G31" s="1" t="str">
        <f ca="1">IFERROR(__xludf.DUMMYFUNCTION("""COMPUTED_VALUE"""),"This will be hard to do, but if it is the right company I would try")</f>
        <v>This will be hard to do, but if it is the right company I would try</v>
      </c>
      <c r="H31" s="1" t="str">
        <f ca="1">IFERROR(__xludf.DUMMYFUNCTION("""COMPUTED_VALUE"""),"Yes")</f>
        <v>Yes</v>
      </c>
      <c r="I31" s="1" t="str">
        <f ca="1">IFERROR(__xludf.DUMMYFUNCTION("""COMPUTED_VALUE"""),"Will work for them")</f>
        <v>Will work for them</v>
      </c>
      <c r="J31" s="1">
        <f ca="1">IFERROR(__xludf.DUMMYFUNCTION("""COMPUTED_VALUE"""),1)</f>
        <v>1</v>
      </c>
      <c r="K31" s="1" t="str">
        <f ca="1">IFERROR(__xludf.DUMMYFUNCTION("""COMPUTED_VALUE"""),"Every Day Office Environment")</f>
        <v>Every Day Office Environment</v>
      </c>
      <c r="L31" s="1" t="str">
        <f ca="1">IFERROR(__xludf.DUMMYFUNCTION("""COMPUTED_VALUE"""),"Employer who appreciates learning and enables that environment")</f>
        <v>Employer who appreciates learning and enables that environment</v>
      </c>
      <c r="M31" s="1" t="str">
        <f ca="1">IFERROR(__xludf.DUMMYFUNCTION("""COMPUTED_VALUE"""),"Instructor or Expert Learning Programs, Learning by observing others")</f>
        <v>Instructor or Expert Learning Programs, Learning by observing others</v>
      </c>
      <c r="N31"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1" s="1" t="str">
        <f ca="1">IFERROR(__xludf.DUMMYFUNCTION("""COMPUTED_VALUE"""),"Manager who sets targets and expects me to achieve it")</f>
        <v>Manager who sets targets and expects me to achieve it</v>
      </c>
      <c r="P31" s="1" t="str">
        <f ca="1">IFERROR(__xludf.DUMMYFUNCTION("""COMPUTED_VALUE"""),"Work with more than 10 people in my team")</f>
        <v>Work with more than 10 people in my team</v>
      </c>
      <c r="Q31" s="1"/>
    </row>
    <row r="32" spans="1:17" ht="13.2" x14ac:dyDescent="0.25">
      <c r="A32" s="2">
        <f ca="1">IFERROR(__xludf.DUMMYFUNCTION("""COMPUTED_VALUE"""),44911.6114646875)</f>
        <v>44911.611464687499</v>
      </c>
      <c r="B32" s="1" t="str">
        <f ca="1">IFERROR(__xludf.DUMMYFUNCTION("""COMPUTED_VALUE"""),"India")</f>
        <v>India</v>
      </c>
      <c r="C32" s="1">
        <f ca="1">IFERROR(__xludf.DUMMYFUNCTION("""COMPUTED_VALUE"""),122003)</f>
        <v>122003</v>
      </c>
      <c r="D32" s="3" t="str">
        <f ca="1">IFERROR(__xludf.DUMMYFUNCTION("""COMPUTED_VALUE"""),"Male")</f>
        <v>Male</v>
      </c>
      <c r="E32" s="1" t="str">
        <f ca="1">IFERROR(__xludf.DUMMYFUNCTION("""COMPUTED_VALUE"""),"My Parents")</f>
        <v>My Parents</v>
      </c>
      <c r="F32" s="1" t="str">
        <f ca="1">IFERROR(__xludf.DUMMYFUNCTION("""COMPUTED_VALUE"""),"Yes, I will earn and do that")</f>
        <v>Yes, I will earn and do that</v>
      </c>
      <c r="G32" s="1" t="str">
        <f ca="1">IFERROR(__xludf.DUMMYFUNCTION("""COMPUTED_VALUE"""),"Will work for 3 years or more")</f>
        <v>Will work for 3 years or more</v>
      </c>
      <c r="H32" s="1" t="str">
        <f ca="1">IFERROR(__xludf.DUMMYFUNCTION("""COMPUTED_VALUE"""),"No")</f>
        <v>No</v>
      </c>
      <c r="I32" s="1" t="str">
        <f ca="1">IFERROR(__xludf.DUMMYFUNCTION("""COMPUTED_VALUE"""),"Will NOT work for them")</f>
        <v>Will NOT work for them</v>
      </c>
      <c r="J32" s="1">
        <f ca="1">IFERROR(__xludf.DUMMYFUNCTION("""COMPUTED_VALUE"""),7)</f>
        <v>7</v>
      </c>
      <c r="K32" s="1" t="str">
        <f ca="1">IFERROR(__xludf.DUMMYFUNCTION("""COMPUTED_VALUE"""),"Every Day Office Environment")</f>
        <v>Every Day Office Environment</v>
      </c>
      <c r="L32" s="1" t="str">
        <f ca="1">IFERROR(__xludf.DUMMYFUNCTION("""COMPUTED_VALUE"""),"Employer who pushes your limits by enabling an learning environment, and rewards you at the end")</f>
        <v>Employer who pushes your limits by enabling an learning environment, and rewards you at the end</v>
      </c>
      <c r="M32" s="1" t="str">
        <f ca="1">IFERROR(__xludf.DUMMYFUNCTION("""COMPUTED_VALUE"""),"Instructor or Expert Learning Programs, Learning by observing others")</f>
        <v>Instructor or Expert Learning Programs, Learning by observing others</v>
      </c>
      <c r="N3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2" s="1" t="str">
        <f ca="1">IFERROR(__xludf.DUMMYFUNCTION("""COMPUTED_VALUE"""),"Manager who explains what is expected, sets a goal and helps achieve it")</f>
        <v>Manager who explains what is expected, sets a goal and helps achieve it</v>
      </c>
      <c r="P32" s="1" t="str">
        <f ca="1">IFERROR(__xludf.DUMMYFUNCTION("""COMPUTED_VALUE"""),"Work alone, Work with 2 to 3 people in my team")</f>
        <v>Work alone, Work with 2 to 3 people in my team</v>
      </c>
      <c r="Q32" s="1"/>
    </row>
    <row r="33" spans="1:17" ht="13.2" x14ac:dyDescent="0.25">
      <c r="A33" s="2">
        <f ca="1">IFERROR(__xludf.DUMMYFUNCTION("""COMPUTED_VALUE"""),44911.614053449)</f>
        <v>44911.614053448997</v>
      </c>
      <c r="B33" s="1" t="str">
        <f ca="1">IFERROR(__xludf.DUMMYFUNCTION("""COMPUTED_VALUE"""),"India")</f>
        <v>India</v>
      </c>
      <c r="C33" s="1">
        <f ca="1">IFERROR(__xludf.DUMMYFUNCTION("""COMPUTED_VALUE"""),122003)</f>
        <v>122003</v>
      </c>
      <c r="D33" s="3" t="str">
        <f ca="1">IFERROR(__xludf.DUMMYFUNCTION("""COMPUTED_VALUE"""),"Male")</f>
        <v>Male</v>
      </c>
      <c r="E33" s="1" t="str">
        <f ca="1">IFERROR(__xludf.DUMMYFUNCTION("""COMPUTED_VALUE"""),"People who have changed the world for better")</f>
        <v>People who have changed the world for better</v>
      </c>
      <c r="F33" s="1" t="str">
        <f ca="1">IFERROR(__xludf.DUMMYFUNCTION("""COMPUTED_VALUE"""),"Yes, I will earn and do that")</f>
        <v>Yes, I will earn and do that</v>
      </c>
      <c r="G33" s="1" t="str">
        <f ca="1">IFERROR(__xludf.DUMMYFUNCTION("""COMPUTED_VALUE"""),"This will be hard to do, but if it is the right company I would try")</f>
        <v>This will be hard to do, but if it is the right company I would try</v>
      </c>
      <c r="H33" s="1" t="str">
        <f ca="1">IFERROR(__xludf.DUMMYFUNCTION("""COMPUTED_VALUE"""),"No")</f>
        <v>No</v>
      </c>
      <c r="I33" s="1" t="str">
        <f ca="1">IFERROR(__xludf.DUMMYFUNCTION("""COMPUTED_VALUE"""),"Will NOT work for them")</f>
        <v>Will NOT work for them</v>
      </c>
      <c r="J33" s="1">
        <f ca="1">IFERROR(__xludf.DUMMYFUNCTION("""COMPUTED_VALUE"""),1)</f>
        <v>1</v>
      </c>
      <c r="K33" s="1" t="str">
        <f ca="1">IFERROR(__xludf.DUMMYFUNCTION("""COMPUTED_VALUE"""),"Hybrid Working Environment with less than 10 days a month at office")</f>
        <v>Hybrid Working Environment with less than 10 days a month at office</v>
      </c>
      <c r="L33" s="1" t="str">
        <f ca="1">IFERROR(__xludf.DUMMYFUNCTION("""COMPUTED_VALUE"""),"Employer who pushes your limits by enabling an learning environment, and rewards you at the end")</f>
        <v>Employer who pushes your limits by enabling an learning environment, and rewards you at the end</v>
      </c>
      <c r="M33" s="1" t="str">
        <f ca="1">IFERROR(__xludf.DUMMYFUNCTION("""COMPUTED_VALUE"""),"Instructor or Expert Learning Programs, Trial and error by doing side projects within the company")</f>
        <v>Instructor or Expert Learning Programs, Trial and error by doing side projects within the company</v>
      </c>
      <c r="N3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3" s="1" t="str">
        <f ca="1">IFERROR(__xludf.DUMMYFUNCTION("""COMPUTED_VALUE"""),"Manager who explains what is expected, sets a goal and helps achieve it")</f>
        <v>Manager who explains what is expected, sets a goal and helps achieve it</v>
      </c>
      <c r="P33" s="1" t="str">
        <f ca="1">IFERROR(__xludf.DUMMYFUNCTION("""COMPUTED_VALUE"""),"Work with 5 to 6 people in my team")</f>
        <v>Work with 5 to 6 people in my team</v>
      </c>
      <c r="Q33" s="1"/>
    </row>
    <row r="34" spans="1:17" ht="13.2" x14ac:dyDescent="0.25">
      <c r="A34" s="2">
        <f ca="1">IFERROR(__xludf.DUMMYFUNCTION("""COMPUTED_VALUE"""),44911.6160341666)</f>
        <v>44911.616034166596</v>
      </c>
      <c r="B34" s="1" t="str">
        <f ca="1">IFERROR(__xludf.DUMMYFUNCTION("""COMPUTED_VALUE"""),"India")</f>
        <v>India</v>
      </c>
      <c r="C34" s="1">
        <f ca="1">IFERROR(__xludf.DUMMYFUNCTION("""COMPUTED_VALUE"""),440002)</f>
        <v>440002</v>
      </c>
      <c r="D34" s="3" t="str">
        <f ca="1">IFERROR(__xludf.DUMMYFUNCTION("""COMPUTED_VALUE"""),"Male")</f>
        <v>Male</v>
      </c>
      <c r="E34" s="1" t="str">
        <f ca="1">IFERROR(__xludf.DUMMYFUNCTION("""COMPUTED_VALUE"""),"Influencers who had successful careers")</f>
        <v>Influencers who had successful careers</v>
      </c>
      <c r="F34" s="1" t="str">
        <f ca="1">IFERROR(__xludf.DUMMYFUNCTION("""COMPUTED_VALUE"""),"No, But if someone could bare the cost I will")</f>
        <v>No, But if someone could bare the cost I will</v>
      </c>
      <c r="G34" s="1" t="str">
        <f ca="1">IFERROR(__xludf.DUMMYFUNCTION("""COMPUTED_VALUE"""),"Will work for 3 years or more")</f>
        <v>Will work for 3 years or more</v>
      </c>
      <c r="H34" s="1" t="str">
        <f ca="1">IFERROR(__xludf.DUMMYFUNCTION("""COMPUTED_VALUE"""),"No")</f>
        <v>No</v>
      </c>
      <c r="I34" s="1" t="str">
        <f ca="1">IFERROR(__xludf.DUMMYFUNCTION("""COMPUTED_VALUE"""),"Will NOT work for them")</f>
        <v>Will NOT work for them</v>
      </c>
      <c r="J34" s="1">
        <f ca="1">IFERROR(__xludf.DUMMYFUNCTION("""COMPUTED_VALUE"""),7)</f>
        <v>7</v>
      </c>
      <c r="K34" s="1" t="str">
        <f ca="1">IFERROR(__xludf.DUMMYFUNCTION("""COMPUTED_VALUE"""),"Hybrid Working Environment with less than 15 days a month at office")</f>
        <v>Hybrid Working Environment with less than 15 days a month at office</v>
      </c>
      <c r="L34" s="1" t="str">
        <f ca="1">IFERROR(__xludf.DUMMYFUNCTION("""COMPUTED_VALUE"""),"Employer who pushes your limits by enabling an learning environment, and rewards you at the end")</f>
        <v>Employer who pushes your limits by enabling an learning environment, and rewards you at the end</v>
      </c>
      <c r="M34" s="1" t="str">
        <f ca="1">IFERROR(__xludf.DUMMYFUNCTION("""COMPUTED_VALUE"""),"Instructor or Expert Learning Programs, Trial and error by doing side projects within the company")</f>
        <v>Instructor or Expert Learning Programs, Trial and error by doing side projects within the company</v>
      </c>
      <c r="N3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 s="1" t="str">
        <f ca="1">IFERROR(__xludf.DUMMYFUNCTION("""COMPUTED_VALUE"""),"Manager who sets goal and helps me achieve it")</f>
        <v>Manager who sets goal and helps me achieve it</v>
      </c>
      <c r="P34" s="1" t="str">
        <f ca="1">IFERROR(__xludf.DUMMYFUNCTION("""COMPUTED_VALUE"""),"Work with 2 to 3 people in my team, Work with 5 to 6 people in my team")</f>
        <v>Work with 2 to 3 people in my team, Work with 5 to 6 people in my team</v>
      </c>
      <c r="Q34" s="1"/>
    </row>
    <row r="35" spans="1:17" ht="13.2" x14ac:dyDescent="0.25">
      <c r="A35" s="2">
        <f ca="1">IFERROR(__xludf.DUMMYFUNCTION("""COMPUTED_VALUE"""),44911.6168346875)</f>
        <v>44911.616834687498</v>
      </c>
      <c r="B35" s="1" t="str">
        <f ca="1">IFERROR(__xludf.DUMMYFUNCTION("""COMPUTED_VALUE"""),"India")</f>
        <v>India</v>
      </c>
      <c r="C35" s="1">
        <f ca="1">IFERROR(__xludf.DUMMYFUNCTION("""COMPUTED_VALUE"""),852201)</f>
        <v>852201</v>
      </c>
      <c r="D35" s="3" t="str">
        <f ca="1">IFERROR(__xludf.DUMMYFUNCTION("""COMPUTED_VALUE"""),"Female")</f>
        <v>Female</v>
      </c>
      <c r="E35" s="1" t="str">
        <f ca="1">IFERROR(__xludf.DUMMYFUNCTION("""COMPUTED_VALUE"""),"People who have changed the world for better")</f>
        <v>People who have changed the world for better</v>
      </c>
      <c r="F35" s="1" t="str">
        <f ca="1">IFERROR(__xludf.DUMMYFUNCTION("""COMPUTED_VALUE"""),"No, But if someone could bare the cost I will")</f>
        <v>No, But if someone could bare the cost I will</v>
      </c>
      <c r="G35" s="1" t="str">
        <f ca="1">IFERROR(__xludf.DUMMYFUNCTION("""COMPUTED_VALUE"""),"This will be hard to do, but if it is the right company I would try")</f>
        <v>This will be hard to do, but if it is the right company I would try</v>
      </c>
      <c r="H35" s="1" t="str">
        <f ca="1">IFERROR(__xludf.DUMMYFUNCTION("""COMPUTED_VALUE"""),"No")</f>
        <v>No</v>
      </c>
      <c r="I35" s="1" t="str">
        <f ca="1">IFERROR(__xludf.DUMMYFUNCTION("""COMPUTED_VALUE"""),"Will NOT work for them")</f>
        <v>Will NOT work for them</v>
      </c>
      <c r="J35" s="1">
        <f ca="1">IFERROR(__xludf.DUMMYFUNCTION("""COMPUTED_VALUE"""),5)</f>
        <v>5</v>
      </c>
      <c r="K35" s="1" t="str">
        <f ca="1">IFERROR(__xludf.DUMMYFUNCTION("""COMPUTED_VALUE"""),"Fully Remote with No option to visit offices")</f>
        <v>Fully Remote with No option to visit offices</v>
      </c>
      <c r="L35" s="1" t="str">
        <f ca="1">IFERROR(__xludf.DUMMYFUNCTION("""COMPUTED_VALUE"""),"Employer who pushes your limits by enabling an learning environment, and rewards you at the end")</f>
        <v>Employer who pushes your limits by enabling an learning environment, and rewards you at the end</v>
      </c>
      <c r="M35" s="1" t="str">
        <f ca="1">IFERROR(__xludf.DUMMYFUNCTION("""COMPUTED_VALUE"""),"Self Paced Learning Portals, Instructor or Expert Learning Programs")</f>
        <v>Self Paced Learning Portals, Instructor or Expert Learning Programs</v>
      </c>
      <c r="N35"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5" s="1" t="str">
        <f ca="1">IFERROR(__xludf.DUMMYFUNCTION("""COMPUTED_VALUE"""),"Manager who explains what is expected, sets a goal and helps achieve it")</f>
        <v>Manager who explains what is expected, sets a goal and helps achieve it</v>
      </c>
      <c r="P35" s="1" t="str">
        <f ca="1">IFERROR(__xludf.DUMMYFUNCTION("""COMPUTED_VALUE"""),"Work alone, Work with 2 to 3 people in my team")</f>
        <v>Work alone, Work with 2 to 3 people in my team</v>
      </c>
      <c r="Q35" s="1"/>
    </row>
    <row r="36" spans="1:17" ht="13.2" x14ac:dyDescent="0.25">
      <c r="A36" s="2">
        <f ca="1">IFERROR(__xludf.DUMMYFUNCTION("""COMPUTED_VALUE"""),44911.6174134606)</f>
        <v>44911.617413460597</v>
      </c>
      <c r="B36" s="1" t="str">
        <f ca="1">IFERROR(__xludf.DUMMYFUNCTION("""COMPUTED_VALUE"""),"India")</f>
        <v>India</v>
      </c>
      <c r="C36" s="1">
        <f ca="1">IFERROR(__xludf.DUMMYFUNCTION("""COMPUTED_VALUE"""),465674)</f>
        <v>465674</v>
      </c>
      <c r="D36" s="3" t="str">
        <f ca="1">IFERROR(__xludf.DUMMYFUNCTION("""COMPUTED_VALUE"""),"Female")</f>
        <v>Female</v>
      </c>
      <c r="E36" s="1" t="str">
        <f ca="1">IFERROR(__xludf.DUMMYFUNCTION("""COMPUTED_VALUE"""),"My Parents")</f>
        <v>My Parents</v>
      </c>
      <c r="F36" s="1" t="str">
        <f ca="1">IFERROR(__xludf.DUMMYFUNCTION("""COMPUTED_VALUE"""),"No I would not be pursuing Higher Education outside of India")</f>
        <v>No I would not be pursuing Higher Education outside of India</v>
      </c>
      <c r="G36" s="1" t="str">
        <f ca="1">IFERROR(__xludf.DUMMYFUNCTION("""COMPUTED_VALUE"""),"This will be hard to do, but if it is the right company I would try")</f>
        <v>This will be hard to do, but if it is the right company I would try</v>
      </c>
      <c r="H36" s="1" t="str">
        <f ca="1">IFERROR(__xludf.DUMMYFUNCTION("""COMPUTED_VALUE"""),"No")</f>
        <v>No</v>
      </c>
      <c r="I36" s="1" t="str">
        <f ca="1">IFERROR(__xludf.DUMMYFUNCTION("""COMPUTED_VALUE"""),"Will NOT work for them")</f>
        <v>Will NOT work for them</v>
      </c>
      <c r="J36" s="1">
        <f ca="1">IFERROR(__xludf.DUMMYFUNCTION("""COMPUTED_VALUE"""),10)</f>
        <v>10</v>
      </c>
      <c r="K36" s="1" t="str">
        <f ca="1">IFERROR(__xludf.DUMMYFUNCTION("""COMPUTED_VALUE"""),"Hybrid Working Environment with less than 10 days a month at office")</f>
        <v>Hybrid Working Environment with less than 10 days a month at office</v>
      </c>
      <c r="L36" s="1" t="str">
        <f ca="1">IFERROR(__xludf.DUMMYFUNCTION("""COMPUTED_VALUE"""),"Employer who appreciates learning and enables that environment")</f>
        <v>Employer who appreciates learning and enables that environment</v>
      </c>
      <c r="M36" s="1" t="str">
        <f ca="1">IFERROR(__xludf.DUMMYFUNCTION("""COMPUTED_VALUE"""),"Self Paced Learning Portals, Instructor or Expert Learning Programs")</f>
        <v>Self Paced Learning Portals, Instructor or Expert Learning Programs</v>
      </c>
      <c r="N36"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6" s="1" t="str">
        <f ca="1">IFERROR(__xludf.DUMMYFUNCTION("""COMPUTED_VALUE"""),"Manager who sets targets and expects me to achieve it")</f>
        <v>Manager who sets targets and expects me to achieve it</v>
      </c>
      <c r="P36" s="1" t="str">
        <f ca="1">IFERROR(__xludf.DUMMYFUNCTION("""COMPUTED_VALUE"""),"Work with 2 to 3 people in my team")</f>
        <v>Work with 2 to 3 people in my team</v>
      </c>
      <c r="Q36" s="1"/>
    </row>
    <row r="37" spans="1:17" ht="13.2" x14ac:dyDescent="0.25">
      <c r="A37" s="2">
        <f ca="1">IFERROR(__xludf.DUMMYFUNCTION("""COMPUTED_VALUE"""),44911.6268969675)</f>
        <v>44911.6268969675</v>
      </c>
      <c r="B37" s="1" t="str">
        <f ca="1">IFERROR(__xludf.DUMMYFUNCTION("""COMPUTED_VALUE"""),"India")</f>
        <v>India</v>
      </c>
      <c r="C37" s="1">
        <f ca="1">IFERROR(__xludf.DUMMYFUNCTION("""COMPUTED_VALUE"""),561203)</f>
        <v>561203</v>
      </c>
      <c r="D37" s="3" t="str">
        <f ca="1">IFERROR(__xludf.DUMMYFUNCTION("""COMPUTED_VALUE"""),"Male")</f>
        <v>Male</v>
      </c>
      <c r="E37" s="1" t="str">
        <f ca="1">IFERROR(__xludf.DUMMYFUNCTION("""COMPUTED_VALUE"""),"Influencers who had successful careers")</f>
        <v>Influencers who had successful careers</v>
      </c>
      <c r="F37" s="1" t="str">
        <f ca="1">IFERROR(__xludf.DUMMYFUNCTION("""COMPUTED_VALUE"""),"Yes, I will earn and do that")</f>
        <v>Yes, I will earn and do that</v>
      </c>
      <c r="G37" s="1" t="str">
        <f ca="1">IFERROR(__xludf.DUMMYFUNCTION("""COMPUTED_VALUE"""),"No way, 3 years with one employer is crazy")</f>
        <v>No way, 3 years with one employer is crazy</v>
      </c>
      <c r="H37" s="1" t="str">
        <f ca="1">IFERROR(__xludf.DUMMYFUNCTION("""COMPUTED_VALUE"""),"No")</f>
        <v>No</v>
      </c>
      <c r="I37" s="1" t="str">
        <f ca="1">IFERROR(__xludf.DUMMYFUNCTION("""COMPUTED_VALUE"""),"Will NOT work for them")</f>
        <v>Will NOT work for them</v>
      </c>
      <c r="J37" s="1">
        <f ca="1">IFERROR(__xludf.DUMMYFUNCTION("""COMPUTED_VALUE"""),6)</f>
        <v>6</v>
      </c>
      <c r="K37" s="1" t="str">
        <f ca="1">IFERROR(__xludf.DUMMYFUNCTION("""COMPUTED_VALUE"""),"Hybrid Working Environment with less than 3 days a month at office")</f>
        <v>Hybrid Working Environment with less than 3 days a month at office</v>
      </c>
      <c r="L37" s="1" t="str">
        <f ca="1">IFERROR(__xludf.DUMMYFUNCTION("""COMPUTED_VALUE"""),"Employer who pushes your limits by enabling an learning environment, and rewards you at the end")</f>
        <v>Employer who pushes your limits by enabling an learning environment, and rewards you at the end</v>
      </c>
      <c r="M37" s="1" t="str">
        <f ca="1">IFERROR(__xludf.DUMMYFUNCTION("""COMPUTED_VALUE"""),"Self Paced Learning Portals, Learning by observing others")</f>
        <v>Self Paced Learning Portals, Learning by observing others</v>
      </c>
      <c r="N37" s="1" t="str">
        <f ca="1">IFERROR(__xludf.DUMMYFUNCTION("""COMPUTED_VALUE"""),"Teaching in any of the institutes/online or Offline, Design and Develop amazing software, Work as a freelancer and do my thing my way")</f>
        <v>Teaching in any of the institutes/online or Offline, Design and Develop amazing software, Work as a freelancer and do my thing my way</v>
      </c>
      <c r="O37" s="1" t="str">
        <f ca="1">IFERROR(__xludf.DUMMYFUNCTION("""COMPUTED_VALUE"""),"Manager who clearly describes what she/he needs")</f>
        <v>Manager who clearly describes what she/he needs</v>
      </c>
      <c r="P37" s="1" t="str">
        <f ca="1">IFERROR(__xludf.DUMMYFUNCTION("""COMPUTED_VALUE"""),"Work with 2 to 3 people in my team")</f>
        <v>Work with 2 to 3 people in my team</v>
      </c>
      <c r="Q37" s="1"/>
    </row>
    <row r="38" spans="1:17" ht="13.2" x14ac:dyDescent="0.25">
      <c r="A38" s="2">
        <f ca="1">IFERROR(__xludf.DUMMYFUNCTION("""COMPUTED_VALUE"""),44911.6297329282)</f>
        <v>44911.629732928202</v>
      </c>
      <c r="B38" s="1" t="str">
        <f ca="1">IFERROR(__xludf.DUMMYFUNCTION("""COMPUTED_VALUE"""),"India")</f>
        <v>India</v>
      </c>
      <c r="C38" s="1">
        <f ca="1">IFERROR(__xludf.DUMMYFUNCTION("""COMPUTED_VALUE"""),577004)</f>
        <v>577004</v>
      </c>
      <c r="D38" s="3" t="str">
        <f ca="1">IFERROR(__xludf.DUMMYFUNCTION("""COMPUTED_VALUE"""),"Female")</f>
        <v>Female</v>
      </c>
      <c r="E38" s="1" t="str">
        <f ca="1">IFERROR(__xludf.DUMMYFUNCTION("""COMPUTED_VALUE"""),"Influencers who had successful careers")</f>
        <v>Influencers who had successful careers</v>
      </c>
      <c r="F38" s="1" t="str">
        <f ca="1">IFERROR(__xludf.DUMMYFUNCTION("""COMPUTED_VALUE"""),"Yes, I will earn and do that")</f>
        <v>Yes, I will earn and do that</v>
      </c>
      <c r="G38" s="1" t="str">
        <f ca="1">IFERROR(__xludf.DUMMYFUNCTION("""COMPUTED_VALUE"""),"This will be hard to do, but if it is the right company I would try")</f>
        <v>This will be hard to do, but if it is the right company I would try</v>
      </c>
      <c r="H38" s="1" t="str">
        <f ca="1">IFERROR(__xludf.DUMMYFUNCTION("""COMPUTED_VALUE"""),"No")</f>
        <v>No</v>
      </c>
      <c r="I38" s="1" t="str">
        <f ca="1">IFERROR(__xludf.DUMMYFUNCTION("""COMPUTED_VALUE"""),"Will NOT work for them")</f>
        <v>Will NOT work for them</v>
      </c>
      <c r="J38" s="1">
        <f ca="1">IFERROR(__xludf.DUMMYFUNCTION("""COMPUTED_VALUE"""),5)</f>
        <v>5</v>
      </c>
      <c r="K38" s="1" t="str">
        <f ca="1">IFERROR(__xludf.DUMMYFUNCTION("""COMPUTED_VALUE"""),"Every Day Office Environment")</f>
        <v>Every Day Office Environment</v>
      </c>
      <c r="L38" s="1" t="str">
        <f ca="1">IFERROR(__xludf.DUMMYFUNCTION("""COMPUTED_VALUE"""),"Employer who pushes your limits by enabling an learning environment, and rewards you at the end")</f>
        <v>Employer who pushes your limits by enabling an learning environment, and rewards you at the end</v>
      </c>
      <c r="M38" s="1" t="str">
        <f ca="1">IFERROR(__xludf.DUMMYFUNCTION("""COMPUTED_VALUE"""),"Self Paced Learning Portals, Learning by observing others")</f>
        <v>Self Paced Learning Portals, Learning by observing others</v>
      </c>
      <c r="N38"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8" s="1" t="str">
        <f ca="1">IFERROR(__xludf.DUMMYFUNCTION("""COMPUTED_VALUE"""),"Manager who explains what is expected, sets a goal and helps achieve it")</f>
        <v>Manager who explains what is expected, sets a goal and helps achieve it</v>
      </c>
      <c r="P38" s="1" t="str">
        <f ca="1">IFERROR(__xludf.DUMMYFUNCTION("""COMPUTED_VALUE"""),"Work with 5 to 6 people in my team")</f>
        <v>Work with 5 to 6 people in my team</v>
      </c>
      <c r="Q38" s="1"/>
    </row>
    <row r="39" spans="1:17" ht="13.2" x14ac:dyDescent="0.25">
      <c r="A39" s="2">
        <f ca="1">IFERROR(__xludf.DUMMYFUNCTION("""COMPUTED_VALUE"""),44911.6302436226)</f>
        <v>44911.630243622603</v>
      </c>
      <c r="B39" s="1" t="str">
        <f ca="1">IFERROR(__xludf.DUMMYFUNCTION("""COMPUTED_VALUE"""),"India")</f>
        <v>India</v>
      </c>
      <c r="C39" s="1">
        <f ca="1">IFERROR(__xludf.DUMMYFUNCTION("""COMPUTED_VALUE"""),826004)</f>
        <v>826004</v>
      </c>
      <c r="D39" s="3" t="str">
        <f ca="1">IFERROR(__xludf.DUMMYFUNCTION("""COMPUTED_VALUE"""),"Male")</f>
        <v>Male</v>
      </c>
      <c r="E39" s="1" t="str">
        <f ca="1">IFERROR(__xludf.DUMMYFUNCTION("""COMPUTED_VALUE"""),"People who have changed the world for better")</f>
        <v>People who have changed the world for better</v>
      </c>
      <c r="F39" s="1" t="str">
        <f ca="1">IFERROR(__xludf.DUMMYFUNCTION("""COMPUTED_VALUE"""),"Yes, I will earn and do that")</f>
        <v>Yes, I will earn and do that</v>
      </c>
      <c r="G39" s="1" t="str">
        <f ca="1">IFERROR(__xludf.DUMMYFUNCTION("""COMPUTED_VALUE"""),"Will work for 3 years or more")</f>
        <v>Will work for 3 years or more</v>
      </c>
      <c r="H39" s="1" t="str">
        <f ca="1">IFERROR(__xludf.DUMMYFUNCTION("""COMPUTED_VALUE"""),"No")</f>
        <v>No</v>
      </c>
      <c r="I39" s="1" t="str">
        <f ca="1">IFERROR(__xludf.DUMMYFUNCTION("""COMPUTED_VALUE"""),"Will NOT work for them")</f>
        <v>Will NOT work for them</v>
      </c>
      <c r="J39" s="1">
        <f ca="1">IFERROR(__xludf.DUMMYFUNCTION("""COMPUTED_VALUE"""),4)</f>
        <v>4</v>
      </c>
      <c r="K39" s="1" t="str">
        <f ca="1">IFERROR(__xludf.DUMMYFUNCTION("""COMPUTED_VALUE"""),"Every Day Office Environment")</f>
        <v>Every Day Office Environment</v>
      </c>
      <c r="L39" s="1" t="str">
        <f ca="1">IFERROR(__xludf.DUMMYFUNCTION("""COMPUTED_VALUE"""),"Employer who appreciates learning and enables that environment")</f>
        <v>Employer who appreciates learning and enables that environment</v>
      </c>
      <c r="M39" s="1" t="str">
        <f ca="1">IFERROR(__xludf.DUMMYFUNCTION("""COMPUTED_VALUE"""),"Self Paced Learning Portals, Instructor or Expert Learning Programs")</f>
        <v>Self Paced Learning Portals, Instructor or Expert Learning Programs</v>
      </c>
      <c r="N39"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9" s="1" t="str">
        <f ca="1">IFERROR(__xludf.DUMMYFUNCTION("""COMPUTED_VALUE"""),"Manager who clearly describes what she/he needs")</f>
        <v>Manager who clearly describes what she/he needs</v>
      </c>
      <c r="P39" s="1" t="str">
        <f ca="1">IFERROR(__xludf.DUMMYFUNCTION("""COMPUTED_VALUE"""),"Work with 2 to 3 people in my team")</f>
        <v>Work with 2 to 3 people in my team</v>
      </c>
      <c r="Q39" s="1"/>
    </row>
    <row r="40" spans="1:17" ht="13.2" x14ac:dyDescent="0.25">
      <c r="A40" s="2">
        <f ca="1">IFERROR(__xludf.DUMMYFUNCTION("""COMPUTED_VALUE"""),44911.6429490393)</f>
        <v>44911.642949039298</v>
      </c>
      <c r="B40" s="1" t="str">
        <f ca="1">IFERROR(__xludf.DUMMYFUNCTION("""COMPUTED_VALUE"""),"India")</f>
        <v>India</v>
      </c>
      <c r="C40" s="1">
        <f ca="1">IFERROR(__xludf.DUMMYFUNCTION("""COMPUTED_VALUE"""),826004)</f>
        <v>826004</v>
      </c>
      <c r="D40" s="3" t="str">
        <f ca="1">IFERROR(__xludf.DUMMYFUNCTION("""COMPUTED_VALUE"""),"Male")</f>
        <v>Male</v>
      </c>
      <c r="E40" s="1" t="str">
        <f ca="1">IFERROR(__xludf.DUMMYFUNCTION("""COMPUTED_VALUE"""),"My Parents")</f>
        <v>My Parents</v>
      </c>
      <c r="F40" s="1" t="str">
        <f ca="1">IFERROR(__xludf.DUMMYFUNCTION("""COMPUTED_VALUE"""),"Yes, I will earn and do that")</f>
        <v>Yes, I will earn and do that</v>
      </c>
      <c r="G40" s="1" t="str">
        <f ca="1">IFERROR(__xludf.DUMMYFUNCTION("""COMPUTED_VALUE"""),"This will be hard to do, but if it is the right company I would try")</f>
        <v>This will be hard to do, but if it is the right company I would try</v>
      </c>
      <c r="H40" s="1" t="str">
        <f ca="1">IFERROR(__xludf.DUMMYFUNCTION("""COMPUTED_VALUE"""),"No")</f>
        <v>No</v>
      </c>
      <c r="I40" s="1" t="str">
        <f ca="1">IFERROR(__xludf.DUMMYFUNCTION("""COMPUTED_VALUE"""),"Will NOT work for them")</f>
        <v>Will NOT work for them</v>
      </c>
      <c r="J40" s="1">
        <f ca="1">IFERROR(__xludf.DUMMYFUNCTION("""COMPUTED_VALUE"""),7)</f>
        <v>7</v>
      </c>
      <c r="K40" s="1" t="str">
        <f ca="1">IFERROR(__xludf.DUMMYFUNCTION("""COMPUTED_VALUE"""),"Hybrid Working Environment with less than 15 days a month at office")</f>
        <v>Hybrid Working Environment with less than 15 days a month at office</v>
      </c>
      <c r="L40" s="1" t="str">
        <f ca="1">IFERROR(__xludf.DUMMYFUNCTION("""COMPUTED_VALUE"""),"Employer who appreciates learning and enables that environment")</f>
        <v>Employer who appreciates learning and enables that environment</v>
      </c>
      <c r="M40" s="1" t="str">
        <f ca="1">IFERROR(__xludf.DUMMYFUNCTION("""COMPUTED_VALUE"""),"Instructor or Expert Learning Programs, Learning by observing others")</f>
        <v>Instructor or Expert Learning Programs, Learning by observing others</v>
      </c>
      <c r="N40"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40" s="1" t="str">
        <f ca="1">IFERROR(__xludf.DUMMYFUNCTION("""COMPUTED_VALUE"""),"Manager who explains what is expected, sets a goal and helps achieve it")</f>
        <v>Manager who explains what is expected, sets a goal and helps achieve it</v>
      </c>
      <c r="P40" s="1" t="str">
        <f ca="1">IFERROR(__xludf.DUMMYFUNCTION("""COMPUTED_VALUE"""),"Work alone, Work with 2 to 3 people in my team")</f>
        <v>Work alone, Work with 2 to 3 people in my team</v>
      </c>
      <c r="Q40" s="1"/>
    </row>
    <row r="41" spans="1:17" ht="13.2" x14ac:dyDescent="0.25">
      <c r="A41" s="2">
        <f ca="1">IFERROR(__xludf.DUMMYFUNCTION("""COMPUTED_VALUE"""),44911.645580706)</f>
        <v>44911.645580705997</v>
      </c>
      <c r="B41" s="1" t="str">
        <f ca="1">IFERROR(__xludf.DUMMYFUNCTION("""COMPUTED_VALUE"""),"India")</f>
        <v>India</v>
      </c>
      <c r="C41" s="1">
        <f ca="1">IFERROR(__xludf.DUMMYFUNCTION("""COMPUTED_VALUE"""),515003)</f>
        <v>515003</v>
      </c>
      <c r="D41" s="3" t="str">
        <f ca="1">IFERROR(__xludf.DUMMYFUNCTION("""COMPUTED_VALUE"""),"Male")</f>
        <v>Male</v>
      </c>
      <c r="E41" s="1" t="str">
        <f ca="1">IFERROR(__xludf.DUMMYFUNCTION("""COMPUTED_VALUE"""),"My Parents")</f>
        <v>My Parents</v>
      </c>
      <c r="F41" s="1" t="str">
        <f ca="1">IFERROR(__xludf.DUMMYFUNCTION("""COMPUTED_VALUE"""),"No I would not be pursuing Higher Education outside of India")</f>
        <v>No I would not be pursuing Higher Education outside of India</v>
      </c>
      <c r="G41" s="1" t="str">
        <f ca="1">IFERROR(__xludf.DUMMYFUNCTION("""COMPUTED_VALUE"""),"Will work for 3 years or more")</f>
        <v>Will work for 3 years or more</v>
      </c>
      <c r="H41" s="1" t="str">
        <f ca="1">IFERROR(__xludf.DUMMYFUNCTION("""COMPUTED_VALUE"""),"No")</f>
        <v>No</v>
      </c>
      <c r="I41" s="1" t="str">
        <f ca="1">IFERROR(__xludf.DUMMYFUNCTION("""COMPUTED_VALUE"""),"Will NOT work for them")</f>
        <v>Will NOT work for them</v>
      </c>
      <c r="J41" s="1">
        <f ca="1">IFERROR(__xludf.DUMMYFUNCTION("""COMPUTED_VALUE"""),8)</f>
        <v>8</v>
      </c>
      <c r="K41" s="1" t="str">
        <f ca="1">IFERROR(__xludf.DUMMYFUNCTION("""COMPUTED_VALUE"""),"Every Day Office Environment")</f>
        <v>Every Day Office Environment</v>
      </c>
      <c r="L41" s="1" t="str">
        <f ca="1">IFERROR(__xludf.DUMMYFUNCTION("""COMPUTED_VALUE"""),"Employer who pushes your limits by enabling an learning environment, and rewards you at the end")</f>
        <v>Employer who pushes your limits by enabling an learning environment, and rewards you at the end</v>
      </c>
      <c r="M41" s="1" t="str">
        <f ca="1">IFERROR(__xludf.DUMMYFUNCTION("""COMPUTED_VALUE"""),"Instructor or Expert Learning Programs, Learning by observing others")</f>
        <v>Instructor or Expert Learning Programs, Learning by observing others</v>
      </c>
      <c r="N4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41" s="1" t="str">
        <f ca="1">IFERROR(__xludf.DUMMYFUNCTION("""COMPUTED_VALUE"""),"Manager who explains what is expected, sets a goal and helps achieve it")</f>
        <v>Manager who explains what is expected, sets a goal and helps achieve it</v>
      </c>
      <c r="P41" s="1" t="str">
        <f ca="1">IFERROR(__xludf.DUMMYFUNCTION("""COMPUTED_VALUE"""),"Work with 2 to 3 people in my team")</f>
        <v>Work with 2 to 3 people in my team</v>
      </c>
      <c r="Q41" s="1"/>
    </row>
    <row r="42" spans="1:17" ht="13.2" x14ac:dyDescent="0.25">
      <c r="A42" s="2">
        <f ca="1">IFERROR(__xludf.DUMMYFUNCTION("""COMPUTED_VALUE"""),44911.6464124305)</f>
        <v>44911.646412430498</v>
      </c>
      <c r="B42" s="1" t="str">
        <f ca="1">IFERROR(__xludf.DUMMYFUNCTION("""COMPUTED_VALUE"""),"India")</f>
        <v>India</v>
      </c>
      <c r="C42" s="1">
        <f ca="1">IFERROR(__xludf.DUMMYFUNCTION("""COMPUTED_VALUE"""),496001)</f>
        <v>496001</v>
      </c>
      <c r="D42" s="3" t="str">
        <f ca="1">IFERROR(__xludf.DUMMYFUNCTION("""COMPUTED_VALUE"""),"Male")</f>
        <v>Male</v>
      </c>
      <c r="E42" s="1" t="str">
        <f ca="1">IFERROR(__xludf.DUMMYFUNCTION("""COMPUTED_VALUE"""),"My Parents")</f>
        <v>My Parents</v>
      </c>
      <c r="F42" s="1" t="str">
        <f ca="1">IFERROR(__xludf.DUMMYFUNCTION("""COMPUTED_VALUE"""),"Yes, I will earn and do that")</f>
        <v>Yes, I will earn and do that</v>
      </c>
      <c r="G42" s="1" t="str">
        <f ca="1">IFERROR(__xludf.DUMMYFUNCTION("""COMPUTED_VALUE"""),"This will be hard to do, but if it is the right company I would try")</f>
        <v>This will be hard to do, but if it is the right company I would try</v>
      </c>
      <c r="H42" s="1" t="str">
        <f ca="1">IFERROR(__xludf.DUMMYFUNCTION("""COMPUTED_VALUE"""),"No")</f>
        <v>No</v>
      </c>
      <c r="I42" s="1" t="str">
        <f ca="1">IFERROR(__xludf.DUMMYFUNCTION("""COMPUTED_VALUE"""),"Will NOT work for them")</f>
        <v>Will NOT work for them</v>
      </c>
      <c r="J42" s="1">
        <f ca="1">IFERROR(__xludf.DUMMYFUNCTION("""COMPUTED_VALUE"""),2)</f>
        <v>2</v>
      </c>
      <c r="K42" s="1" t="str">
        <f ca="1">IFERROR(__xludf.DUMMYFUNCTION("""COMPUTED_VALUE"""),"Hybrid Working Environment with less than 10 days a month at office")</f>
        <v>Hybrid Working Environment with less than 10 days a month at office</v>
      </c>
      <c r="L42" s="1" t="str">
        <f ca="1">IFERROR(__xludf.DUMMYFUNCTION("""COMPUTED_VALUE"""),"Employer who appreciates learning and enables that environment")</f>
        <v>Employer who appreciates learning and enables that environment</v>
      </c>
      <c r="M42" s="1" t="str">
        <f ca="1">IFERROR(__xludf.DUMMYFUNCTION("""COMPUTED_VALUE"""),"Instructor or Expert Learning Programs, Learning by observing others")</f>
        <v>Instructor or Expert Learning Programs, Learning by observing others</v>
      </c>
      <c r="N4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42" s="1" t="str">
        <f ca="1">IFERROR(__xludf.DUMMYFUNCTION("""COMPUTED_VALUE"""),"Manager who sets goal and helps me achieve it")</f>
        <v>Manager who sets goal and helps me achieve it</v>
      </c>
      <c r="P42" s="1" t="str">
        <f ca="1">IFERROR(__xludf.DUMMYFUNCTION("""COMPUTED_VALUE"""),"Work with 2 to 3 people in my team")</f>
        <v>Work with 2 to 3 people in my team</v>
      </c>
      <c r="Q42" s="1"/>
    </row>
    <row r="43" spans="1:17" ht="13.2" x14ac:dyDescent="0.25">
      <c r="A43" s="2">
        <f ca="1">IFERROR(__xludf.DUMMYFUNCTION("""COMPUTED_VALUE"""),44911.6466687615)</f>
        <v>44911.646668761503</v>
      </c>
      <c r="B43" s="1" t="str">
        <f ca="1">IFERROR(__xludf.DUMMYFUNCTION("""COMPUTED_VALUE"""),"India")</f>
        <v>India</v>
      </c>
      <c r="C43" s="1">
        <f ca="1">IFERROR(__xludf.DUMMYFUNCTION("""COMPUTED_VALUE"""),713104)</f>
        <v>713104</v>
      </c>
      <c r="D43" s="3" t="str">
        <f ca="1">IFERROR(__xludf.DUMMYFUNCTION("""COMPUTED_VALUE"""),"Male")</f>
        <v>Male</v>
      </c>
      <c r="E43" s="1" t="str">
        <f ca="1">IFERROR(__xludf.DUMMYFUNCTION("""COMPUTED_VALUE"""),"People who have changed the world for better")</f>
        <v>People who have changed the world for better</v>
      </c>
      <c r="F43" s="1" t="str">
        <f ca="1">IFERROR(__xludf.DUMMYFUNCTION("""COMPUTED_VALUE"""),"Yes, I will earn and do that")</f>
        <v>Yes, I will earn and do that</v>
      </c>
      <c r="G43" s="1" t="str">
        <f ca="1">IFERROR(__xludf.DUMMYFUNCTION("""COMPUTED_VALUE"""),"Will work for 3 years or more")</f>
        <v>Will work for 3 years or more</v>
      </c>
      <c r="H43" s="1" t="str">
        <f ca="1">IFERROR(__xludf.DUMMYFUNCTION("""COMPUTED_VALUE"""),"No")</f>
        <v>No</v>
      </c>
      <c r="I43" s="1" t="str">
        <f ca="1">IFERROR(__xludf.DUMMYFUNCTION("""COMPUTED_VALUE"""),"Will NOT work for them")</f>
        <v>Will NOT work for them</v>
      </c>
      <c r="J43" s="1">
        <f ca="1">IFERROR(__xludf.DUMMYFUNCTION("""COMPUTED_VALUE"""),5)</f>
        <v>5</v>
      </c>
      <c r="K43" s="1" t="str">
        <f ca="1">IFERROR(__xludf.DUMMYFUNCTION("""COMPUTED_VALUE"""),"Fully Remote with No option to visit offices")</f>
        <v>Fully Remote with No option to visit offices</v>
      </c>
      <c r="L43" s="1" t="str">
        <f ca="1">IFERROR(__xludf.DUMMYFUNCTION("""COMPUTED_VALUE"""),"Employer who pushes your limits by enabling an learning environment, and rewards you at the end")</f>
        <v>Employer who pushes your limits by enabling an learning environment, and rewards you at the end</v>
      </c>
      <c r="M43" s="1" t="str">
        <f ca="1">IFERROR(__xludf.DUMMYFUNCTION("""COMPUTED_VALUE"""),"Self Paced Learning Portals, Instructor or Expert Learning Programs")</f>
        <v>Self Paced Learning Portals, Instructor or Expert Learning Programs</v>
      </c>
      <c r="N43"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43" s="1" t="str">
        <f ca="1">IFERROR(__xludf.DUMMYFUNCTION("""COMPUTED_VALUE"""),"Manager who explains what is expected, sets a goal and helps achieve it")</f>
        <v>Manager who explains what is expected, sets a goal and helps achieve it</v>
      </c>
      <c r="P43" s="1" t="str">
        <f ca="1">IFERROR(__xludf.DUMMYFUNCTION("""COMPUTED_VALUE"""),"Work with 5 to 6 people in my team, Work with 7 to 10 or more people in my team")</f>
        <v>Work with 5 to 6 people in my team, Work with 7 to 10 or more people in my team</v>
      </c>
      <c r="Q43" s="1"/>
    </row>
    <row r="44" spans="1:17" ht="13.2" x14ac:dyDescent="0.25">
      <c r="A44" s="2">
        <f ca="1">IFERROR(__xludf.DUMMYFUNCTION("""COMPUTED_VALUE"""),44911.6467276157)</f>
        <v>44911.646727615698</v>
      </c>
      <c r="B44" s="1" t="str">
        <f ca="1">IFERROR(__xludf.DUMMYFUNCTION("""COMPUTED_VALUE"""),"India")</f>
        <v>India</v>
      </c>
      <c r="C44" s="1">
        <f ca="1">IFERROR(__xludf.DUMMYFUNCTION("""COMPUTED_VALUE"""),416001)</f>
        <v>416001</v>
      </c>
      <c r="D44" s="3" t="str">
        <f ca="1">IFERROR(__xludf.DUMMYFUNCTION("""COMPUTED_VALUE"""),"Male")</f>
        <v>Male</v>
      </c>
      <c r="E44" s="1" t="str">
        <f ca="1">IFERROR(__xludf.DUMMYFUNCTION("""COMPUTED_VALUE"""),"My Parents")</f>
        <v>My Parents</v>
      </c>
      <c r="F44" s="1" t="str">
        <f ca="1">IFERROR(__xludf.DUMMYFUNCTION("""COMPUTED_VALUE"""),"No I would not be pursuing Higher Education outside of India")</f>
        <v>No I would not be pursuing Higher Education outside of India</v>
      </c>
      <c r="G44" s="1" t="str">
        <f ca="1">IFERROR(__xludf.DUMMYFUNCTION("""COMPUTED_VALUE"""),"This will be hard to do, but if it is the right company I would try")</f>
        <v>This will be hard to do, but if it is the right company I would try</v>
      </c>
      <c r="H44" s="1" t="str">
        <f ca="1">IFERROR(__xludf.DUMMYFUNCTION("""COMPUTED_VALUE"""),"Yes")</f>
        <v>Yes</v>
      </c>
      <c r="I44" s="1" t="str">
        <f ca="1">IFERROR(__xludf.DUMMYFUNCTION("""COMPUTED_VALUE"""),"Will NOT work for them")</f>
        <v>Will NOT work for them</v>
      </c>
      <c r="J44" s="1">
        <f ca="1">IFERROR(__xludf.DUMMYFUNCTION("""COMPUTED_VALUE"""),10)</f>
        <v>10</v>
      </c>
      <c r="K44" s="1" t="str">
        <f ca="1">IFERROR(__xludf.DUMMYFUNCTION("""COMPUTED_VALUE"""),"Fully Remote with Options to travel as and when needed")</f>
        <v>Fully Remote with Options to travel as and when needed</v>
      </c>
      <c r="L44" s="1" t="str">
        <f ca="1">IFERROR(__xludf.DUMMYFUNCTION("""COMPUTED_VALUE"""),"Employer who appreciates learning and enables that environment")</f>
        <v>Employer who appreciates learning and enables that environment</v>
      </c>
      <c r="M44" s="1" t="str">
        <f ca="1">IFERROR(__xludf.DUMMYFUNCTION("""COMPUTED_VALUE"""),"Instructor or Expert Learning Programs, Trial and error by doing side projects within the company")</f>
        <v>Instructor or Expert Learning Programs, Trial and error by doing side projects within the company</v>
      </c>
      <c r="N44"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44" s="1" t="str">
        <f ca="1">IFERROR(__xludf.DUMMYFUNCTION("""COMPUTED_VALUE"""),"Manager who explains what is expected, sets a goal and helps achieve it")</f>
        <v>Manager who explains what is expected, sets a goal and helps achieve it</v>
      </c>
      <c r="P4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44" s="1"/>
    </row>
    <row r="45" spans="1:17" ht="13.2" x14ac:dyDescent="0.25">
      <c r="A45" s="2">
        <f ca="1">IFERROR(__xludf.DUMMYFUNCTION("""COMPUTED_VALUE"""),44911.6480711574)</f>
        <v>44911.648071157397</v>
      </c>
      <c r="B45" s="1" t="str">
        <f ca="1">IFERROR(__xludf.DUMMYFUNCTION("""COMPUTED_VALUE"""),"India")</f>
        <v>India</v>
      </c>
      <c r="C45" s="1">
        <f ca="1">IFERROR(__xludf.DUMMYFUNCTION("""COMPUTED_VALUE"""),826004)</f>
        <v>826004</v>
      </c>
      <c r="D45" s="3" t="str">
        <f ca="1">IFERROR(__xludf.DUMMYFUNCTION("""COMPUTED_VALUE"""),"Male")</f>
        <v>Male</v>
      </c>
      <c r="E45" s="1" t="str">
        <f ca="1">IFERROR(__xludf.DUMMYFUNCTION("""COMPUTED_VALUE"""),"People who have changed the world for better")</f>
        <v>People who have changed the world for better</v>
      </c>
      <c r="F45" s="1" t="str">
        <f ca="1">IFERROR(__xludf.DUMMYFUNCTION("""COMPUTED_VALUE"""),"No, But if someone could bare the cost I will")</f>
        <v>No, But if someone could bare the cost I will</v>
      </c>
      <c r="G45" s="1" t="str">
        <f ca="1">IFERROR(__xludf.DUMMYFUNCTION("""COMPUTED_VALUE"""),"This will be hard to do, but if it is the right company I would try")</f>
        <v>This will be hard to do, but if it is the right company I would try</v>
      </c>
      <c r="H45" s="1" t="str">
        <f ca="1">IFERROR(__xludf.DUMMYFUNCTION("""COMPUTED_VALUE"""),"No")</f>
        <v>No</v>
      </c>
      <c r="I45" s="1" t="str">
        <f ca="1">IFERROR(__xludf.DUMMYFUNCTION("""COMPUTED_VALUE"""),"Will NOT work for them")</f>
        <v>Will NOT work for them</v>
      </c>
      <c r="J45" s="1">
        <f ca="1">IFERROR(__xludf.DUMMYFUNCTION("""COMPUTED_VALUE"""),4)</f>
        <v>4</v>
      </c>
      <c r="K45" s="1" t="str">
        <f ca="1">IFERROR(__xludf.DUMMYFUNCTION("""COMPUTED_VALUE"""),"Hybrid Working Environment with less than 15 days a month at office")</f>
        <v>Hybrid Working Environment with less than 15 days a month at office</v>
      </c>
      <c r="L45" s="1" t="str">
        <f ca="1">IFERROR(__xludf.DUMMYFUNCTION("""COMPUTED_VALUE"""),"Employer who pushes your limits by enabling an learning environment, and rewards you at the end")</f>
        <v>Employer who pushes your limits by enabling an learning environment, and rewards you at the end</v>
      </c>
      <c r="M45" s="1" t="str">
        <f ca="1">IFERROR(__xludf.DUMMYFUNCTION("""COMPUTED_VALUE"""),"Self Paced Learning Portals, Learning by observing others")</f>
        <v>Self Paced Learning Portals, Learning by observing others</v>
      </c>
      <c r="N4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45" s="1" t="str">
        <f ca="1">IFERROR(__xludf.DUMMYFUNCTION("""COMPUTED_VALUE"""),"Manager who explains what is expected, sets a goal and helps achieve it")</f>
        <v>Manager who explains what is expected, sets a goal and helps achieve it</v>
      </c>
      <c r="P45" s="1" t="str">
        <f ca="1">IFERROR(__xludf.DUMMYFUNCTION("""COMPUTED_VALUE"""),"Work alone, Work with 2 to 3 people in my team")</f>
        <v>Work alone, Work with 2 to 3 people in my team</v>
      </c>
      <c r="Q45" s="1"/>
    </row>
    <row r="46" spans="1:17" ht="13.2" x14ac:dyDescent="0.25">
      <c r="A46" s="2">
        <f ca="1">IFERROR(__xludf.DUMMYFUNCTION("""COMPUTED_VALUE"""),44911.6489670717)</f>
        <v>44911.648967071698</v>
      </c>
      <c r="B46" s="1" t="str">
        <f ca="1">IFERROR(__xludf.DUMMYFUNCTION("""COMPUTED_VALUE"""),"India")</f>
        <v>India</v>
      </c>
      <c r="C46" s="1">
        <f ca="1">IFERROR(__xludf.DUMMYFUNCTION("""COMPUTED_VALUE"""),110088)</f>
        <v>110088</v>
      </c>
      <c r="D46" s="3" t="str">
        <f ca="1">IFERROR(__xludf.DUMMYFUNCTION("""COMPUTED_VALUE"""),"Male")</f>
        <v>Male</v>
      </c>
      <c r="E46" s="1" t="str">
        <f ca="1">IFERROR(__xludf.DUMMYFUNCTION("""COMPUTED_VALUE"""),"People from my circle, but not family members")</f>
        <v>People from my circle, but not family members</v>
      </c>
      <c r="F46" s="1" t="str">
        <f ca="1">IFERROR(__xludf.DUMMYFUNCTION("""COMPUTED_VALUE"""),"Yes, I will earn and do that")</f>
        <v>Yes, I will earn and do that</v>
      </c>
      <c r="G46" s="1" t="str">
        <f ca="1">IFERROR(__xludf.DUMMYFUNCTION("""COMPUTED_VALUE"""),"Will work for 3 years or more")</f>
        <v>Will work for 3 years or more</v>
      </c>
      <c r="H46" s="1" t="str">
        <f ca="1">IFERROR(__xludf.DUMMYFUNCTION("""COMPUTED_VALUE"""),"Yes")</f>
        <v>Yes</v>
      </c>
      <c r="I46" s="1" t="str">
        <f ca="1">IFERROR(__xludf.DUMMYFUNCTION("""COMPUTED_VALUE"""),"Will work for them")</f>
        <v>Will work for them</v>
      </c>
      <c r="J46" s="1">
        <f ca="1">IFERROR(__xludf.DUMMYFUNCTION("""COMPUTED_VALUE"""),8)</f>
        <v>8</v>
      </c>
      <c r="K46" s="1" t="str">
        <f ca="1">IFERROR(__xludf.DUMMYFUNCTION("""COMPUTED_VALUE"""),"Hybrid Working Environment with less than 10 days a month at office")</f>
        <v>Hybrid Working Environment with less than 10 days a month at office</v>
      </c>
      <c r="L46" s="1" t="str">
        <f ca="1">IFERROR(__xludf.DUMMYFUNCTION("""COMPUTED_VALUE"""),"Employer who pushes your limits by enabling an learning environment, and rewards you at the end")</f>
        <v>Employer who pushes your limits by enabling an learning environment, and rewards you at the end</v>
      </c>
      <c r="M46" s="1" t="str">
        <f ca="1">IFERROR(__xludf.DUMMYFUNCTION("""COMPUTED_VALUE"""),"Self Paced Learning Portals, Trial and error by doing side projects within the company")</f>
        <v>Self Paced Learning Portals, Trial and error by doing side projects within the company</v>
      </c>
      <c r="N46"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46" s="1" t="str">
        <f ca="1">IFERROR(__xludf.DUMMYFUNCTION("""COMPUTED_VALUE"""),"Manager who explains what is expected, sets a goal and helps achieve it")</f>
        <v>Manager who explains what is expected, sets a goal and helps achieve it</v>
      </c>
      <c r="P46" s="1" t="str">
        <f ca="1">IFERROR(__xludf.DUMMYFUNCTION("""COMPUTED_VALUE"""),"Work with more than 10 people in my team")</f>
        <v>Work with more than 10 people in my team</v>
      </c>
      <c r="Q46" s="1"/>
    </row>
    <row r="47" spans="1:17" ht="13.2" x14ac:dyDescent="0.25">
      <c r="A47" s="2">
        <f ca="1">IFERROR(__xludf.DUMMYFUNCTION("""COMPUTED_VALUE"""),44911.6541017129)</f>
        <v>44911.654101712898</v>
      </c>
      <c r="B47" s="1" t="str">
        <f ca="1">IFERROR(__xludf.DUMMYFUNCTION("""COMPUTED_VALUE"""),"India")</f>
        <v>India</v>
      </c>
      <c r="C47" s="1">
        <f ca="1">IFERROR(__xludf.DUMMYFUNCTION("""COMPUTED_VALUE"""),110016)</f>
        <v>110016</v>
      </c>
      <c r="D47" s="3" t="str">
        <f ca="1">IFERROR(__xludf.DUMMYFUNCTION("""COMPUTED_VALUE"""),"Female")</f>
        <v>Female</v>
      </c>
      <c r="E47" s="1" t="str">
        <f ca="1">IFERROR(__xludf.DUMMYFUNCTION("""COMPUTED_VALUE"""),"My Parents")</f>
        <v>My Parents</v>
      </c>
      <c r="F47" s="1" t="str">
        <f ca="1">IFERROR(__xludf.DUMMYFUNCTION("""COMPUTED_VALUE"""),"No, But if someone could bare the cost I will")</f>
        <v>No, But if someone could bare the cost I will</v>
      </c>
      <c r="G47" s="1" t="str">
        <f ca="1">IFERROR(__xludf.DUMMYFUNCTION("""COMPUTED_VALUE"""),"This will be hard to do, but if it is the right company I would try")</f>
        <v>This will be hard to do, but if it is the right company I would try</v>
      </c>
      <c r="H47" s="1" t="str">
        <f ca="1">IFERROR(__xludf.DUMMYFUNCTION("""COMPUTED_VALUE"""),"No")</f>
        <v>No</v>
      </c>
      <c r="I47" s="1" t="str">
        <f ca="1">IFERROR(__xludf.DUMMYFUNCTION("""COMPUTED_VALUE"""),"Will NOT work for them")</f>
        <v>Will NOT work for them</v>
      </c>
      <c r="J47" s="1">
        <f ca="1">IFERROR(__xludf.DUMMYFUNCTION("""COMPUTED_VALUE"""),8)</f>
        <v>8</v>
      </c>
      <c r="K47" s="1" t="str">
        <f ca="1">IFERROR(__xludf.DUMMYFUNCTION("""COMPUTED_VALUE"""),"Hybrid Working Environment with less than 15 days a month at office")</f>
        <v>Hybrid Working Environment with less than 15 days a month at office</v>
      </c>
      <c r="L47" s="1" t="str">
        <f ca="1">IFERROR(__xludf.DUMMYFUNCTION("""COMPUTED_VALUE"""),"Employer who pushes your limits by enabling an learning environment, and rewards you at the end")</f>
        <v>Employer who pushes your limits by enabling an learning environment, and rewards you at the end</v>
      </c>
      <c r="M47" s="1" t="str">
        <f ca="1">IFERROR(__xludf.DUMMYFUNCTION("""COMPUTED_VALUE"""),"Instructor or Expert Learning Programs, Trial and error by doing side projects within the company")</f>
        <v>Instructor or Expert Learning Programs, Trial and error by doing side projects within the company</v>
      </c>
      <c r="N47"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47" s="1" t="str">
        <f ca="1">IFERROR(__xludf.DUMMYFUNCTION("""COMPUTED_VALUE"""),"Manager who explains what is expected, sets a goal and helps achieve it")</f>
        <v>Manager who explains what is expected, sets a goal and helps achieve it</v>
      </c>
      <c r="P47" s="1" t="str">
        <f ca="1">IFERROR(__xludf.DUMMYFUNCTION("""COMPUTED_VALUE"""),"Work with 2 to 3 people in my team, Work with 5 to 6 people in my team")</f>
        <v>Work with 2 to 3 people in my team, Work with 5 to 6 people in my team</v>
      </c>
      <c r="Q47" s="1"/>
    </row>
    <row r="48" spans="1:17" ht="13.2" x14ac:dyDescent="0.25">
      <c r="A48" s="2">
        <f ca="1">IFERROR(__xludf.DUMMYFUNCTION("""COMPUTED_VALUE"""),44911.6553786226)</f>
        <v>44911.6553786226</v>
      </c>
      <c r="B48" s="1" t="str">
        <f ca="1">IFERROR(__xludf.DUMMYFUNCTION("""COMPUTED_VALUE"""),"India")</f>
        <v>India</v>
      </c>
      <c r="C48" s="1">
        <f ca="1">IFERROR(__xludf.DUMMYFUNCTION("""COMPUTED_VALUE"""),131001)</f>
        <v>131001</v>
      </c>
      <c r="D48" s="3" t="str">
        <f ca="1">IFERROR(__xludf.DUMMYFUNCTION("""COMPUTED_VALUE"""),"Male")</f>
        <v>Male</v>
      </c>
      <c r="E48" s="1" t="str">
        <f ca="1">IFERROR(__xludf.DUMMYFUNCTION("""COMPUTED_VALUE"""),"My Parents")</f>
        <v>My Parents</v>
      </c>
      <c r="F48" s="1" t="str">
        <f ca="1">IFERROR(__xludf.DUMMYFUNCTION("""COMPUTED_VALUE"""),"Yes, I will earn and do that")</f>
        <v>Yes, I will earn and do that</v>
      </c>
      <c r="G48" s="1" t="str">
        <f ca="1">IFERROR(__xludf.DUMMYFUNCTION("""COMPUTED_VALUE"""),"Will work for 3 years or more")</f>
        <v>Will work for 3 years or more</v>
      </c>
      <c r="H48" s="1" t="str">
        <f ca="1">IFERROR(__xludf.DUMMYFUNCTION("""COMPUTED_VALUE"""),"Yes")</f>
        <v>Yes</v>
      </c>
      <c r="I48" s="1" t="str">
        <f ca="1">IFERROR(__xludf.DUMMYFUNCTION("""COMPUTED_VALUE"""),"Will work for them")</f>
        <v>Will work for them</v>
      </c>
      <c r="J48" s="1">
        <f ca="1">IFERROR(__xludf.DUMMYFUNCTION("""COMPUTED_VALUE"""),8)</f>
        <v>8</v>
      </c>
      <c r="K48" s="1" t="str">
        <f ca="1">IFERROR(__xludf.DUMMYFUNCTION("""COMPUTED_VALUE"""),"Hybrid Working Environment with less than 15 days a month at office")</f>
        <v>Hybrid Working Environment with less than 15 days a month at office</v>
      </c>
      <c r="L48" s="1" t="str">
        <f ca="1">IFERROR(__xludf.DUMMYFUNCTION("""COMPUTED_VALUE"""),"Employer who rewards learning and enables that environment")</f>
        <v>Employer who rewards learning and enables that environment</v>
      </c>
      <c r="M48" s="1" t="str">
        <f ca="1">IFERROR(__xludf.DUMMYFUNCTION("""COMPUTED_VALUE"""),"Learning by observing others, Trial and error by doing side projects within the company")</f>
        <v>Learning by observing others, Trial and error by doing side projects within the company</v>
      </c>
      <c r="N4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48" s="1" t="str">
        <f ca="1">IFERROR(__xludf.DUMMYFUNCTION("""COMPUTED_VALUE"""),"Manager who explains what is expected, sets a goal and helps achieve it")</f>
        <v>Manager who explains what is expected, sets a goal and helps achieve it</v>
      </c>
      <c r="P48"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48" s="1"/>
    </row>
    <row r="49" spans="1:17" ht="13.2" x14ac:dyDescent="0.25">
      <c r="A49" s="2">
        <f ca="1">IFERROR(__xludf.DUMMYFUNCTION("""COMPUTED_VALUE"""),44911.6559680902)</f>
        <v>44911.655968090199</v>
      </c>
      <c r="B49" s="1" t="str">
        <f ca="1">IFERROR(__xludf.DUMMYFUNCTION("""COMPUTED_VALUE"""),"India")</f>
        <v>India</v>
      </c>
      <c r="C49" s="1">
        <f ca="1">IFERROR(__xludf.DUMMYFUNCTION("""COMPUTED_VALUE"""),505001)</f>
        <v>505001</v>
      </c>
      <c r="D49" s="3" t="str">
        <f ca="1">IFERROR(__xludf.DUMMYFUNCTION("""COMPUTED_VALUE"""),"Male")</f>
        <v>Male</v>
      </c>
      <c r="E49" s="1" t="str">
        <f ca="1">IFERROR(__xludf.DUMMYFUNCTION("""COMPUTED_VALUE"""),"People who have changed the world for better")</f>
        <v>People who have changed the world for better</v>
      </c>
      <c r="F49" s="1" t="str">
        <f ca="1">IFERROR(__xludf.DUMMYFUNCTION("""COMPUTED_VALUE"""),"No I would not be pursuing Higher Education outside of India")</f>
        <v>No I would not be pursuing Higher Education outside of India</v>
      </c>
      <c r="G49" s="1" t="str">
        <f ca="1">IFERROR(__xludf.DUMMYFUNCTION("""COMPUTED_VALUE"""),"Will work for 3 years or more")</f>
        <v>Will work for 3 years or more</v>
      </c>
      <c r="H49" s="1" t="str">
        <f ca="1">IFERROR(__xludf.DUMMYFUNCTION("""COMPUTED_VALUE"""),"No")</f>
        <v>No</v>
      </c>
      <c r="I49" s="1" t="str">
        <f ca="1">IFERROR(__xludf.DUMMYFUNCTION("""COMPUTED_VALUE"""),"Will NOT work for them")</f>
        <v>Will NOT work for them</v>
      </c>
      <c r="J49" s="1">
        <f ca="1">IFERROR(__xludf.DUMMYFUNCTION("""COMPUTED_VALUE"""),8)</f>
        <v>8</v>
      </c>
      <c r="K49" s="1" t="str">
        <f ca="1">IFERROR(__xludf.DUMMYFUNCTION("""COMPUTED_VALUE"""),"Fully Remote with Options to travel as and when needed")</f>
        <v>Fully Remote with Options to travel as and when needed</v>
      </c>
      <c r="L49" s="1" t="str">
        <f ca="1">IFERROR(__xludf.DUMMYFUNCTION("""COMPUTED_VALUE"""),"Employer who pushes your limits by enabling an learning environment, and rewards you at the end")</f>
        <v>Employer who pushes your limits by enabling an learning environment, and rewards you at the end</v>
      </c>
      <c r="M49" s="1" t="str">
        <f ca="1">IFERROR(__xludf.DUMMYFUNCTION("""COMPUTED_VALUE"""),"Self Paced Learning Portals, Instructor or Expert Learning Programs")</f>
        <v>Self Paced Learning Portals, Instructor or Expert Learning Programs</v>
      </c>
      <c r="N49"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49" s="1" t="str">
        <f ca="1">IFERROR(__xludf.DUMMYFUNCTION("""COMPUTED_VALUE"""),"Manager who sets goal and helps me achieve it")</f>
        <v>Manager who sets goal and helps me achieve it</v>
      </c>
      <c r="P49" s="1" t="str">
        <f ca="1">IFERROR(__xludf.DUMMYFUNCTION("""COMPUTED_VALUE"""),"Work alone, Work with more than 10 people in my team")</f>
        <v>Work alone, Work with more than 10 people in my team</v>
      </c>
      <c r="Q49" s="1"/>
    </row>
    <row r="50" spans="1:17" ht="13.2" x14ac:dyDescent="0.25">
      <c r="A50" s="2">
        <f ca="1">IFERROR(__xludf.DUMMYFUNCTION("""COMPUTED_VALUE"""),44911.6565905324)</f>
        <v>44911.656590532402</v>
      </c>
      <c r="B50" s="1" t="str">
        <f ca="1">IFERROR(__xludf.DUMMYFUNCTION("""COMPUTED_VALUE"""),"India")</f>
        <v>India</v>
      </c>
      <c r="C50" s="1">
        <f ca="1">IFERROR(__xludf.DUMMYFUNCTION("""COMPUTED_VALUE"""),600064)</f>
        <v>600064</v>
      </c>
      <c r="D50" s="3" t="str">
        <f ca="1">IFERROR(__xludf.DUMMYFUNCTION("""COMPUTED_VALUE"""),"Female")</f>
        <v>Female</v>
      </c>
      <c r="E50" s="1" t="str">
        <f ca="1">IFERROR(__xludf.DUMMYFUNCTION("""COMPUTED_VALUE"""),"People from my circle, but not family members")</f>
        <v>People from my circle, but not family members</v>
      </c>
      <c r="F50" s="1" t="str">
        <f ca="1">IFERROR(__xludf.DUMMYFUNCTION("""COMPUTED_VALUE"""),"No I would not be pursuing Higher Education outside of India")</f>
        <v>No I would not be pursuing Higher Education outside of India</v>
      </c>
      <c r="G50" s="1" t="str">
        <f ca="1">IFERROR(__xludf.DUMMYFUNCTION("""COMPUTED_VALUE"""),"Will work for 3 years or more")</f>
        <v>Will work for 3 years or more</v>
      </c>
      <c r="H50" s="1" t="str">
        <f ca="1">IFERROR(__xludf.DUMMYFUNCTION("""COMPUTED_VALUE"""),"No")</f>
        <v>No</v>
      </c>
      <c r="I50" s="1" t="str">
        <f ca="1">IFERROR(__xludf.DUMMYFUNCTION("""COMPUTED_VALUE"""),"Will work for them")</f>
        <v>Will work for them</v>
      </c>
      <c r="J50" s="1">
        <f ca="1">IFERROR(__xludf.DUMMYFUNCTION("""COMPUTED_VALUE"""),3)</f>
        <v>3</v>
      </c>
      <c r="K50" s="1" t="str">
        <f ca="1">IFERROR(__xludf.DUMMYFUNCTION("""COMPUTED_VALUE"""),"Hybrid Working Environment with less than 15 days a month at office")</f>
        <v>Hybrid Working Environment with less than 15 days a month at office</v>
      </c>
      <c r="L50" s="1" t="str">
        <f ca="1">IFERROR(__xludf.DUMMYFUNCTION("""COMPUTED_VALUE"""),"Employer who pushes your limits by enabling an learning environment, and rewards you at the end")</f>
        <v>Employer who pushes your limits by enabling an learning environment, and rewards you at the end</v>
      </c>
      <c r="M50" s="1" t="str">
        <f ca="1">IFERROR(__xludf.DUMMYFUNCTION("""COMPUTED_VALUE"""),"Instructor or Expert Learning Programs, Learning by observing others")</f>
        <v>Instructor or Expert Learning Programs, Learning by observing others</v>
      </c>
      <c r="N50" s="1" t="str">
        <f ca="1">IFERROR(__xludf.DUMMYFUNCTION("""COMPUTED_VALUE"""),"Design and Creative strategy in any company, Build and develop a Team, Design and Develop amazing software")</f>
        <v>Design and Creative strategy in any company, Build and develop a Team, Design and Develop amazing software</v>
      </c>
      <c r="O50" s="1" t="str">
        <f ca="1">IFERROR(__xludf.DUMMYFUNCTION("""COMPUTED_VALUE"""),"Manager who explains what is expected, sets a goal and helps achieve it")</f>
        <v>Manager who explains what is expected, sets a goal and helps achieve it</v>
      </c>
      <c r="P50" s="1" t="str">
        <f ca="1">IFERROR(__xludf.DUMMYFUNCTION("""COMPUTED_VALUE"""),"Work with 5 to 6 people in my team")</f>
        <v>Work with 5 to 6 people in my team</v>
      </c>
      <c r="Q50" s="1"/>
    </row>
    <row r="51" spans="1:17" ht="13.2" x14ac:dyDescent="0.25">
      <c r="A51" s="2">
        <f ca="1">IFERROR(__xludf.DUMMYFUNCTION("""COMPUTED_VALUE"""),44911.6580789699)</f>
        <v>44911.6580789699</v>
      </c>
      <c r="B51" s="1" t="str">
        <f ca="1">IFERROR(__xludf.DUMMYFUNCTION("""COMPUTED_VALUE"""),"India")</f>
        <v>India</v>
      </c>
      <c r="C51" s="1">
        <f ca="1">IFERROR(__xludf.DUMMYFUNCTION("""COMPUTED_VALUE"""),600129)</f>
        <v>600129</v>
      </c>
      <c r="D51" s="3" t="str">
        <f ca="1">IFERROR(__xludf.DUMMYFUNCTION("""COMPUTED_VALUE"""),"Female")</f>
        <v>Female</v>
      </c>
      <c r="E51" s="1" t="str">
        <f ca="1">IFERROR(__xludf.DUMMYFUNCTION("""COMPUTED_VALUE"""),"Influencers who had successful careers")</f>
        <v>Influencers who had successful careers</v>
      </c>
      <c r="F51" s="1" t="str">
        <f ca="1">IFERROR(__xludf.DUMMYFUNCTION("""COMPUTED_VALUE"""),"No I would not be pursuing Higher Education outside of India")</f>
        <v>No I would not be pursuing Higher Education outside of India</v>
      </c>
      <c r="G51" s="1" t="str">
        <f ca="1">IFERROR(__xludf.DUMMYFUNCTION("""COMPUTED_VALUE"""),"Will work for 3 years or more")</f>
        <v>Will work for 3 years or more</v>
      </c>
      <c r="H51" s="1" t="str">
        <f ca="1">IFERROR(__xludf.DUMMYFUNCTION("""COMPUTED_VALUE"""),"Yes")</f>
        <v>Yes</v>
      </c>
      <c r="I51" s="1" t="str">
        <f ca="1">IFERROR(__xludf.DUMMYFUNCTION("""COMPUTED_VALUE"""),"Will work for them")</f>
        <v>Will work for them</v>
      </c>
      <c r="J51" s="1">
        <f ca="1">IFERROR(__xludf.DUMMYFUNCTION("""COMPUTED_VALUE"""),5)</f>
        <v>5</v>
      </c>
      <c r="K51" s="1" t="str">
        <f ca="1">IFERROR(__xludf.DUMMYFUNCTION("""COMPUTED_VALUE"""),"Hybrid Working Environment with less than 10 days a month at office")</f>
        <v>Hybrid Working Environment with less than 10 days a month at office</v>
      </c>
      <c r="L51" s="1" t="str">
        <f ca="1">IFERROR(__xludf.DUMMYFUNCTION("""COMPUTED_VALUE"""),"Employer who rewards learning and enables that environment")</f>
        <v>Employer who rewards learning and enables that environment</v>
      </c>
      <c r="M51" s="1" t="str">
        <f ca="1">IFERROR(__xludf.DUMMYFUNCTION("""COMPUTED_VALUE"""),"Learning by observing others, Trial and error by doing side projects within the company")</f>
        <v>Learning by observing others, Trial and error by doing side projects within the company</v>
      </c>
      <c r="N51"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51" s="1" t="str">
        <f ca="1">IFERROR(__xludf.DUMMYFUNCTION("""COMPUTED_VALUE"""),"Manager who explains what is expected, sets a goal and helps achieve it")</f>
        <v>Manager who explains what is expected, sets a goal and helps achieve it</v>
      </c>
      <c r="P51" s="1" t="str">
        <f ca="1">IFERROR(__xludf.DUMMYFUNCTION("""COMPUTED_VALUE"""),"Work with 5 to 6 people in my team")</f>
        <v>Work with 5 to 6 people in my team</v>
      </c>
      <c r="Q51" s="1"/>
    </row>
    <row r="52" spans="1:17" ht="13.2" x14ac:dyDescent="0.25">
      <c r="A52" s="2">
        <f ca="1">IFERROR(__xludf.DUMMYFUNCTION("""COMPUTED_VALUE"""),44911.6606264467)</f>
        <v>44911.660626446697</v>
      </c>
      <c r="B52" s="1" t="str">
        <f ca="1">IFERROR(__xludf.DUMMYFUNCTION("""COMPUTED_VALUE"""),"India")</f>
        <v>India</v>
      </c>
      <c r="C52" s="1">
        <f ca="1">IFERROR(__xludf.DUMMYFUNCTION("""COMPUTED_VALUE"""),263126)</f>
        <v>263126</v>
      </c>
      <c r="D52" s="3" t="str">
        <f ca="1">IFERROR(__xludf.DUMMYFUNCTION("""COMPUTED_VALUE"""),"Male")</f>
        <v>Male</v>
      </c>
      <c r="E52" s="1" t="str">
        <f ca="1">IFERROR(__xludf.DUMMYFUNCTION("""COMPUTED_VALUE"""),"Social Media like LinkedIn")</f>
        <v>Social Media like LinkedIn</v>
      </c>
      <c r="F52" s="1" t="str">
        <f ca="1">IFERROR(__xludf.DUMMYFUNCTION("""COMPUTED_VALUE"""),"Yes, I will earn and do that")</f>
        <v>Yes, I will earn and do that</v>
      </c>
      <c r="G52" s="1" t="str">
        <f ca="1">IFERROR(__xludf.DUMMYFUNCTION("""COMPUTED_VALUE"""),"This will be hard to do, but if it is the right company I would try")</f>
        <v>This will be hard to do, but if it is the right company I would try</v>
      </c>
      <c r="H52" s="1" t="str">
        <f ca="1">IFERROR(__xludf.DUMMYFUNCTION("""COMPUTED_VALUE"""),"Yes")</f>
        <v>Yes</v>
      </c>
      <c r="I52" s="1" t="str">
        <f ca="1">IFERROR(__xludf.DUMMYFUNCTION("""COMPUTED_VALUE"""),"Will NOT work for them")</f>
        <v>Will NOT work for them</v>
      </c>
      <c r="J52" s="1">
        <f ca="1">IFERROR(__xludf.DUMMYFUNCTION("""COMPUTED_VALUE"""),6)</f>
        <v>6</v>
      </c>
      <c r="K52" s="1" t="str">
        <f ca="1">IFERROR(__xludf.DUMMYFUNCTION("""COMPUTED_VALUE"""),"Hybrid Working Environment with less than 3 days a month at office")</f>
        <v>Hybrid Working Environment with less than 3 days a month at office</v>
      </c>
      <c r="L52" s="1" t="str">
        <f ca="1">IFERROR(__xludf.DUMMYFUNCTION("""COMPUTED_VALUE"""),"Employer who rewards learning and enables that environment")</f>
        <v>Employer who rewards learning and enables that environment</v>
      </c>
      <c r="M52" s="1" t="str">
        <f ca="1">IFERROR(__xludf.DUMMYFUNCTION("""COMPUTED_VALUE"""),"Self Paced Learning Portals, Instructor or Expert Learning Programs")</f>
        <v>Self Paced Learning Portals, Instructor or Expert Learning Programs</v>
      </c>
      <c r="N5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52" s="1" t="str">
        <f ca="1">IFERROR(__xludf.DUMMYFUNCTION("""COMPUTED_VALUE"""),"Manager who explains what is expected, sets a goal and helps achieve it")</f>
        <v>Manager who explains what is expected, sets a goal and helps achieve it</v>
      </c>
      <c r="P52" s="1" t="str">
        <f ca="1">IFERROR(__xludf.DUMMYFUNCTION("""COMPUTED_VALUE"""),"Work with more than 10 people in my team")</f>
        <v>Work with more than 10 people in my team</v>
      </c>
      <c r="Q52" s="1"/>
    </row>
    <row r="53" spans="1:17" ht="13.2" x14ac:dyDescent="0.25">
      <c r="A53" s="2">
        <f ca="1">IFERROR(__xludf.DUMMYFUNCTION("""COMPUTED_VALUE"""),44911.66313375)</f>
        <v>44911.66313375</v>
      </c>
      <c r="B53" s="1" t="str">
        <f ca="1">IFERROR(__xludf.DUMMYFUNCTION("""COMPUTED_VALUE"""),"India")</f>
        <v>India</v>
      </c>
      <c r="C53" s="1">
        <f ca="1">IFERROR(__xludf.DUMMYFUNCTION("""COMPUTED_VALUE"""),781008)</f>
        <v>781008</v>
      </c>
      <c r="D53" s="3" t="str">
        <f ca="1">IFERROR(__xludf.DUMMYFUNCTION("""COMPUTED_VALUE"""),"Male")</f>
        <v>Male</v>
      </c>
      <c r="E53" s="1" t="str">
        <f ca="1">IFERROR(__xludf.DUMMYFUNCTION("""COMPUTED_VALUE"""),"People from my circle, but not family members")</f>
        <v>People from my circle, but not family members</v>
      </c>
      <c r="F53" s="1" t="str">
        <f ca="1">IFERROR(__xludf.DUMMYFUNCTION("""COMPUTED_VALUE"""),"Yes, I will earn and do that")</f>
        <v>Yes, I will earn and do that</v>
      </c>
      <c r="G53" s="1" t="str">
        <f ca="1">IFERROR(__xludf.DUMMYFUNCTION("""COMPUTED_VALUE"""),"This will be hard to do, but if it is the right company I would try")</f>
        <v>This will be hard to do, but if it is the right company I would try</v>
      </c>
      <c r="H53" s="1" t="str">
        <f ca="1">IFERROR(__xludf.DUMMYFUNCTION("""COMPUTED_VALUE"""),"No")</f>
        <v>No</v>
      </c>
      <c r="I53" s="1" t="str">
        <f ca="1">IFERROR(__xludf.DUMMYFUNCTION("""COMPUTED_VALUE"""),"Will NOT work for them")</f>
        <v>Will NOT work for them</v>
      </c>
      <c r="J53" s="1">
        <f ca="1">IFERROR(__xludf.DUMMYFUNCTION("""COMPUTED_VALUE"""),5)</f>
        <v>5</v>
      </c>
      <c r="K53" s="1" t="str">
        <f ca="1">IFERROR(__xludf.DUMMYFUNCTION("""COMPUTED_VALUE"""),"Fully Remote with Options to travel as and when needed")</f>
        <v>Fully Remote with Options to travel as and when needed</v>
      </c>
      <c r="L53" s="1" t="str">
        <f ca="1">IFERROR(__xludf.DUMMYFUNCTION("""COMPUTED_VALUE"""),"Employer who pushes your limits by enabling an learning environment, and rewards you at the end")</f>
        <v>Employer who pushes your limits by enabling an learning environment, and rewards you at the end</v>
      </c>
      <c r="M53" s="1" t="str">
        <f ca="1">IFERROR(__xludf.DUMMYFUNCTION("""COMPUTED_VALUE"""),"Instructor or Expert Learning Programs, Trial and error by doing side projects within the company")</f>
        <v>Instructor or Expert Learning Programs, Trial and error by doing side projects within the company</v>
      </c>
      <c r="N53" s="1" t="str">
        <f ca="1">IFERROR(__xludf.DUMMYFUNCTION("""COMPUTED_VALUE"""),"Build and develop a Team, Look deeply into Data and generate insights, Become a content Creator in some platform")</f>
        <v>Build and develop a Team, Look deeply into Data and generate insights, Become a content Creator in some platform</v>
      </c>
      <c r="O53" s="1" t="str">
        <f ca="1">IFERROR(__xludf.DUMMYFUNCTION("""COMPUTED_VALUE"""),"Manager who sets goal and helps me achieve it")</f>
        <v>Manager who sets goal and helps me achieve it</v>
      </c>
      <c r="P53" s="1" t="str">
        <f ca="1">IFERROR(__xludf.DUMMYFUNCTION("""COMPUTED_VALUE"""),"Work with 2 to 3 people in my team, Work with 5 to 6 people in my team")</f>
        <v>Work with 2 to 3 people in my team, Work with 5 to 6 people in my team</v>
      </c>
      <c r="Q53" s="1"/>
    </row>
    <row r="54" spans="1:17" ht="13.2" x14ac:dyDescent="0.25">
      <c r="A54" s="2">
        <f ca="1">IFERROR(__xludf.DUMMYFUNCTION("""COMPUTED_VALUE"""),44911.6648083217)</f>
        <v>44911.664808321701</v>
      </c>
      <c r="B54" s="1" t="str">
        <f ca="1">IFERROR(__xludf.DUMMYFUNCTION("""COMPUTED_VALUE"""),"India")</f>
        <v>India</v>
      </c>
      <c r="C54" s="1">
        <f ca="1">IFERROR(__xludf.DUMMYFUNCTION("""COMPUTED_VALUE"""),785001)</f>
        <v>785001</v>
      </c>
      <c r="D54" s="3" t="str">
        <f ca="1">IFERROR(__xludf.DUMMYFUNCTION("""COMPUTED_VALUE"""),"Male")</f>
        <v>Male</v>
      </c>
      <c r="E54" s="1" t="str">
        <f ca="1">IFERROR(__xludf.DUMMYFUNCTION("""COMPUTED_VALUE"""),"People who have changed the world for better")</f>
        <v>People who have changed the world for better</v>
      </c>
      <c r="F54" s="1" t="str">
        <f ca="1">IFERROR(__xludf.DUMMYFUNCTION("""COMPUTED_VALUE"""),"Yes, I will earn and do that")</f>
        <v>Yes, I will earn and do that</v>
      </c>
      <c r="G54" s="1" t="str">
        <f ca="1">IFERROR(__xludf.DUMMYFUNCTION("""COMPUTED_VALUE"""),"This will be hard to do, but if it is the right company I would try")</f>
        <v>This will be hard to do, but if it is the right company I would try</v>
      </c>
      <c r="H54" s="1" t="str">
        <f ca="1">IFERROR(__xludf.DUMMYFUNCTION("""COMPUTED_VALUE"""),"Yes")</f>
        <v>Yes</v>
      </c>
      <c r="I54" s="1" t="str">
        <f ca="1">IFERROR(__xludf.DUMMYFUNCTION("""COMPUTED_VALUE"""),"Will work for them")</f>
        <v>Will work for them</v>
      </c>
      <c r="J54" s="1">
        <f ca="1">IFERROR(__xludf.DUMMYFUNCTION("""COMPUTED_VALUE"""),7)</f>
        <v>7</v>
      </c>
      <c r="K54" s="1" t="str">
        <f ca="1">IFERROR(__xludf.DUMMYFUNCTION("""COMPUTED_VALUE"""),"Hybrid Working Environment with less than 10 days a month at office")</f>
        <v>Hybrid Working Environment with less than 10 days a month at office</v>
      </c>
      <c r="L54" s="1" t="str">
        <f ca="1">IFERROR(__xludf.DUMMYFUNCTION("""COMPUTED_VALUE"""),"Employer who rewards learning and enables that environment")</f>
        <v>Employer who rewards learning and enables that environment</v>
      </c>
      <c r="M54" s="1" t="str">
        <f ca="1">IFERROR(__xludf.DUMMYFUNCTION("""COMPUTED_VALUE"""),"Self Paced Learning Portals, Instructor or Expert Learning Programs")</f>
        <v>Self Paced Learning Portals, Instructor or Expert Learning Programs</v>
      </c>
      <c r="N54"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4" s="1" t="str">
        <f ca="1">IFERROR(__xludf.DUMMYFUNCTION("""COMPUTED_VALUE"""),"Manager who sets goal and helps me achieve it")</f>
        <v>Manager who sets goal and helps me achieve it</v>
      </c>
      <c r="P54" s="1" t="str">
        <f ca="1">IFERROR(__xludf.DUMMYFUNCTION("""COMPUTED_VALUE"""),"Work alone, Work with 2 to 3 people in my team")</f>
        <v>Work alone, Work with 2 to 3 people in my team</v>
      </c>
      <c r="Q54" s="1"/>
    </row>
    <row r="55" spans="1:17" ht="13.2" x14ac:dyDescent="0.25">
      <c r="A55" s="2">
        <f ca="1">IFERROR(__xludf.DUMMYFUNCTION("""COMPUTED_VALUE"""),44911.6666351736)</f>
        <v>44911.666635173598</v>
      </c>
      <c r="B55" s="1" t="str">
        <f ca="1">IFERROR(__xludf.DUMMYFUNCTION("""COMPUTED_VALUE"""),"India")</f>
        <v>India</v>
      </c>
      <c r="C55" s="1">
        <f ca="1">IFERROR(__xludf.DUMMYFUNCTION("""COMPUTED_VALUE"""),629004)</f>
        <v>629004</v>
      </c>
      <c r="D55" s="3" t="str">
        <f ca="1">IFERROR(__xludf.DUMMYFUNCTION("""COMPUTED_VALUE"""),"Male")</f>
        <v>Male</v>
      </c>
      <c r="E55" s="1" t="str">
        <f ca="1">IFERROR(__xludf.DUMMYFUNCTION("""COMPUTED_VALUE"""),"People who have changed the world for better")</f>
        <v>People who have changed the world for better</v>
      </c>
      <c r="F55" s="1" t="str">
        <f ca="1">IFERROR(__xludf.DUMMYFUNCTION("""COMPUTED_VALUE"""),"No, But if someone could bare the cost I will")</f>
        <v>No, But if someone could bare the cost I will</v>
      </c>
      <c r="G55" s="1" t="str">
        <f ca="1">IFERROR(__xludf.DUMMYFUNCTION("""COMPUTED_VALUE"""),"Will work for 3 years or more")</f>
        <v>Will work for 3 years or more</v>
      </c>
      <c r="H55" s="1" t="str">
        <f ca="1">IFERROR(__xludf.DUMMYFUNCTION("""COMPUTED_VALUE"""),"Yes")</f>
        <v>Yes</v>
      </c>
      <c r="I55" s="1" t="str">
        <f ca="1">IFERROR(__xludf.DUMMYFUNCTION("""COMPUTED_VALUE"""),"Will NOT work for them")</f>
        <v>Will NOT work for them</v>
      </c>
      <c r="J55" s="1">
        <f ca="1">IFERROR(__xludf.DUMMYFUNCTION("""COMPUTED_VALUE"""),10)</f>
        <v>10</v>
      </c>
      <c r="K55" s="1" t="str">
        <f ca="1">IFERROR(__xludf.DUMMYFUNCTION("""COMPUTED_VALUE"""),"Fully Remote with Options to travel as and when needed")</f>
        <v>Fully Remote with Options to travel as and when needed</v>
      </c>
      <c r="L55" s="1" t="str">
        <f ca="1">IFERROR(__xludf.DUMMYFUNCTION("""COMPUTED_VALUE"""),"Employer who pushes your limits by enabling an learning environment, and rewards you at the end")</f>
        <v>Employer who pushes your limits by enabling an learning environment, and rewards you at the end</v>
      </c>
      <c r="M55" s="1" t="str">
        <f ca="1">IFERROR(__xludf.DUMMYFUNCTION("""COMPUTED_VALUE"""),"Instructor or Expert Learning Programs, Trial and error by doing side projects within the company")</f>
        <v>Instructor or Expert Learning Programs, Trial and error by doing side projects within the company</v>
      </c>
      <c r="N55"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55" s="1" t="str">
        <f ca="1">IFERROR(__xludf.DUMMYFUNCTION("""COMPUTED_VALUE"""),"Manager who explains what is expected, sets a goal and helps achieve it")</f>
        <v>Manager who explains what is expected, sets a goal and helps achieve it</v>
      </c>
      <c r="P5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5" s="1"/>
    </row>
    <row r="56" spans="1:17" ht="13.2" x14ac:dyDescent="0.25">
      <c r="A56" s="2">
        <f ca="1">IFERROR(__xludf.DUMMYFUNCTION("""COMPUTED_VALUE"""),44911.6707843634)</f>
        <v>44911.670784363399</v>
      </c>
      <c r="B56" s="1" t="str">
        <f ca="1">IFERROR(__xludf.DUMMYFUNCTION("""COMPUTED_VALUE"""),"India")</f>
        <v>India</v>
      </c>
      <c r="C56" s="1">
        <f ca="1">IFERROR(__xludf.DUMMYFUNCTION("""COMPUTED_VALUE"""),600089)</f>
        <v>600089</v>
      </c>
      <c r="D56" s="3" t="str">
        <f ca="1">IFERROR(__xludf.DUMMYFUNCTION("""COMPUTED_VALUE"""),"Male")</f>
        <v>Male</v>
      </c>
      <c r="E56" s="1" t="str">
        <f ca="1">IFERROR(__xludf.DUMMYFUNCTION("""COMPUTED_VALUE"""),"My Parents")</f>
        <v>My Parents</v>
      </c>
      <c r="F56" s="1" t="str">
        <f ca="1">IFERROR(__xludf.DUMMYFUNCTION("""COMPUTED_VALUE"""),"Yes, I will earn and do that")</f>
        <v>Yes, I will earn and do that</v>
      </c>
      <c r="G56" s="1" t="str">
        <f ca="1">IFERROR(__xludf.DUMMYFUNCTION("""COMPUTED_VALUE"""),"Will work for 3 years or more")</f>
        <v>Will work for 3 years or more</v>
      </c>
      <c r="H56" s="1" t="str">
        <f ca="1">IFERROR(__xludf.DUMMYFUNCTION("""COMPUTED_VALUE"""),"No")</f>
        <v>No</v>
      </c>
      <c r="I56" s="1" t="str">
        <f ca="1">IFERROR(__xludf.DUMMYFUNCTION("""COMPUTED_VALUE"""),"Will NOT work for them")</f>
        <v>Will NOT work for them</v>
      </c>
      <c r="J56" s="1">
        <f ca="1">IFERROR(__xludf.DUMMYFUNCTION("""COMPUTED_VALUE"""),4)</f>
        <v>4</v>
      </c>
      <c r="K56" s="1" t="str">
        <f ca="1">IFERROR(__xludf.DUMMYFUNCTION("""COMPUTED_VALUE"""),"Every Day Office Environment")</f>
        <v>Every Day Office Environment</v>
      </c>
      <c r="L56" s="1" t="str">
        <f ca="1">IFERROR(__xludf.DUMMYFUNCTION("""COMPUTED_VALUE"""),"Employer who pushes your limits and doesn't enables learning environment and never rewards you")</f>
        <v>Employer who pushes your limits and doesn't enables learning environment and never rewards you</v>
      </c>
      <c r="M56" s="1" t="str">
        <f ca="1">IFERROR(__xludf.DUMMYFUNCTION("""COMPUTED_VALUE"""),"Instructor or Expert Learning Programs, Learning by observing others")</f>
        <v>Instructor or Expert Learning Programs, Learning by observing others</v>
      </c>
      <c r="N56"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56" s="1" t="str">
        <f ca="1">IFERROR(__xludf.DUMMYFUNCTION("""COMPUTED_VALUE"""),"Manager who explains what is expected, sets a goal and helps achieve it")</f>
        <v>Manager who explains what is expected, sets a goal and helps achieve it</v>
      </c>
      <c r="P56" s="1" t="str">
        <f ca="1">IFERROR(__xludf.DUMMYFUNCTION("""COMPUTED_VALUE"""),"Work with 7 to 10 or more people in my team")</f>
        <v>Work with 7 to 10 or more people in my team</v>
      </c>
      <c r="Q56" s="1"/>
    </row>
    <row r="57" spans="1:17" ht="13.2" x14ac:dyDescent="0.25">
      <c r="A57" s="2">
        <f ca="1">IFERROR(__xludf.DUMMYFUNCTION("""COMPUTED_VALUE"""),44911.672133831)</f>
        <v>44911.672133831002</v>
      </c>
      <c r="B57" s="1" t="str">
        <f ca="1">IFERROR(__xludf.DUMMYFUNCTION("""COMPUTED_VALUE"""),"India")</f>
        <v>India</v>
      </c>
      <c r="C57" s="1">
        <f ca="1">IFERROR(__xludf.DUMMYFUNCTION("""COMPUTED_VALUE"""),500005)</f>
        <v>500005</v>
      </c>
      <c r="D57" s="3" t="str">
        <f ca="1">IFERROR(__xludf.DUMMYFUNCTION("""COMPUTED_VALUE"""),"Male")</f>
        <v>Male</v>
      </c>
      <c r="E57" s="1" t="str">
        <f ca="1">IFERROR(__xludf.DUMMYFUNCTION("""COMPUTED_VALUE"""),"People who have changed the world for better")</f>
        <v>People who have changed the world for better</v>
      </c>
      <c r="F57" s="1" t="str">
        <f ca="1">IFERROR(__xludf.DUMMYFUNCTION("""COMPUTED_VALUE"""),"No, But if someone could bare the cost I will")</f>
        <v>No, But if someone could bare the cost I will</v>
      </c>
      <c r="G57" s="1" t="str">
        <f ca="1">IFERROR(__xludf.DUMMYFUNCTION("""COMPUTED_VALUE"""),"This will be hard to do, but if it is the right company I would try")</f>
        <v>This will be hard to do, but if it is the right company I would try</v>
      </c>
      <c r="H57" s="1" t="str">
        <f ca="1">IFERROR(__xludf.DUMMYFUNCTION("""COMPUTED_VALUE"""),"Yes")</f>
        <v>Yes</v>
      </c>
      <c r="I57" s="1" t="str">
        <f ca="1">IFERROR(__xludf.DUMMYFUNCTION("""COMPUTED_VALUE"""),"Will NOT work for them")</f>
        <v>Will NOT work for them</v>
      </c>
      <c r="J57" s="1">
        <f ca="1">IFERROR(__xludf.DUMMYFUNCTION("""COMPUTED_VALUE"""),5)</f>
        <v>5</v>
      </c>
      <c r="K57" s="1" t="str">
        <f ca="1">IFERROR(__xludf.DUMMYFUNCTION("""COMPUTED_VALUE"""),"Fully Remote with Options to travel as and when needed")</f>
        <v>Fully Remote with Options to travel as and when needed</v>
      </c>
      <c r="L57" s="1" t="str">
        <f ca="1">IFERROR(__xludf.DUMMYFUNCTION("""COMPUTED_VALUE"""),"Employer who pushes your limits by enabling an learning environment, and rewards you at the end")</f>
        <v>Employer who pushes your limits by enabling an learning environment, and rewards you at the end</v>
      </c>
      <c r="M57" s="1" t="str">
        <f ca="1">IFERROR(__xludf.DUMMYFUNCTION("""COMPUTED_VALUE"""),"Instructor or Expert Learning Programs, Trial and error by doing side projects within the company")</f>
        <v>Instructor or Expert Learning Programs, Trial and error by doing side projects within the company</v>
      </c>
      <c r="N5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7" s="1" t="str">
        <f ca="1">IFERROR(__xludf.DUMMYFUNCTION("""COMPUTED_VALUE"""),"Manager who explains what is expected, sets a goal and helps achieve it")</f>
        <v>Manager who explains what is expected, sets a goal and helps achieve it</v>
      </c>
      <c r="P57" s="1" t="str">
        <f ca="1">IFERROR(__xludf.DUMMYFUNCTION("""COMPUTED_VALUE"""),"Work alone, Work with 2 to 3 people in my team")</f>
        <v>Work alone, Work with 2 to 3 people in my team</v>
      </c>
      <c r="Q57" s="1"/>
    </row>
    <row r="58" spans="1:17" ht="13.2" x14ac:dyDescent="0.25">
      <c r="A58" s="2">
        <f ca="1">IFERROR(__xludf.DUMMYFUNCTION("""COMPUTED_VALUE"""),44911.6725040393)</f>
        <v>44911.672504039299</v>
      </c>
      <c r="B58" s="1" t="str">
        <f ca="1">IFERROR(__xludf.DUMMYFUNCTION("""COMPUTED_VALUE"""),"India")</f>
        <v>India</v>
      </c>
      <c r="C58" s="1">
        <f ca="1">IFERROR(__xludf.DUMMYFUNCTION("""COMPUTED_VALUE"""),452007)</f>
        <v>452007</v>
      </c>
      <c r="D58" s="3" t="str">
        <f ca="1">IFERROR(__xludf.DUMMYFUNCTION("""COMPUTED_VALUE"""),"Male")</f>
        <v>Male</v>
      </c>
      <c r="E58" s="1" t="str">
        <f ca="1">IFERROR(__xludf.DUMMYFUNCTION("""COMPUTED_VALUE"""),"My Parents")</f>
        <v>My Parents</v>
      </c>
      <c r="F58" s="1" t="str">
        <f ca="1">IFERROR(__xludf.DUMMYFUNCTION("""COMPUTED_VALUE"""),"No, But if someone could bare the cost I will")</f>
        <v>No, But if someone could bare the cost I will</v>
      </c>
      <c r="G58" s="1" t="str">
        <f ca="1">IFERROR(__xludf.DUMMYFUNCTION("""COMPUTED_VALUE"""),"This will be hard to do, but if it is the right company I would try")</f>
        <v>This will be hard to do, but if it is the right company I would try</v>
      </c>
      <c r="H58" s="1" t="str">
        <f ca="1">IFERROR(__xludf.DUMMYFUNCTION("""COMPUTED_VALUE"""),"No")</f>
        <v>No</v>
      </c>
      <c r="I58" s="1" t="str">
        <f ca="1">IFERROR(__xludf.DUMMYFUNCTION("""COMPUTED_VALUE"""),"Will NOT work for them")</f>
        <v>Will NOT work for them</v>
      </c>
      <c r="J58" s="1">
        <f ca="1">IFERROR(__xludf.DUMMYFUNCTION("""COMPUTED_VALUE"""),4)</f>
        <v>4</v>
      </c>
      <c r="K58" s="1" t="str">
        <f ca="1">IFERROR(__xludf.DUMMYFUNCTION("""COMPUTED_VALUE"""),"Fully Remote with Options to travel as and when needed")</f>
        <v>Fully Remote with Options to travel as and when needed</v>
      </c>
      <c r="L58" s="1" t="str">
        <f ca="1">IFERROR(__xludf.DUMMYFUNCTION("""COMPUTED_VALUE"""),"Employer who pushes your limits by enabling an learning environment, and rewards you at the end")</f>
        <v>Employer who pushes your limits by enabling an learning environment, and rewards you at the end</v>
      </c>
      <c r="M58" s="1" t="str">
        <f ca="1">IFERROR(__xludf.DUMMYFUNCTION("""COMPUTED_VALUE"""),"Instructor or Expert Learning Programs, Trial and error by doing side projects within the company")</f>
        <v>Instructor or Expert Learning Programs, Trial and error by doing side projects within the company</v>
      </c>
      <c r="N5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58" s="1" t="str">
        <f ca="1">IFERROR(__xludf.DUMMYFUNCTION("""COMPUTED_VALUE"""),"Manager who clearly describes what she/he needs")</f>
        <v>Manager who clearly describes what she/he needs</v>
      </c>
      <c r="P58" s="1" t="str">
        <f ca="1">IFERROR(__xludf.DUMMYFUNCTION("""COMPUTED_VALUE"""),"Work with 5 to 6 people in my team")</f>
        <v>Work with 5 to 6 people in my team</v>
      </c>
      <c r="Q58" s="1"/>
    </row>
    <row r="59" spans="1:17" ht="13.2" x14ac:dyDescent="0.25">
      <c r="A59" s="2">
        <f ca="1">IFERROR(__xludf.DUMMYFUNCTION("""COMPUTED_VALUE"""),44911.6803639004)</f>
        <v>44911.680363900399</v>
      </c>
      <c r="B59" s="1" t="str">
        <f ca="1">IFERROR(__xludf.DUMMYFUNCTION("""COMPUTED_VALUE"""),"India")</f>
        <v>India</v>
      </c>
      <c r="C59" s="1">
        <f ca="1">IFERROR(__xludf.DUMMYFUNCTION("""COMPUTED_VALUE"""),782001)</f>
        <v>782001</v>
      </c>
      <c r="D59" s="3" t="str">
        <f ca="1">IFERROR(__xludf.DUMMYFUNCTION("""COMPUTED_VALUE"""),"Male")</f>
        <v>Male</v>
      </c>
      <c r="E59" s="1" t="str">
        <f ca="1">IFERROR(__xludf.DUMMYFUNCTION("""COMPUTED_VALUE"""),"People who have changed the world for better")</f>
        <v>People who have changed the world for better</v>
      </c>
      <c r="F59" s="1" t="str">
        <f ca="1">IFERROR(__xludf.DUMMYFUNCTION("""COMPUTED_VALUE"""),"No I would not be pursuing Higher Education outside of India")</f>
        <v>No I would not be pursuing Higher Education outside of India</v>
      </c>
      <c r="G59" s="1" t="str">
        <f ca="1">IFERROR(__xludf.DUMMYFUNCTION("""COMPUTED_VALUE"""),"This will be hard to do, but if it is the right company I would try")</f>
        <v>This will be hard to do, but if it is the right company I would try</v>
      </c>
      <c r="H59" s="1" t="str">
        <f ca="1">IFERROR(__xludf.DUMMYFUNCTION("""COMPUTED_VALUE"""),"Yes")</f>
        <v>Yes</v>
      </c>
      <c r="I59" s="1" t="str">
        <f ca="1">IFERROR(__xludf.DUMMYFUNCTION("""COMPUTED_VALUE"""),"Will work for them")</f>
        <v>Will work for them</v>
      </c>
      <c r="J59" s="1">
        <f ca="1">IFERROR(__xludf.DUMMYFUNCTION("""COMPUTED_VALUE"""),6)</f>
        <v>6</v>
      </c>
      <c r="K59" s="1" t="str">
        <f ca="1">IFERROR(__xludf.DUMMYFUNCTION("""COMPUTED_VALUE"""),"Fully Remote with No option to visit offices")</f>
        <v>Fully Remote with No option to visit offices</v>
      </c>
      <c r="L59" s="1" t="str">
        <f ca="1">IFERROR(__xludf.DUMMYFUNCTION("""COMPUTED_VALUE"""),"Employer who appreciates learning and enables that environment")</f>
        <v>Employer who appreciates learning and enables that environment</v>
      </c>
      <c r="M59" s="1" t="str">
        <f ca="1">IFERROR(__xludf.DUMMYFUNCTION("""COMPUTED_VALUE"""),"Self Paced Learning Portals, Instructor or Expert Learning Programs")</f>
        <v>Self Paced Learning Portals, Instructor or Expert Learning Programs</v>
      </c>
      <c r="N59"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59" s="1" t="str">
        <f ca="1">IFERROR(__xludf.DUMMYFUNCTION("""COMPUTED_VALUE"""),"Manager who clearly describes what she/he needs")</f>
        <v>Manager who clearly describes what she/he needs</v>
      </c>
      <c r="P59" s="1" t="str">
        <f ca="1">IFERROR(__xludf.DUMMYFUNCTION("""COMPUTED_VALUE"""),"Work alone")</f>
        <v>Work alone</v>
      </c>
      <c r="Q59" s="1"/>
    </row>
    <row r="60" spans="1:17" ht="13.2" x14ac:dyDescent="0.25">
      <c r="A60" s="2">
        <f ca="1">IFERROR(__xludf.DUMMYFUNCTION("""COMPUTED_VALUE"""),44911.6818627893)</f>
        <v>44911.681862789301</v>
      </c>
      <c r="B60" s="1" t="str">
        <f ca="1">IFERROR(__xludf.DUMMYFUNCTION("""COMPUTED_VALUE"""),"India")</f>
        <v>India</v>
      </c>
      <c r="C60" s="1">
        <f ca="1">IFERROR(__xludf.DUMMYFUNCTION("""COMPUTED_VALUE"""),248001)</f>
        <v>248001</v>
      </c>
      <c r="D60" s="3" t="str">
        <f ca="1">IFERROR(__xludf.DUMMYFUNCTION("""COMPUTED_VALUE"""),"Female")</f>
        <v>Female</v>
      </c>
      <c r="E60" s="1" t="str">
        <f ca="1">IFERROR(__xludf.DUMMYFUNCTION("""COMPUTED_VALUE"""),"People who have changed the world for better")</f>
        <v>People who have changed the world for better</v>
      </c>
      <c r="F60" s="1" t="str">
        <f ca="1">IFERROR(__xludf.DUMMYFUNCTION("""COMPUTED_VALUE"""),"No, But if someone could bare the cost I will")</f>
        <v>No, But if someone could bare the cost I will</v>
      </c>
      <c r="G60" s="1" t="str">
        <f ca="1">IFERROR(__xludf.DUMMYFUNCTION("""COMPUTED_VALUE"""),"This will be hard to do, but if it is the right company I would try")</f>
        <v>This will be hard to do, but if it is the right company I would try</v>
      </c>
      <c r="H60" s="1" t="str">
        <f ca="1">IFERROR(__xludf.DUMMYFUNCTION("""COMPUTED_VALUE"""),"No")</f>
        <v>No</v>
      </c>
      <c r="I60" s="1" t="str">
        <f ca="1">IFERROR(__xludf.DUMMYFUNCTION("""COMPUTED_VALUE"""),"Will NOT work for them")</f>
        <v>Will NOT work for them</v>
      </c>
      <c r="J60" s="1">
        <f ca="1">IFERROR(__xludf.DUMMYFUNCTION("""COMPUTED_VALUE"""),6)</f>
        <v>6</v>
      </c>
      <c r="K60" s="1" t="str">
        <f ca="1">IFERROR(__xludf.DUMMYFUNCTION("""COMPUTED_VALUE"""),"Hybrid Working Environment with less than 10 days a month at office")</f>
        <v>Hybrid Working Environment with less than 10 days a month at office</v>
      </c>
      <c r="L60" s="1" t="str">
        <f ca="1">IFERROR(__xludf.DUMMYFUNCTION("""COMPUTED_VALUE"""),"Employer who pushes your limits by enabling an learning environment, and rewards you at the end")</f>
        <v>Employer who pushes your limits by enabling an learning environment, and rewards you at the end</v>
      </c>
      <c r="M60" s="1" t="str">
        <f ca="1">IFERROR(__xludf.DUMMYFUNCTION("""COMPUTED_VALUE"""),"Self Paced Learning Portals, Trial and error by doing side projects within the company")</f>
        <v>Self Paced Learning Portals, Trial and error by doing side projects within the company</v>
      </c>
      <c r="N6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60" s="1" t="str">
        <f ca="1">IFERROR(__xludf.DUMMYFUNCTION("""COMPUTED_VALUE"""),"Manager who explains what is expected, sets a goal and helps achieve it")</f>
        <v>Manager who explains what is expected, sets a goal and helps achieve it</v>
      </c>
      <c r="P60" s="1" t="str">
        <f ca="1">IFERROR(__xludf.DUMMYFUNCTION("""COMPUTED_VALUE"""),"Work with 2 to 3 people in my team")</f>
        <v>Work with 2 to 3 people in my team</v>
      </c>
      <c r="Q60" s="1"/>
    </row>
    <row r="61" spans="1:17" ht="13.2" x14ac:dyDescent="0.25">
      <c r="A61" s="2">
        <f ca="1">IFERROR(__xludf.DUMMYFUNCTION("""COMPUTED_VALUE"""),44911.695590243)</f>
        <v>44911.695590242998</v>
      </c>
      <c r="B61" s="1" t="str">
        <f ca="1">IFERROR(__xludf.DUMMYFUNCTION("""COMPUTED_VALUE"""),"India")</f>
        <v>India</v>
      </c>
      <c r="C61" s="1">
        <f ca="1">IFERROR(__xludf.DUMMYFUNCTION("""COMPUTED_VALUE"""),785001)</f>
        <v>785001</v>
      </c>
      <c r="D61" s="3" t="str">
        <f ca="1">IFERROR(__xludf.DUMMYFUNCTION("""COMPUTED_VALUE"""),"Male")</f>
        <v>Male</v>
      </c>
      <c r="E61" s="1" t="str">
        <f ca="1">IFERROR(__xludf.DUMMYFUNCTION("""COMPUTED_VALUE"""),"My Parents")</f>
        <v>My Parents</v>
      </c>
      <c r="F61" s="1" t="str">
        <f ca="1">IFERROR(__xludf.DUMMYFUNCTION("""COMPUTED_VALUE"""),"Yes, I will earn and do that")</f>
        <v>Yes, I will earn and do that</v>
      </c>
      <c r="G61" s="1" t="str">
        <f ca="1">IFERROR(__xludf.DUMMYFUNCTION("""COMPUTED_VALUE"""),"Will work for 3 years or more")</f>
        <v>Will work for 3 years or more</v>
      </c>
      <c r="H61" s="1" t="str">
        <f ca="1">IFERROR(__xludf.DUMMYFUNCTION("""COMPUTED_VALUE"""),"No")</f>
        <v>No</v>
      </c>
      <c r="I61" s="1" t="str">
        <f ca="1">IFERROR(__xludf.DUMMYFUNCTION("""COMPUTED_VALUE"""),"Will NOT work for them")</f>
        <v>Will NOT work for them</v>
      </c>
      <c r="J61" s="1">
        <f ca="1">IFERROR(__xludf.DUMMYFUNCTION("""COMPUTED_VALUE"""),8)</f>
        <v>8</v>
      </c>
      <c r="K61" s="1" t="str">
        <f ca="1">IFERROR(__xludf.DUMMYFUNCTION("""COMPUTED_VALUE"""),"Every Day Office Environment")</f>
        <v>Every Day Office Environment</v>
      </c>
      <c r="L61" s="1" t="str">
        <f ca="1">IFERROR(__xludf.DUMMYFUNCTION("""COMPUTED_VALUE"""),"Employer who pushes your limits by enabling an learning environment, and rewards you at the end")</f>
        <v>Employer who pushes your limits by enabling an learning environment, and rewards you at the end</v>
      </c>
      <c r="M61" s="1" t="str">
        <f ca="1">IFERROR(__xludf.DUMMYFUNCTION("""COMPUTED_VALUE"""),"Self Paced Learning Portals, Instructor or Expert Learning Programs")</f>
        <v>Self Paced Learning Portals, Instructor or Expert Learning Programs</v>
      </c>
      <c r="N61" s="1" t="str">
        <f ca="1">IFERROR(__xludf.DUMMYFUNCTION("""COMPUTED_VALUE"""),"Business Operations in any organization, Build and develop a Team, Become a content Creator in some platform")</f>
        <v>Business Operations in any organization, Build and develop a Team, Become a content Creator in some platform</v>
      </c>
      <c r="O61" s="1" t="str">
        <f ca="1">IFERROR(__xludf.DUMMYFUNCTION("""COMPUTED_VALUE"""),"Manager who explains what is expected, sets a goal and helps achieve it")</f>
        <v>Manager who explains what is expected, sets a goal and helps achieve it</v>
      </c>
      <c r="P61" s="1" t="str">
        <f ca="1">IFERROR(__xludf.DUMMYFUNCTION("""COMPUTED_VALUE"""),"Work with 2 to 3 people in my team")</f>
        <v>Work with 2 to 3 people in my team</v>
      </c>
      <c r="Q61" s="1"/>
    </row>
    <row r="62" spans="1:17" ht="13.2" x14ac:dyDescent="0.25">
      <c r="A62" s="2">
        <f ca="1">IFERROR(__xludf.DUMMYFUNCTION("""COMPUTED_VALUE"""),44911.6962909143)</f>
        <v>44911.696290914297</v>
      </c>
      <c r="B62" s="1" t="str">
        <f ca="1">IFERROR(__xludf.DUMMYFUNCTION("""COMPUTED_VALUE"""),"India")</f>
        <v>India</v>
      </c>
      <c r="C62" s="1">
        <f ca="1">IFERROR(__xludf.DUMMYFUNCTION("""COMPUTED_VALUE"""),852218)</f>
        <v>852218</v>
      </c>
      <c r="D62" s="3" t="str">
        <f ca="1">IFERROR(__xludf.DUMMYFUNCTION("""COMPUTED_VALUE"""),"Male")</f>
        <v>Male</v>
      </c>
      <c r="E62" s="1" t="str">
        <f ca="1">IFERROR(__xludf.DUMMYFUNCTION("""COMPUTED_VALUE"""),"My Parents")</f>
        <v>My Parents</v>
      </c>
      <c r="F62" s="1" t="str">
        <f ca="1">IFERROR(__xludf.DUMMYFUNCTION("""COMPUTED_VALUE"""),"No I would not be pursuing Higher Education outside of India")</f>
        <v>No I would not be pursuing Higher Education outside of India</v>
      </c>
      <c r="G62" s="1" t="str">
        <f ca="1">IFERROR(__xludf.DUMMYFUNCTION("""COMPUTED_VALUE"""),"This will be hard to do, but if it is the right company I would try")</f>
        <v>This will be hard to do, but if it is the right company I would try</v>
      </c>
      <c r="H62" s="1" t="str">
        <f ca="1">IFERROR(__xludf.DUMMYFUNCTION("""COMPUTED_VALUE"""),"No")</f>
        <v>No</v>
      </c>
      <c r="I62" s="1" t="str">
        <f ca="1">IFERROR(__xludf.DUMMYFUNCTION("""COMPUTED_VALUE"""),"Will NOT work for them")</f>
        <v>Will NOT work for them</v>
      </c>
      <c r="J62" s="1">
        <f ca="1">IFERROR(__xludf.DUMMYFUNCTION("""COMPUTED_VALUE"""),5)</f>
        <v>5</v>
      </c>
      <c r="K62" s="1" t="str">
        <f ca="1">IFERROR(__xludf.DUMMYFUNCTION("""COMPUTED_VALUE"""),"Fully Remote with Options to travel as and when needed")</f>
        <v>Fully Remote with Options to travel as and when needed</v>
      </c>
      <c r="L62" s="1" t="str">
        <f ca="1">IFERROR(__xludf.DUMMYFUNCTION("""COMPUTED_VALUE"""),"Employer who pushes your limits by enabling an learning environment, and rewards you at the end")</f>
        <v>Employer who pushes your limits by enabling an learning environment, and rewards you at the end</v>
      </c>
      <c r="M62" s="1" t="str">
        <f ca="1">IFERROR(__xludf.DUMMYFUNCTION("""COMPUTED_VALUE"""),"Instructor or Expert Learning Programs, Trial and error by doing side projects within the company")</f>
        <v>Instructor or Expert Learning Programs, Trial and error by doing side projects within the company</v>
      </c>
      <c r="N62" s="1" t="str">
        <f ca="1">IFERROR(__xludf.DUMMYFUNCTION("""COMPUTED_VALUE"""),"Build and develop a Team, Design and Develop amazing software, Look deeply into Data and generate insights")</f>
        <v>Build and develop a Team, Design and Develop amazing software, Look deeply into Data and generate insights</v>
      </c>
      <c r="O62" s="1" t="str">
        <f ca="1">IFERROR(__xludf.DUMMYFUNCTION("""COMPUTED_VALUE"""),"Manager who sets goal and helps me achieve it")</f>
        <v>Manager who sets goal and helps me achieve it</v>
      </c>
      <c r="P62" s="1" t="str">
        <f ca="1">IFERROR(__xludf.DUMMYFUNCTION("""COMPUTED_VALUE"""),"Work with 5 to 6 people in my team")</f>
        <v>Work with 5 to 6 people in my team</v>
      </c>
      <c r="Q62" s="1"/>
    </row>
    <row r="63" spans="1:17" ht="13.2" x14ac:dyDescent="0.25">
      <c r="A63" s="2">
        <f ca="1">IFERROR(__xludf.DUMMYFUNCTION("""COMPUTED_VALUE"""),44911.6987544444)</f>
        <v>44911.698754444398</v>
      </c>
      <c r="B63" s="1" t="str">
        <f ca="1">IFERROR(__xludf.DUMMYFUNCTION("""COMPUTED_VALUE"""),"India")</f>
        <v>India</v>
      </c>
      <c r="C63" s="1">
        <f ca="1">IFERROR(__xludf.DUMMYFUNCTION("""COMPUTED_VALUE"""),411038)</f>
        <v>411038</v>
      </c>
      <c r="D63" s="3" t="str">
        <f ca="1">IFERROR(__xludf.DUMMYFUNCTION("""COMPUTED_VALUE"""),"Male")</f>
        <v>Male</v>
      </c>
      <c r="E63" s="1" t="str">
        <f ca="1">IFERROR(__xludf.DUMMYFUNCTION("""COMPUTED_VALUE"""),"People who have changed the world for better")</f>
        <v>People who have changed the world for better</v>
      </c>
      <c r="F63" s="1" t="str">
        <f ca="1">IFERROR(__xludf.DUMMYFUNCTION("""COMPUTED_VALUE"""),"Yes, I will earn and do that")</f>
        <v>Yes, I will earn and do that</v>
      </c>
      <c r="G63" s="1" t="str">
        <f ca="1">IFERROR(__xludf.DUMMYFUNCTION("""COMPUTED_VALUE"""),"This will be hard to do, but if it is the right company I would try")</f>
        <v>This will be hard to do, but if it is the right company I would try</v>
      </c>
      <c r="H63" s="1" t="str">
        <f ca="1">IFERROR(__xludf.DUMMYFUNCTION("""COMPUTED_VALUE"""),"No")</f>
        <v>No</v>
      </c>
      <c r="I63" s="1" t="str">
        <f ca="1">IFERROR(__xludf.DUMMYFUNCTION("""COMPUTED_VALUE"""),"Will NOT work for them")</f>
        <v>Will NOT work for them</v>
      </c>
      <c r="J63" s="1">
        <f ca="1">IFERROR(__xludf.DUMMYFUNCTION("""COMPUTED_VALUE"""),8)</f>
        <v>8</v>
      </c>
      <c r="K63" s="1" t="str">
        <f ca="1">IFERROR(__xludf.DUMMYFUNCTION("""COMPUTED_VALUE"""),"Hybrid Working Environment with less than 3 days a month at office")</f>
        <v>Hybrid Working Environment with less than 3 days a month at office</v>
      </c>
      <c r="L63" s="1" t="str">
        <f ca="1">IFERROR(__xludf.DUMMYFUNCTION("""COMPUTED_VALUE"""),"Employer who pushes your limits by enabling an learning environment, and rewards you at the end")</f>
        <v>Employer who pushes your limits by enabling an learning environment, and rewards you at the end</v>
      </c>
      <c r="M63" s="1" t="str">
        <f ca="1">IFERROR(__xludf.DUMMYFUNCTION("""COMPUTED_VALUE"""),"Self Paced Learning Portals, Learning by observing others")</f>
        <v>Self Paced Learning Portals, Learning by observing others</v>
      </c>
      <c r="N6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63" s="1" t="str">
        <f ca="1">IFERROR(__xludf.DUMMYFUNCTION("""COMPUTED_VALUE"""),"Manager who explains what is expected, sets a goal and helps achieve it")</f>
        <v>Manager who explains what is expected, sets a goal and helps achieve it</v>
      </c>
      <c r="P63" s="1" t="str">
        <f ca="1">IFERROR(__xludf.DUMMYFUNCTION("""COMPUTED_VALUE"""),"Work alone, Work with 2 to 3 people in my team")</f>
        <v>Work alone, Work with 2 to 3 people in my team</v>
      </c>
      <c r="Q63" s="1"/>
    </row>
    <row r="64" spans="1:17" ht="13.2" x14ac:dyDescent="0.25">
      <c r="A64" s="2">
        <f ca="1">IFERROR(__xludf.DUMMYFUNCTION("""COMPUTED_VALUE"""),44911.7000213541)</f>
        <v>44911.700021354103</v>
      </c>
      <c r="B64" s="1" t="str">
        <f ca="1">IFERROR(__xludf.DUMMYFUNCTION("""COMPUTED_VALUE"""),"India")</f>
        <v>India</v>
      </c>
      <c r="C64" s="1">
        <f ca="1">IFERROR(__xludf.DUMMYFUNCTION("""COMPUTED_VALUE"""),282007)</f>
        <v>282007</v>
      </c>
      <c r="D64" s="3" t="str">
        <f ca="1">IFERROR(__xludf.DUMMYFUNCTION("""COMPUTED_VALUE"""),"Female")</f>
        <v>Female</v>
      </c>
      <c r="E64" s="1" t="str">
        <f ca="1">IFERROR(__xludf.DUMMYFUNCTION("""COMPUTED_VALUE"""),"Influencers who had successful careers")</f>
        <v>Influencers who had successful careers</v>
      </c>
      <c r="F64" s="1" t="str">
        <f ca="1">IFERROR(__xludf.DUMMYFUNCTION("""COMPUTED_VALUE"""),"No I would not be pursuing Higher Education outside of India")</f>
        <v>No I would not be pursuing Higher Education outside of India</v>
      </c>
      <c r="G64" s="1" t="str">
        <f ca="1">IFERROR(__xludf.DUMMYFUNCTION("""COMPUTED_VALUE"""),"This will be hard to do, but if it is the right company I would try")</f>
        <v>This will be hard to do, but if it is the right company I would try</v>
      </c>
      <c r="H64" s="1" t="str">
        <f ca="1">IFERROR(__xludf.DUMMYFUNCTION("""COMPUTED_VALUE"""),"No")</f>
        <v>No</v>
      </c>
      <c r="I64" s="1" t="str">
        <f ca="1">IFERROR(__xludf.DUMMYFUNCTION("""COMPUTED_VALUE"""),"Will NOT work for them")</f>
        <v>Will NOT work for them</v>
      </c>
      <c r="J64" s="1">
        <f ca="1">IFERROR(__xludf.DUMMYFUNCTION("""COMPUTED_VALUE"""),7)</f>
        <v>7</v>
      </c>
      <c r="K64" s="1" t="str">
        <f ca="1">IFERROR(__xludf.DUMMYFUNCTION("""COMPUTED_VALUE"""),"Hybrid Working Environment with less than 15 days a month at office")</f>
        <v>Hybrid Working Environment with less than 15 days a month at office</v>
      </c>
      <c r="L64" s="1" t="str">
        <f ca="1">IFERROR(__xludf.DUMMYFUNCTION("""COMPUTED_VALUE"""),"Employer who pushes your limits by enabling an learning environment, and rewards you at the end")</f>
        <v>Employer who pushes your limits by enabling an learning environment, and rewards you at the end</v>
      </c>
      <c r="M64" s="1" t="str">
        <f ca="1">IFERROR(__xludf.DUMMYFUNCTION("""COMPUTED_VALUE"""),"Instructor or Expert Learning Programs, Learning by observing others")</f>
        <v>Instructor or Expert Learning Programs, Learning by observing others</v>
      </c>
      <c r="N6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64" s="1" t="str">
        <f ca="1">IFERROR(__xludf.DUMMYFUNCTION("""COMPUTED_VALUE"""),"Manager who explains what is expected, sets a goal and helps achieve it")</f>
        <v>Manager who explains what is expected, sets a goal and helps achieve it</v>
      </c>
      <c r="P64" s="1" t="str">
        <f ca="1">IFERROR(__xludf.DUMMYFUNCTION("""COMPUTED_VALUE"""),"Work with more than 10 people in my team")</f>
        <v>Work with more than 10 people in my team</v>
      </c>
      <c r="Q64" s="1"/>
    </row>
    <row r="65" spans="1:17" ht="13.2" x14ac:dyDescent="0.25">
      <c r="A65" s="2">
        <f ca="1">IFERROR(__xludf.DUMMYFUNCTION("""COMPUTED_VALUE"""),44911.7057608912)</f>
        <v>44911.7057608912</v>
      </c>
      <c r="B65" s="1" t="str">
        <f ca="1">IFERROR(__xludf.DUMMYFUNCTION("""COMPUTED_VALUE"""),"India")</f>
        <v>India</v>
      </c>
      <c r="C65" s="1">
        <f ca="1">IFERROR(__xludf.DUMMYFUNCTION("""COMPUTED_VALUE"""),207001)</f>
        <v>207001</v>
      </c>
      <c r="D65" s="3" t="str">
        <f ca="1">IFERROR(__xludf.DUMMYFUNCTION("""COMPUTED_VALUE"""),"Male")</f>
        <v>Male</v>
      </c>
      <c r="E65" s="1" t="str">
        <f ca="1">IFERROR(__xludf.DUMMYFUNCTION("""COMPUTED_VALUE"""),"People from my circle, but not family members")</f>
        <v>People from my circle, but not family members</v>
      </c>
      <c r="F65" s="1" t="str">
        <f ca="1">IFERROR(__xludf.DUMMYFUNCTION("""COMPUTED_VALUE"""),"No, But if someone could bare the cost I will")</f>
        <v>No, But if someone could bare the cost I will</v>
      </c>
      <c r="G65" s="1" t="str">
        <f ca="1">IFERROR(__xludf.DUMMYFUNCTION("""COMPUTED_VALUE"""),"This will be hard to do, but if it is the right company I would try")</f>
        <v>This will be hard to do, but if it is the right company I would try</v>
      </c>
      <c r="H65" s="1" t="str">
        <f ca="1">IFERROR(__xludf.DUMMYFUNCTION("""COMPUTED_VALUE"""),"No")</f>
        <v>No</v>
      </c>
      <c r="I65" s="1" t="str">
        <f ca="1">IFERROR(__xludf.DUMMYFUNCTION("""COMPUTED_VALUE"""),"Will NOT work for them")</f>
        <v>Will NOT work for them</v>
      </c>
      <c r="J65" s="1">
        <f ca="1">IFERROR(__xludf.DUMMYFUNCTION("""COMPUTED_VALUE"""),5)</f>
        <v>5</v>
      </c>
      <c r="K65" s="1" t="str">
        <f ca="1">IFERROR(__xludf.DUMMYFUNCTION("""COMPUTED_VALUE"""),"Fully Remote with Options to travel as and when needed")</f>
        <v>Fully Remote with Options to travel as and when needed</v>
      </c>
      <c r="L65" s="1" t="str">
        <f ca="1">IFERROR(__xludf.DUMMYFUNCTION("""COMPUTED_VALUE"""),"Employer who pushes your limits by enabling an learning environment, and rewards you at the end")</f>
        <v>Employer who pushes your limits by enabling an learning environment, and rewards you at the end</v>
      </c>
      <c r="M65" s="1" t="str">
        <f ca="1">IFERROR(__xludf.DUMMYFUNCTION("""COMPUTED_VALUE"""),"Self Paced Learning Portals, Instructor or Expert Learning Programs")</f>
        <v>Self Paced Learning Portals, Instructor or Expert Learning Programs</v>
      </c>
      <c r="N6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65" s="1" t="str">
        <f ca="1">IFERROR(__xludf.DUMMYFUNCTION("""COMPUTED_VALUE"""),"Manager who explains what is expected, sets a goal and helps achieve it")</f>
        <v>Manager who explains what is expected, sets a goal and helps achieve it</v>
      </c>
      <c r="P65" s="1" t="str">
        <f ca="1">IFERROR(__xludf.DUMMYFUNCTION("""COMPUTED_VALUE"""),"Work with more than 10 people in my team")</f>
        <v>Work with more than 10 people in my team</v>
      </c>
      <c r="Q65" s="1"/>
    </row>
    <row r="66" spans="1:17" ht="13.2" x14ac:dyDescent="0.25">
      <c r="A66" s="2">
        <f ca="1">IFERROR(__xludf.DUMMYFUNCTION("""COMPUTED_VALUE"""),44911.7076760069)</f>
        <v>44911.707676006903</v>
      </c>
      <c r="B66" s="1" t="str">
        <f ca="1">IFERROR(__xludf.DUMMYFUNCTION("""COMPUTED_VALUE"""),"India")</f>
        <v>India</v>
      </c>
      <c r="C66" s="1">
        <f ca="1">IFERROR(__xludf.DUMMYFUNCTION("""COMPUTED_VALUE"""),425301)</f>
        <v>425301</v>
      </c>
      <c r="D66" s="3" t="str">
        <f ca="1">IFERROR(__xludf.DUMMYFUNCTION("""COMPUTED_VALUE"""),"Female")</f>
        <v>Female</v>
      </c>
      <c r="E66" s="1" t="str">
        <f ca="1">IFERROR(__xludf.DUMMYFUNCTION("""COMPUTED_VALUE"""),"People who have changed the world for better")</f>
        <v>People who have changed the world for better</v>
      </c>
      <c r="F66" s="1" t="str">
        <f ca="1">IFERROR(__xludf.DUMMYFUNCTION("""COMPUTED_VALUE"""),"No I would not be pursuing Higher Education outside of India")</f>
        <v>No I would not be pursuing Higher Education outside of India</v>
      </c>
      <c r="G66" s="1" t="str">
        <f ca="1">IFERROR(__xludf.DUMMYFUNCTION("""COMPUTED_VALUE"""),"This will be hard to do, but if it is the right company I would try")</f>
        <v>This will be hard to do, but if it is the right company I would try</v>
      </c>
      <c r="H66" s="1" t="str">
        <f ca="1">IFERROR(__xludf.DUMMYFUNCTION("""COMPUTED_VALUE"""),"No")</f>
        <v>No</v>
      </c>
      <c r="I66" s="1" t="str">
        <f ca="1">IFERROR(__xludf.DUMMYFUNCTION("""COMPUTED_VALUE"""),"Will NOT work for them")</f>
        <v>Will NOT work for them</v>
      </c>
      <c r="J66" s="1">
        <f ca="1">IFERROR(__xludf.DUMMYFUNCTION("""COMPUTED_VALUE"""),6)</f>
        <v>6</v>
      </c>
      <c r="K66" s="1" t="str">
        <f ca="1">IFERROR(__xludf.DUMMYFUNCTION("""COMPUTED_VALUE"""),"Hybrid Working Environment with less than 10 days a month at office")</f>
        <v>Hybrid Working Environment with less than 10 days a month at office</v>
      </c>
      <c r="L66" s="1" t="str">
        <f ca="1">IFERROR(__xludf.DUMMYFUNCTION("""COMPUTED_VALUE"""),"Employer who rewards learning and enables that environment")</f>
        <v>Employer who rewards learning and enables that environment</v>
      </c>
      <c r="M66" s="1" t="str">
        <f ca="1">IFERROR(__xludf.DUMMYFUNCTION("""COMPUTED_VALUE"""),"Self Paced Learning Portals, Instructor or Expert Learning Programs")</f>
        <v>Self Paced Learning Portals, Instructor or Expert Learning Programs</v>
      </c>
      <c r="N6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66" s="1" t="str">
        <f ca="1">IFERROR(__xludf.DUMMYFUNCTION("""COMPUTED_VALUE"""),"Manager who explains what is expected, sets a goal and helps achieve it")</f>
        <v>Manager who explains what is expected, sets a goal and helps achieve it</v>
      </c>
      <c r="P66"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6" s="1"/>
    </row>
    <row r="67" spans="1:17" ht="13.2" x14ac:dyDescent="0.25">
      <c r="A67" s="2">
        <f ca="1">IFERROR(__xludf.DUMMYFUNCTION("""COMPUTED_VALUE"""),44911.7107908796)</f>
        <v>44911.710790879602</v>
      </c>
      <c r="B67" s="1" t="str">
        <f ca="1">IFERROR(__xludf.DUMMYFUNCTION("""COMPUTED_VALUE"""),"India")</f>
        <v>India</v>
      </c>
      <c r="C67" s="1">
        <f ca="1">IFERROR(__xludf.DUMMYFUNCTION("""COMPUTED_VALUE"""),828122)</f>
        <v>828122</v>
      </c>
      <c r="D67" s="3" t="str">
        <f ca="1">IFERROR(__xludf.DUMMYFUNCTION("""COMPUTED_VALUE"""),"Male")</f>
        <v>Male</v>
      </c>
      <c r="E67" s="1" t="str">
        <f ca="1">IFERROR(__xludf.DUMMYFUNCTION("""COMPUTED_VALUE"""),"People who have changed the world for better")</f>
        <v>People who have changed the world for better</v>
      </c>
      <c r="F67" s="1" t="str">
        <f ca="1">IFERROR(__xludf.DUMMYFUNCTION("""COMPUTED_VALUE"""),"No, But if someone could bare the cost I will")</f>
        <v>No, But if someone could bare the cost I will</v>
      </c>
      <c r="G67" s="1" t="str">
        <f ca="1">IFERROR(__xludf.DUMMYFUNCTION("""COMPUTED_VALUE"""),"This will be hard to do, but if it is the right company I would try")</f>
        <v>This will be hard to do, but if it is the right company I would try</v>
      </c>
      <c r="H67" s="1" t="str">
        <f ca="1">IFERROR(__xludf.DUMMYFUNCTION("""COMPUTED_VALUE"""),"No")</f>
        <v>No</v>
      </c>
      <c r="I67" s="1" t="str">
        <f ca="1">IFERROR(__xludf.DUMMYFUNCTION("""COMPUTED_VALUE"""),"Will work for them")</f>
        <v>Will work for them</v>
      </c>
      <c r="J67" s="1">
        <f ca="1">IFERROR(__xludf.DUMMYFUNCTION("""COMPUTED_VALUE"""),8)</f>
        <v>8</v>
      </c>
      <c r="K67" s="1" t="str">
        <f ca="1">IFERROR(__xludf.DUMMYFUNCTION("""COMPUTED_VALUE"""),"Hybrid Working Environment with less than 10 days a month at office")</f>
        <v>Hybrid Working Environment with less than 10 days a month at office</v>
      </c>
      <c r="L67" s="1" t="str">
        <f ca="1">IFERROR(__xludf.DUMMYFUNCTION("""COMPUTED_VALUE"""),"Employer who pushes your limits by enabling an learning environment, and rewards you at the end")</f>
        <v>Employer who pushes your limits by enabling an learning environment, and rewards you at the end</v>
      </c>
      <c r="M67" s="1" t="str">
        <f ca="1">IFERROR(__xludf.DUMMYFUNCTION("""COMPUTED_VALUE"""),"Instructor or Expert Learning Programs, Learning by observing others")</f>
        <v>Instructor or Expert Learning Programs, Learning by observing others</v>
      </c>
      <c r="N67" s="1" t="str">
        <f ca="1">IFERROR(__xludf.DUMMYFUNCTION("""COMPUTED_VALUE"""),"Design and Creative strategy in any company, Build and develop a Team, Design and Develop amazing software")</f>
        <v>Design and Creative strategy in any company, Build and develop a Team, Design and Develop amazing software</v>
      </c>
      <c r="O67" s="1" t="str">
        <f ca="1">IFERROR(__xludf.DUMMYFUNCTION("""COMPUTED_VALUE"""),"Manager who explains what is expected, sets a goal and helps achieve it")</f>
        <v>Manager who explains what is expected, sets a goal and helps achieve it</v>
      </c>
      <c r="P67" s="1" t="str">
        <f ca="1">IFERROR(__xludf.DUMMYFUNCTION("""COMPUTED_VALUE"""),"Work with 5 to 6 people in my team")</f>
        <v>Work with 5 to 6 people in my team</v>
      </c>
      <c r="Q67" s="1"/>
    </row>
    <row r="68" spans="1:17" ht="13.2" x14ac:dyDescent="0.25">
      <c r="A68" s="2">
        <f ca="1">IFERROR(__xludf.DUMMYFUNCTION("""COMPUTED_VALUE"""),44911.7196049652)</f>
        <v>44911.719604965198</v>
      </c>
      <c r="B68" s="1" t="str">
        <f ca="1">IFERROR(__xludf.DUMMYFUNCTION("""COMPUTED_VALUE"""),"India")</f>
        <v>India</v>
      </c>
      <c r="C68" s="1">
        <f ca="1">IFERROR(__xludf.DUMMYFUNCTION("""COMPUTED_VALUE"""),244901)</f>
        <v>244901</v>
      </c>
      <c r="D68" s="3" t="str">
        <f ca="1">IFERROR(__xludf.DUMMYFUNCTION("""COMPUTED_VALUE"""),"Male")</f>
        <v>Male</v>
      </c>
      <c r="E68" s="1" t="str">
        <f ca="1">IFERROR(__xludf.DUMMYFUNCTION("""COMPUTED_VALUE"""),"People who have changed the world for better")</f>
        <v>People who have changed the world for better</v>
      </c>
      <c r="F68" s="1" t="str">
        <f ca="1">IFERROR(__xludf.DUMMYFUNCTION("""COMPUTED_VALUE"""),"Yes, I will earn and do that")</f>
        <v>Yes, I will earn and do that</v>
      </c>
      <c r="G68" s="1" t="str">
        <f ca="1">IFERROR(__xludf.DUMMYFUNCTION("""COMPUTED_VALUE"""),"Will work for 3 years or more")</f>
        <v>Will work for 3 years or more</v>
      </c>
      <c r="H68" s="1" t="str">
        <f ca="1">IFERROR(__xludf.DUMMYFUNCTION("""COMPUTED_VALUE"""),"No")</f>
        <v>No</v>
      </c>
      <c r="I68" s="1" t="str">
        <f ca="1">IFERROR(__xludf.DUMMYFUNCTION("""COMPUTED_VALUE"""),"Will NOT work for them")</f>
        <v>Will NOT work for them</v>
      </c>
      <c r="J68" s="1">
        <f ca="1">IFERROR(__xludf.DUMMYFUNCTION("""COMPUTED_VALUE"""),5)</f>
        <v>5</v>
      </c>
      <c r="K68" s="1" t="str">
        <f ca="1">IFERROR(__xludf.DUMMYFUNCTION("""COMPUTED_VALUE"""),"Fully Remote with Options to travel as and when needed")</f>
        <v>Fully Remote with Options to travel as and when needed</v>
      </c>
      <c r="L68" s="1" t="str">
        <f ca="1">IFERROR(__xludf.DUMMYFUNCTION("""COMPUTED_VALUE"""),"Employer who pushes your limits by enabling an learning environment, and rewards you at the end")</f>
        <v>Employer who pushes your limits by enabling an learning environment, and rewards you at the end</v>
      </c>
      <c r="M68" s="1" t="str">
        <f ca="1">IFERROR(__xludf.DUMMYFUNCTION("""COMPUTED_VALUE"""),"Instructor or Expert Learning Programs, Trial and error by doing side projects within the company")</f>
        <v>Instructor or Expert Learning Programs, Trial and error by doing side projects within the company</v>
      </c>
      <c r="N6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68" s="1" t="str">
        <f ca="1">IFERROR(__xludf.DUMMYFUNCTION("""COMPUTED_VALUE"""),"Manager who explains what is expected, sets a goal and helps achieve it")</f>
        <v>Manager who explains what is expected, sets a goal and helps achieve it</v>
      </c>
      <c r="P68" s="1" t="str">
        <f ca="1">IFERROR(__xludf.DUMMYFUNCTION("""COMPUTED_VALUE"""),"Work alone, Work with 5 to 6 people in my team")</f>
        <v>Work alone, Work with 5 to 6 people in my team</v>
      </c>
      <c r="Q68" s="1"/>
    </row>
    <row r="69" spans="1:17" ht="13.2" x14ac:dyDescent="0.25">
      <c r="A69" s="2">
        <f ca="1">IFERROR(__xludf.DUMMYFUNCTION("""COMPUTED_VALUE"""),44911.7341539004)</f>
        <v>44911.734153900397</v>
      </c>
      <c r="B69" s="1" t="str">
        <f ca="1">IFERROR(__xludf.DUMMYFUNCTION("""COMPUTED_VALUE"""),"India")</f>
        <v>India</v>
      </c>
      <c r="C69" s="1">
        <f ca="1">IFERROR(__xludf.DUMMYFUNCTION("""COMPUTED_VALUE"""),641021)</f>
        <v>641021</v>
      </c>
      <c r="D69" s="3" t="str">
        <f ca="1">IFERROR(__xludf.DUMMYFUNCTION("""COMPUTED_VALUE"""),"Female")</f>
        <v>Female</v>
      </c>
      <c r="E69" s="1" t="str">
        <f ca="1">IFERROR(__xludf.DUMMYFUNCTION("""COMPUTED_VALUE"""),"People who have changed the world for better")</f>
        <v>People who have changed the world for better</v>
      </c>
      <c r="F69" s="1" t="str">
        <f ca="1">IFERROR(__xludf.DUMMYFUNCTION("""COMPUTED_VALUE"""),"No, But if someone could bare the cost I will")</f>
        <v>No, But if someone could bare the cost I will</v>
      </c>
      <c r="G69" s="1" t="str">
        <f ca="1">IFERROR(__xludf.DUMMYFUNCTION("""COMPUTED_VALUE"""),"This will be hard to do, but if it is the right company I would try")</f>
        <v>This will be hard to do, but if it is the right company I would try</v>
      </c>
      <c r="H69" s="1" t="str">
        <f ca="1">IFERROR(__xludf.DUMMYFUNCTION("""COMPUTED_VALUE"""),"No")</f>
        <v>No</v>
      </c>
      <c r="I69" s="1" t="str">
        <f ca="1">IFERROR(__xludf.DUMMYFUNCTION("""COMPUTED_VALUE"""),"Will NOT work for them")</f>
        <v>Will NOT work for them</v>
      </c>
      <c r="J69" s="1">
        <f ca="1">IFERROR(__xludf.DUMMYFUNCTION("""COMPUTED_VALUE"""),7)</f>
        <v>7</v>
      </c>
      <c r="K69" s="1" t="str">
        <f ca="1">IFERROR(__xludf.DUMMYFUNCTION("""COMPUTED_VALUE"""),"Fully Remote with Options to travel as and when needed")</f>
        <v>Fully Remote with Options to travel as and when needed</v>
      </c>
      <c r="L69" s="1" t="str">
        <f ca="1">IFERROR(__xludf.DUMMYFUNCTION("""COMPUTED_VALUE"""),"Employer who rewards learning and enables that environment")</f>
        <v>Employer who rewards learning and enables that environment</v>
      </c>
      <c r="M69" s="1" t="str">
        <f ca="1">IFERROR(__xludf.DUMMYFUNCTION("""COMPUTED_VALUE"""),"Self Paced Learning Portals, Instructor or Expert Learning Programs")</f>
        <v>Self Paced Learning Portals, Instructor or Expert Learning Programs</v>
      </c>
      <c r="N69"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69" s="1" t="str">
        <f ca="1">IFERROR(__xludf.DUMMYFUNCTION("""COMPUTED_VALUE"""),"Manager who explains what is expected, sets a goal and helps achieve it")</f>
        <v>Manager who explains what is expected, sets a goal and helps achieve it</v>
      </c>
      <c r="P69" s="1" t="str">
        <f ca="1">IFERROR(__xludf.DUMMYFUNCTION("""COMPUTED_VALUE"""),"Work with more than 10 people in my team")</f>
        <v>Work with more than 10 people in my team</v>
      </c>
      <c r="Q69" s="1"/>
    </row>
    <row r="70" spans="1:17" ht="13.2" x14ac:dyDescent="0.25">
      <c r="A70" s="2">
        <f ca="1">IFERROR(__xludf.DUMMYFUNCTION("""COMPUTED_VALUE"""),44911.74608625)</f>
        <v>44911.746086250001</v>
      </c>
      <c r="B70" s="1" t="str">
        <f ca="1">IFERROR(__xludf.DUMMYFUNCTION("""COMPUTED_VALUE"""),"India")</f>
        <v>India</v>
      </c>
      <c r="C70" s="1">
        <f ca="1">IFERROR(__xludf.DUMMYFUNCTION("""COMPUTED_VALUE"""),560060)</f>
        <v>560060</v>
      </c>
      <c r="D70" s="3" t="str">
        <f ca="1">IFERROR(__xludf.DUMMYFUNCTION("""COMPUTED_VALUE"""),"Female")</f>
        <v>Female</v>
      </c>
      <c r="E70" s="1" t="str">
        <f ca="1">IFERROR(__xludf.DUMMYFUNCTION("""COMPUTED_VALUE"""),"My Parents")</f>
        <v>My Parents</v>
      </c>
      <c r="F70" s="1" t="str">
        <f ca="1">IFERROR(__xludf.DUMMYFUNCTION("""COMPUTED_VALUE"""),"No I would not be pursuing Higher Education outside of India")</f>
        <v>No I would not be pursuing Higher Education outside of India</v>
      </c>
      <c r="G70" s="1" t="str">
        <f ca="1">IFERROR(__xludf.DUMMYFUNCTION("""COMPUTED_VALUE"""),"Will work for 3 years or more")</f>
        <v>Will work for 3 years or more</v>
      </c>
      <c r="H70" s="1" t="str">
        <f ca="1">IFERROR(__xludf.DUMMYFUNCTION("""COMPUTED_VALUE"""),"Yes")</f>
        <v>Yes</v>
      </c>
      <c r="I70" s="1" t="str">
        <f ca="1">IFERROR(__xludf.DUMMYFUNCTION("""COMPUTED_VALUE"""),"Will work for them")</f>
        <v>Will work for them</v>
      </c>
      <c r="J70" s="1">
        <f ca="1">IFERROR(__xludf.DUMMYFUNCTION("""COMPUTED_VALUE"""),5)</f>
        <v>5</v>
      </c>
      <c r="K70" s="1" t="str">
        <f ca="1">IFERROR(__xludf.DUMMYFUNCTION("""COMPUTED_VALUE"""),"Hybrid Working Environment with less than 15 days a month at office")</f>
        <v>Hybrid Working Environment with less than 15 days a month at office</v>
      </c>
      <c r="L70" s="1" t="str">
        <f ca="1">IFERROR(__xludf.DUMMYFUNCTION("""COMPUTED_VALUE"""),"Employer who appreciates learning and enables that environment")</f>
        <v>Employer who appreciates learning and enables that environment</v>
      </c>
      <c r="M70" s="1" t="str">
        <f ca="1">IFERROR(__xludf.DUMMYFUNCTION("""COMPUTED_VALUE"""),"Self Paced Learning Portals, Instructor or Expert Learning Programs")</f>
        <v>Self Paced Learning Portals, Instructor or Expert Learning Programs</v>
      </c>
      <c r="N7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0" s="1" t="str">
        <f ca="1">IFERROR(__xludf.DUMMYFUNCTION("""COMPUTED_VALUE"""),"Manager who clearly describes what she/he needs")</f>
        <v>Manager who clearly describes what she/he needs</v>
      </c>
      <c r="P70" s="1" t="str">
        <f ca="1">IFERROR(__xludf.DUMMYFUNCTION("""COMPUTED_VALUE"""),"Work alone")</f>
        <v>Work alone</v>
      </c>
      <c r="Q70" s="1"/>
    </row>
    <row r="71" spans="1:17" ht="13.2" x14ac:dyDescent="0.25">
      <c r="A71" s="2">
        <f ca="1">IFERROR(__xludf.DUMMYFUNCTION("""COMPUTED_VALUE"""),44911.7466268634)</f>
        <v>44911.746626863402</v>
      </c>
      <c r="B71" s="1" t="str">
        <f ca="1">IFERROR(__xludf.DUMMYFUNCTION("""COMPUTED_VALUE"""),"India")</f>
        <v>India</v>
      </c>
      <c r="C71" s="1">
        <f ca="1">IFERROR(__xludf.DUMMYFUNCTION("""COMPUTED_VALUE"""),560098)</f>
        <v>560098</v>
      </c>
      <c r="D71" s="3" t="str">
        <f ca="1">IFERROR(__xludf.DUMMYFUNCTION("""COMPUTED_VALUE"""),"Female")</f>
        <v>Female</v>
      </c>
      <c r="E71" s="1" t="str">
        <f ca="1">IFERROR(__xludf.DUMMYFUNCTION("""COMPUTED_VALUE"""),"Influencers who had successful careers")</f>
        <v>Influencers who had successful careers</v>
      </c>
      <c r="F71" s="1" t="str">
        <f ca="1">IFERROR(__xludf.DUMMYFUNCTION("""COMPUTED_VALUE"""),"Yes, I will earn and do that")</f>
        <v>Yes, I will earn and do that</v>
      </c>
      <c r="G71" s="1" t="str">
        <f ca="1">IFERROR(__xludf.DUMMYFUNCTION("""COMPUTED_VALUE"""),"This will be hard to do, but if it is the right company I would try")</f>
        <v>This will be hard to do, but if it is the right company I would try</v>
      </c>
      <c r="H71" s="1" t="str">
        <f ca="1">IFERROR(__xludf.DUMMYFUNCTION("""COMPUTED_VALUE"""),"No")</f>
        <v>No</v>
      </c>
      <c r="I71" s="1" t="str">
        <f ca="1">IFERROR(__xludf.DUMMYFUNCTION("""COMPUTED_VALUE"""),"Will NOT work for them")</f>
        <v>Will NOT work for them</v>
      </c>
      <c r="J71" s="1">
        <f ca="1">IFERROR(__xludf.DUMMYFUNCTION("""COMPUTED_VALUE"""),2)</f>
        <v>2</v>
      </c>
      <c r="K71" s="1" t="str">
        <f ca="1">IFERROR(__xludf.DUMMYFUNCTION("""COMPUTED_VALUE"""),"Hybrid Working Environment with less than 3 days a month at office")</f>
        <v>Hybrid Working Environment with less than 3 days a month at office</v>
      </c>
      <c r="L71" s="1" t="str">
        <f ca="1">IFERROR(__xludf.DUMMYFUNCTION("""COMPUTED_VALUE"""),"Employer who rewards learning and enables that environment")</f>
        <v>Employer who rewards learning and enables that environment</v>
      </c>
      <c r="M71" s="1" t="str">
        <f ca="1">IFERROR(__xludf.DUMMYFUNCTION("""COMPUTED_VALUE"""),"Instructor or Expert Learning Programs, Learning by observing others")</f>
        <v>Instructor or Expert Learning Programs, Learning by observing others</v>
      </c>
      <c r="N7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71" s="1" t="str">
        <f ca="1">IFERROR(__xludf.DUMMYFUNCTION("""COMPUTED_VALUE"""),"Manager who explains what is expected, sets a goal and helps achieve it")</f>
        <v>Manager who explains what is expected, sets a goal and helps achieve it</v>
      </c>
      <c r="P71" s="1" t="str">
        <f ca="1">IFERROR(__xludf.DUMMYFUNCTION("""COMPUTED_VALUE"""),"Work with 7 to 10 or more people in my team")</f>
        <v>Work with 7 to 10 or more people in my team</v>
      </c>
      <c r="Q71" s="1"/>
    </row>
    <row r="72" spans="1:17" ht="13.2" x14ac:dyDescent="0.25">
      <c r="A72" s="2">
        <f ca="1">IFERROR(__xludf.DUMMYFUNCTION("""COMPUTED_VALUE"""),44911.7622293865)</f>
        <v>44911.762229386499</v>
      </c>
      <c r="B72" s="1" t="str">
        <f ca="1">IFERROR(__xludf.DUMMYFUNCTION("""COMPUTED_VALUE"""),"India")</f>
        <v>India</v>
      </c>
      <c r="C72" s="1">
        <f ca="1">IFERROR(__xludf.DUMMYFUNCTION("""COMPUTED_VALUE"""),457001)</f>
        <v>457001</v>
      </c>
      <c r="D72" s="3" t="str">
        <f ca="1">IFERROR(__xludf.DUMMYFUNCTION("""COMPUTED_VALUE"""),"Female")</f>
        <v>Female</v>
      </c>
      <c r="E72" s="1" t="str">
        <f ca="1">IFERROR(__xludf.DUMMYFUNCTION("""COMPUTED_VALUE"""),"Influencers who had successful careers")</f>
        <v>Influencers who had successful careers</v>
      </c>
      <c r="F72" s="1" t="str">
        <f ca="1">IFERROR(__xludf.DUMMYFUNCTION("""COMPUTED_VALUE"""),"Yes, I will earn and do that")</f>
        <v>Yes, I will earn and do that</v>
      </c>
      <c r="G72" s="1" t="str">
        <f ca="1">IFERROR(__xludf.DUMMYFUNCTION("""COMPUTED_VALUE"""),"Will work for 3 years or more")</f>
        <v>Will work for 3 years or more</v>
      </c>
      <c r="H72" s="1" t="str">
        <f ca="1">IFERROR(__xludf.DUMMYFUNCTION("""COMPUTED_VALUE"""),"No")</f>
        <v>No</v>
      </c>
      <c r="I72" s="1" t="str">
        <f ca="1">IFERROR(__xludf.DUMMYFUNCTION("""COMPUTED_VALUE"""),"Will NOT work for them")</f>
        <v>Will NOT work for them</v>
      </c>
      <c r="J72" s="1">
        <f ca="1">IFERROR(__xludf.DUMMYFUNCTION("""COMPUTED_VALUE"""),1)</f>
        <v>1</v>
      </c>
      <c r="K72" s="1" t="str">
        <f ca="1">IFERROR(__xludf.DUMMYFUNCTION("""COMPUTED_VALUE"""),"Hybrid Working Environment with less than 10 days a month at office")</f>
        <v>Hybrid Working Environment with less than 10 days a month at office</v>
      </c>
      <c r="L72" s="1" t="str">
        <f ca="1">IFERROR(__xludf.DUMMYFUNCTION("""COMPUTED_VALUE"""),"Employer who appreciates learning and enables that environment")</f>
        <v>Employer who appreciates learning and enables that environment</v>
      </c>
      <c r="M72" s="1" t="str">
        <f ca="1">IFERROR(__xludf.DUMMYFUNCTION("""COMPUTED_VALUE"""),"Instructor or Expert Learning Programs, Learning by observing others")</f>
        <v>Instructor or Expert Learning Programs, Learning by observing others</v>
      </c>
      <c r="N7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2" s="1" t="str">
        <f ca="1">IFERROR(__xludf.DUMMYFUNCTION("""COMPUTED_VALUE"""),"Manager who clearly describes what she/he needs")</f>
        <v>Manager who clearly describes what she/he needs</v>
      </c>
      <c r="P72" s="1" t="str">
        <f ca="1">IFERROR(__xludf.DUMMYFUNCTION("""COMPUTED_VALUE"""),"Work with 2 to 3 people in my team")</f>
        <v>Work with 2 to 3 people in my team</v>
      </c>
      <c r="Q72" s="1"/>
    </row>
    <row r="73" spans="1:17" ht="13.2" x14ac:dyDescent="0.25">
      <c r="A73" s="2">
        <f ca="1">IFERROR(__xludf.DUMMYFUNCTION("""COMPUTED_VALUE"""),44911.7695800694)</f>
        <v>44911.769580069398</v>
      </c>
      <c r="B73" s="1" t="str">
        <f ca="1">IFERROR(__xludf.DUMMYFUNCTION("""COMPUTED_VALUE"""),"India")</f>
        <v>India</v>
      </c>
      <c r="C73" s="1">
        <f ca="1">IFERROR(__xludf.DUMMYFUNCTION("""COMPUTED_VALUE"""),524412)</f>
        <v>524412</v>
      </c>
      <c r="D73" s="3" t="str">
        <f ca="1">IFERROR(__xludf.DUMMYFUNCTION("""COMPUTED_VALUE"""),"Male")</f>
        <v>Male</v>
      </c>
      <c r="E73" s="1" t="str">
        <f ca="1">IFERROR(__xludf.DUMMYFUNCTION("""COMPUTED_VALUE"""),"People who have changed the world for better")</f>
        <v>People who have changed the world for better</v>
      </c>
      <c r="F73" s="1" t="str">
        <f ca="1">IFERROR(__xludf.DUMMYFUNCTION("""COMPUTED_VALUE"""),"No I would not be pursuing Higher Education outside of India")</f>
        <v>No I would not be pursuing Higher Education outside of India</v>
      </c>
      <c r="G73" s="1" t="str">
        <f ca="1">IFERROR(__xludf.DUMMYFUNCTION("""COMPUTED_VALUE"""),"Will work for 3 years or more")</f>
        <v>Will work for 3 years or more</v>
      </c>
      <c r="H73" s="1" t="str">
        <f ca="1">IFERROR(__xludf.DUMMYFUNCTION("""COMPUTED_VALUE"""),"No")</f>
        <v>No</v>
      </c>
      <c r="I73" s="1" t="str">
        <f ca="1">IFERROR(__xludf.DUMMYFUNCTION("""COMPUTED_VALUE"""),"Will NOT work for them")</f>
        <v>Will NOT work for them</v>
      </c>
      <c r="J73" s="1">
        <f ca="1">IFERROR(__xludf.DUMMYFUNCTION("""COMPUTED_VALUE"""),1)</f>
        <v>1</v>
      </c>
      <c r="K73" s="1" t="str">
        <f ca="1">IFERROR(__xludf.DUMMYFUNCTION("""COMPUTED_VALUE"""),"Fully Remote with Options to travel as and when needed")</f>
        <v>Fully Remote with Options to travel as and when needed</v>
      </c>
      <c r="L73" s="1" t="str">
        <f ca="1">IFERROR(__xludf.DUMMYFUNCTION("""COMPUTED_VALUE"""),"Employer who appreciates learning and enables that environment")</f>
        <v>Employer who appreciates learning and enables that environment</v>
      </c>
      <c r="M73" s="1" t="str">
        <f ca="1">IFERROR(__xludf.DUMMYFUNCTION("""COMPUTED_VALUE"""),"Instructor or Expert Learning Programs, Trial and error by doing side projects within the company")</f>
        <v>Instructor or Expert Learning Programs, Trial and error by doing side projects within the company</v>
      </c>
      <c r="N73"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73" s="1" t="str">
        <f ca="1">IFERROR(__xludf.DUMMYFUNCTION("""COMPUTED_VALUE"""),"Manager who explains what is expected, sets a goal and helps achieve it")</f>
        <v>Manager who explains what is expected, sets a goal and helps achieve it</v>
      </c>
      <c r="P73" s="1" t="str">
        <f ca="1">IFERROR(__xludf.DUMMYFUNCTION("""COMPUTED_VALUE"""),"Work with more than 10 people in my team")</f>
        <v>Work with more than 10 people in my team</v>
      </c>
      <c r="Q73" s="1"/>
    </row>
    <row r="74" spans="1:17" ht="13.2" x14ac:dyDescent="0.25">
      <c r="A74" s="2">
        <f ca="1">IFERROR(__xludf.DUMMYFUNCTION("""COMPUTED_VALUE"""),44911.786991493)</f>
        <v>44911.786991492998</v>
      </c>
      <c r="B74" s="1" t="str">
        <f ca="1">IFERROR(__xludf.DUMMYFUNCTION("""COMPUTED_VALUE"""),"India")</f>
        <v>India</v>
      </c>
      <c r="C74" s="1">
        <f ca="1">IFERROR(__xludf.DUMMYFUNCTION("""COMPUTED_VALUE"""),110059)</f>
        <v>110059</v>
      </c>
      <c r="D74" s="3" t="str">
        <f ca="1">IFERROR(__xludf.DUMMYFUNCTION("""COMPUTED_VALUE"""),"Female")</f>
        <v>Female</v>
      </c>
      <c r="E74" s="1" t="str">
        <f ca="1">IFERROR(__xludf.DUMMYFUNCTION("""COMPUTED_VALUE"""),"My Parents")</f>
        <v>My Parents</v>
      </c>
      <c r="F74" s="1" t="str">
        <f ca="1">IFERROR(__xludf.DUMMYFUNCTION("""COMPUTED_VALUE"""),"No I would not be pursuing Higher Education outside of India")</f>
        <v>No I would not be pursuing Higher Education outside of India</v>
      </c>
      <c r="G74" s="1" t="str">
        <f ca="1">IFERROR(__xludf.DUMMYFUNCTION("""COMPUTED_VALUE"""),"This will be hard to do, but if it is the right company I would try")</f>
        <v>This will be hard to do, but if it is the right company I would try</v>
      </c>
      <c r="H74" s="1" t="str">
        <f ca="1">IFERROR(__xludf.DUMMYFUNCTION("""COMPUTED_VALUE"""),"No")</f>
        <v>No</v>
      </c>
      <c r="I74" s="1" t="str">
        <f ca="1">IFERROR(__xludf.DUMMYFUNCTION("""COMPUTED_VALUE"""),"Will work for them")</f>
        <v>Will work for them</v>
      </c>
      <c r="J74" s="1">
        <f ca="1">IFERROR(__xludf.DUMMYFUNCTION("""COMPUTED_VALUE"""),1)</f>
        <v>1</v>
      </c>
      <c r="K74" s="1" t="str">
        <f ca="1">IFERROR(__xludf.DUMMYFUNCTION("""COMPUTED_VALUE"""),"Every Day Office Environment")</f>
        <v>Every Day Office Environment</v>
      </c>
      <c r="L74" s="1" t="str">
        <f ca="1">IFERROR(__xludf.DUMMYFUNCTION("""COMPUTED_VALUE"""),"Employer who appreciates learning and enables that environment")</f>
        <v>Employer who appreciates learning and enables that environment</v>
      </c>
      <c r="M74" s="1" t="str">
        <f ca="1">IFERROR(__xludf.DUMMYFUNCTION("""COMPUTED_VALUE"""),"Self Paced Learning Portals, Instructor or Expert Learning Programs")</f>
        <v>Self Paced Learning Portals, Instructor or Expert Learning Programs</v>
      </c>
      <c r="N74"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74" s="1" t="str">
        <f ca="1">IFERROR(__xludf.DUMMYFUNCTION("""COMPUTED_VALUE"""),"Manager who sets goal and helps me achieve it")</f>
        <v>Manager who sets goal and helps me achieve it</v>
      </c>
      <c r="P74" s="1" t="str">
        <f ca="1">IFERROR(__xludf.DUMMYFUNCTION("""COMPUTED_VALUE"""),"Work with 2 to 3 people in my team")</f>
        <v>Work with 2 to 3 people in my team</v>
      </c>
      <c r="Q74" s="1"/>
    </row>
    <row r="75" spans="1:17" ht="13.2" x14ac:dyDescent="0.25">
      <c r="A75" s="2">
        <f ca="1">IFERROR(__xludf.DUMMYFUNCTION("""COMPUTED_VALUE"""),44911.8049120717)</f>
        <v>44911.804912071697</v>
      </c>
      <c r="B75" s="1" t="str">
        <f ca="1">IFERROR(__xludf.DUMMYFUNCTION("""COMPUTED_VALUE"""),"India")</f>
        <v>India</v>
      </c>
      <c r="C75" s="1">
        <f ca="1">IFERROR(__xludf.DUMMYFUNCTION("""COMPUTED_VALUE"""),425001)</f>
        <v>425001</v>
      </c>
      <c r="D75" s="3" t="str">
        <f ca="1">IFERROR(__xludf.DUMMYFUNCTION("""COMPUTED_VALUE"""),"Male")</f>
        <v>Male</v>
      </c>
      <c r="E75" s="1" t="str">
        <f ca="1">IFERROR(__xludf.DUMMYFUNCTION("""COMPUTED_VALUE"""),"My Parents")</f>
        <v>My Parents</v>
      </c>
      <c r="F75" s="1" t="str">
        <f ca="1">IFERROR(__xludf.DUMMYFUNCTION("""COMPUTED_VALUE"""),"No I would not be pursuing Higher Education outside of India")</f>
        <v>No I would not be pursuing Higher Education outside of India</v>
      </c>
      <c r="G75" s="1" t="str">
        <f ca="1">IFERROR(__xludf.DUMMYFUNCTION("""COMPUTED_VALUE"""),"This will be hard to do, but if it is the right company I would try")</f>
        <v>This will be hard to do, but if it is the right company I would try</v>
      </c>
      <c r="H75" s="1" t="str">
        <f ca="1">IFERROR(__xludf.DUMMYFUNCTION("""COMPUTED_VALUE"""),"Yes")</f>
        <v>Yes</v>
      </c>
      <c r="I75" s="1" t="str">
        <f ca="1">IFERROR(__xludf.DUMMYFUNCTION("""COMPUTED_VALUE"""),"Will work for them")</f>
        <v>Will work for them</v>
      </c>
      <c r="J75" s="1">
        <f ca="1">IFERROR(__xludf.DUMMYFUNCTION("""COMPUTED_VALUE"""),7)</f>
        <v>7</v>
      </c>
      <c r="K75" s="1" t="str">
        <f ca="1">IFERROR(__xludf.DUMMYFUNCTION("""COMPUTED_VALUE"""),"Fully Remote with No option to visit offices")</f>
        <v>Fully Remote with No option to visit offices</v>
      </c>
      <c r="L75" s="1" t="str">
        <f ca="1">IFERROR(__xludf.DUMMYFUNCTION("""COMPUTED_VALUE"""),"Employer who pushes your limits by enabling an learning environment, and rewards you at the end")</f>
        <v>Employer who pushes your limits by enabling an learning environment, and rewards you at the end</v>
      </c>
      <c r="M75" s="1" t="str">
        <f ca="1">IFERROR(__xludf.DUMMYFUNCTION("""COMPUTED_VALUE"""),"Instructor or Expert Learning Programs, Learning by observing others")</f>
        <v>Instructor or Expert Learning Programs, Learning by observing others</v>
      </c>
      <c r="N75"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75" s="1" t="str">
        <f ca="1">IFERROR(__xludf.DUMMYFUNCTION("""COMPUTED_VALUE"""),"Manager who clearly describes what she/he needs")</f>
        <v>Manager who clearly describes what she/he needs</v>
      </c>
      <c r="P75" s="1" t="str">
        <f ca="1">IFERROR(__xludf.DUMMYFUNCTION("""COMPUTED_VALUE"""),"Work with 5 to 6 people in my team")</f>
        <v>Work with 5 to 6 people in my team</v>
      </c>
      <c r="Q75" s="1"/>
    </row>
    <row r="76" spans="1:17" ht="13.2" x14ac:dyDescent="0.25">
      <c r="A76" s="2">
        <f ca="1">IFERROR(__xludf.DUMMYFUNCTION("""COMPUTED_VALUE"""),44911.8078224074)</f>
        <v>44911.807822407398</v>
      </c>
      <c r="B76" s="1" t="str">
        <f ca="1">IFERROR(__xludf.DUMMYFUNCTION("""COMPUTED_VALUE"""),"India")</f>
        <v>India</v>
      </c>
      <c r="C76" s="1">
        <f ca="1">IFERROR(__xludf.DUMMYFUNCTION("""COMPUTED_VALUE"""),425001)</f>
        <v>425001</v>
      </c>
      <c r="D76" s="3" t="str">
        <f ca="1">IFERROR(__xludf.DUMMYFUNCTION("""COMPUTED_VALUE"""),"Female")</f>
        <v>Female</v>
      </c>
      <c r="E76" s="1" t="str">
        <f ca="1">IFERROR(__xludf.DUMMYFUNCTION("""COMPUTED_VALUE"""),"My Parents")</f>
        <v>My Parents</v>
      </c>
      <c r="F76" s="1" t="str">
        <f ca="1">IFERROR(__xludf.DUMMYFUNCTION("""COMPUTED_VALUE"""),"Yes, I will earn and do that")</f>
        <v>Yes, I will earn and do that</v>
      </c>
      <c r="G76" s="1" t="str">
        <f ca="1">IFERROR(__xludf.DUMMYFUNCTION("""COMPUTED_VALUE"""),"No way, 3 years with one employer is crazy")</f>
        <v>No way, 3 years with one employer is crazy</v>
      </c>
      <c r="H76" s="1" t="str">
        <f ca="1">IFERROR(__xludf.DUMMYFUNCTION("""COMPUTED_VALUE"""),"Yes")</f>
        <v>Yes</v>
      </c>
      <c r="I76" s="1" t="str">
        <f ca="1">IFERROR(__xludf.DUMMYFUNCTION("""COMPUTED_VALUE"""),"Will work for them")</f>
        <v>Will work for them</v>
      </c>
      <c r="J76" s="1">
        <f ca="1">IFERROR(__xludf.DUMMYFUNCTION("""COMPUTED_VALUE"""),1)</f>
        <v>1</v>
      </c>
      <c r="K76" s="1" t="str">
        <f ca="1">IFERROR(__xludf.DUMMYFUNCTION("""COMPUTED_VALUE"""),"Fully Remote with No option to visit offices")</f>
        <v>Fully Remote with No option to visit offices</v>
      </c>
      <c r="L76" s="1" t="str">
        <f ca="1">IFERROR(__xludf.DUMMYFUNCTION("""COMPUTED_VALUE"""),"Employers who appreciates learning but doesn't enables an learning environment")</f>
        <v>Employers who appreciates learning but doesn't enables an learning environment</v>
      </c>
      <c r="M76" s="1" t="str">
        <f ca="1">IFERROR(__xludf.DUMMYFUNCTION("""COMPUTED_VALUE"""),"Self Paced Learning Portals, Instructor or Expert Learning Programs")</f>
        <v>Self Paced Learning Portals, Instructor or Expert Learning Programs</v>
      </c>
      <c r="N76"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6" s="1" t="str">
        <f ca="1">IFERROR(__xludf.DUMMYFUNCTION("""COMPUTED_VALUE"""),"Manager who clearly describes what she/he needs")</f>
        <v>Manager who clearly describes what she/he needs</v>
      </c>
      <c r="P76" s="1" t="str">
        <f ca="1">IFERROR(__xludf.DUMMYFUNCTION("""COMPUTED_VALUE"""),"Work alone")</f>
        <v>Work alone</v>
      </c>
      <c r="Q76" s="1"/>
    </row>
    <row r="77" spans="1:17" ht="13.2" x14ac:dyDescent="0.25">
      <c r="A77" s="2">
        <f ca="1">IFERROR(__xludf.DUMMYFUNCTION("""COMPUTED_VALUE"""),44911.8084942939)</f>
        <v>44911.808494293902</v>
      </c>
      <c r="B77" s="1" t="str">
        <f ca="1">IFERROR(__xludf.DUMMYFUNCTION("""COMPUTED_VALUE"""),"India")</f>
        <v>India</v>
      </c>
      <c r="C77" s="1">
        <f ca="1">IFERROR(__xludf.DUMMYFUNCTION("""COMPUTED_VALUE"""),851101)</f>
        <v>851101</v>
      </c>
      <c r="D77" s="3" t="str">
        <f ca="1">IFERROR(__xludf.DUMMYFUNCTION("""COMPUTED_VALUE"""),"Male")</f>
        <v>Male</v>
      </c>
      <c r="E77" s="1" t="str">
        <f ca="1">IFERROR(__xludf.DUMMYFUNCTION("""COMPUTED_VALUE"""),"People who have changed the world for better")</f>
        <v>People who have changed the world for better</v>
      </c>
      <c r="F77" s="1" t="str">
        <f ca="1">IFERROR(__xludf.DUMMYFUNCTION("""COMPUTED_VALUE"""),"No I would not be pursuing Higher Education outside of India")</f>
        <v>No I would not be pursuing Higher Education outside of India</v>
      </c>
      <c r="G77" s="1" t="str">
        <f ca="1">IFERROR(__xludf.DUMMYFUNCTION("""COMPUTED_VALUE"""),"This will be hard to do, but if it is the right company I would try")</f>
        <v>This will be hard to do, but if it is the right company I would try</v>
      </c>
      <c r="H77" s="1" t="str">
        <f ca="1">IFERROR(__xludf.DUMMYFUNCTION("""COMPUTED_VALUE"""),"No")</f>
        <v>No</v>
      </c>
      <c r="I77" s="1" t="str">
        <f ca="1">IFERROR(__xludf.DUMMYFUNCTION("""COMPUTED_VALUE"""),"Will NOT work for them")</f>
        <v>Will NOT work for them</v>
      </c>
      <c r="J77" s="1">
        <f ca="1">IFERROR(__xludf.DUMMYFUNCTION("""COMPUTED_VALUE"""),3)</f>
        <v>3</v>
      </c>
      <c r="K77" s="1" t="str">
        <f ca="1">IFERROR(__xludf.DUMMYFUNCTION("""COMPUTED_VALUE"""),"Fully Remote with Options to travel as and when needed")</f>
        <v>Fully Remote with Options to travel as and when needed</v>
      </c>
      <c r="L77" s="1" t="str">
        <f ca="1">IFERROR(__xludf.DUMMYFUNCTION("""COMPUTED_VALUE"""),"Employer who pushes your limits by enabling an learning environment, and rewards you at the end")</f>
        <v>Employer who pushes your limits by enabling an learning environment, and rewards you at the end</v>
      </c>
      <c r="M77" s="1" t="str">
        <f ca="1">IFERROR(__xludf.DUMMYFUNCTION("""COMPUTED_VALUE"""),"Self Paced Learning Portals, Instructor or Expert Learning Programs")</f>
        <v>Self Paced Learning Portals, Instructor or Expert Learning Programs</v>
      </c>
      <c r="N77"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77" s="1" t="str">
        <f ca="1">IFERROR(__xludf.DUMMYFUNCTION("""COMPUTED_VALUE"""),"Manager who explains what is expected, sets a goal and helps achieve it")</f>
        <v>Manager who explains what is expected, sets a goal and helps achieve it</v>
      </c>
      <c r="P77" s="1" t="str">
        <f ca="1">IFERROR(__xludf.DUMMYFUNCTION("""COMPUTED_VALUE"""),"Work with 5 to 6 people in my team")</f>
        <v>Work with 5 to 6 people in my team</v>
      </c>
      <c r="Q77" s="1"/>
    </row>
    <row r="78" spans="1:17" ht="13.2" x14ac:dyDescent="0.25">
      <c r="A78" s="2">
        <f ca="1">IFERROR(__xludf.DUMMYFUNCTION("""COMPUTED_VALUE"""),44911.8144342591)</f>
        <v>44911.814434259097</v>
      </c>
      <c r="B78" s="1" t="str">
        <f ca="1">IFERROR(__xludf.DUMMYFUNCTION("""COMPUTED_VALUE"""),"India")</f>
        <v>India</v>
      </c>
      <c r="C78" s="1">
        <f ca="1">IFERROR(__xludf.DUMMYFUNCTION("""COMPUTED_VALUE"""),431009)</f>
        <v>431009</v>
      </c>
      <c r="D78" s="3" t="str">
        <f ca="1">IFERROR(__xludf.DUMMYFUNCTION("""COMPUTED_VALUE"""),"Female")</f>
        <v>Female</v>
      </c>
      <c r="E78" s="1" t="str">
        <f ca="1">IFERROR(__xludf.DUMMYFUNCTION("""COMPUTED_VALUE"""),"Social Media like LinkedIn")</f>
        <v>Social Media like LinkedIn</v>
      </c>
      <c r="F78" s="1" t="str">
        <f ca="1">IFERROR(__xludf.DUMMYFUNCTION("""COMPUTED_VALUE"""),"No I would not be pursuing Higher Education outside of India")</f>
        <v>No I would not be pursuing Higher Education outside of India</v>
      </c>
      <c r="G78" s="1" t="str">
        <f ca="1">IFERROR(__xludf.DUMMYFUNCTION("""COMPUTED_VALUE"""),"Will work for 3 years or more")</f>
        <v>Will work for 3 years or more</v>
      </c>
      <c r="H78" s="1" t="str">
        <f ca="1">IFERROR(__xludf.DUMMYFUNCTION("""COMPUTED_VALUE"""),"No")</f>
        <v>No</v>
      </c>
      <c r="I78" s="1" t="str">
        <f ca="1">IFERROR(__xludf.DUMMYFUNCTION("""COMPUTED_VALUE"""),"Will NOT work for them")</f>
        <v>Will NOT work for them</v>
      </c>
      <c r="J78" s="1">
        <f ca="1">IFERROR(__xludf.DUMMYFUNCTION("""COMPUTED_VALUE"""),6)</f>
        <v>6</v>
      </c>
      <c r="K78" s="1" t="str">
        <f ca="1">IFERROR(__xludf.DUMMYFUNCTION("""COMPUTED_VALUE"""),"Hybrid Working Environment with less than 3 days a month at office")</f>
        <v>Hybrid Working Environment with less than 3 days a month at office</v>
      </c>
      <c r="L78" s="1" t="str">
        <f ca="1">IFERROR(__xludf.DUMMYFUNCTION("""COMPUTED_VALUE"""),"Employer who appreciates learning and enables that environment")</f>
        <v>Employer who appreciates learning and enables that environment</v>
      </c>
      <c r="M78" s="1" t="str">
        <f ca="1">IFERROR(__xludf.DUMMYFUNCTION("""COMPUTED_VALUE"""),"Learning by observing others, Trial and error by doing side projects within the company")</f>
        <v>Learning by observing others, Trial and error by doing side projects within the company</v>
      </c>
      <c r="N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78" s="1" t="str">
        <f ca="1">IFERROR(__xludf.DUMMYFUNCTION("""COMPUTED_VALUE"""),"Manager who explains what is expected, sets a goal and helps achieve it")</f>
        <v>Manager who explains what is expected, sets a goal and helps achieve it</v>
      </c>
      <c r="P78" s="1" t="str">
        <f ca="1">IFERROR(__xludf.DUMMYFUNCTION("""COMPUTED_VALUE"""),"Work with 2 to 3 people in my team")</f>
        <v>Work with 2 to 3 people in my team</v>
      </c>
      <c r="Q78" s="1"/>
    </row>
    <row r="79" spans="1:17" ht="13.2" x14ac:dyDescent="0.25">
      <c r="A79" s="2">
        <f ca="1">IFERROR(__xludf.DUMMYFUNCTION("""COMPUTED_VALUE"""),44911.8151597569)</f>
        <v>44911.815159756901</v>
      </c>
      <c r="B79" s="1" t="str">
        <f ca="1">IFERROR(__xludf.DUMMYFUNCTION("""COMPUTED_VALUE"""),"India")</f>
        <v>India</v>
      </c>
      <c r="C79" s="1">
        <f ca="1">IFERROR(__xludf.DUMMYFUNCTION("""COMPUTED_VALUE"""),400022)</f>
        <v>400022</v>
      </c>
      <c r="D79" s="3" t="str">
        <f ca="1">IFERROR(__xludf.DUMMYFUNCTION("""COMPUTED_VALUE"""),"Female")</f>
        <v>Female</v>
      </c>
      <c r="E79" s="1" t="str">
        <f ca="1">IFERROR(__xludf.DUMMYFUNCTION("""COMPUTED_VALUE"""),"People from my circle, but not family members")</f>
        <v>People from my circle, but not family members</v>
      </c>
      <c r="F79" s="1" t="str">
        <f ca="1">IFERROR(__xludf.DUMMYFUNCTION("""COMPUTED_VALUE"""),"Yes, I will earn and do that")</f>
        <v>Yes, I will earn and do that</v>
      </c>
      <c r="G79" s="1" t="str">
        <f ca="1">IFERROR(__xludf.DUMMYFUNCTION("""COMPUTED_VALUE"""),"This will be hard to do, but if it is the right company I would try")</f>
        <v>This will be hard to do, but if it is the right company I would try</v>
      </c>
      <c r="H79" s="1" t="str">
        <f ca="1">IFERROR(__xludf.DUMMYFUNCTION("""COMPUTED_VALUE"""),"No")</f>
        <v>No</v>
      </c>
      <c r="I79" s="1" t="str">
        <f ca="1">IFERROR(__xludf.DUMMYFUNCTION("""COMPUTED_VALUE"""),"Will NOT work for them")</f>
        <v>Will NOT work for them</v>
      </c>
      <c r="J79" s="1">
        <f ca="1">IFERROR(__xludf.DUMMYFUNCTION("""COMPUTED_VALUE"""),7)</f>
        <v>7</v>
      </c>
      <c r="K79" s="1" t="str">
        <f ca="1">IFERROR(__xludf.DUMMYFUNCTION("""COMPUTED_VALUE"""),"Hybrid Working Environment with less than 15 days a month at office")</f>
        <v>Hybrid Working Environment with less than 15 days a month at office</v>
      </c>
      <c r="L79" s="1" t="str">
        <f ca="1">IFERROR(__xludf.DUMMYFUNCTION("""COMPUTED_VALUE"""),"Employer who pushes your limits by enabling an learning environment, and rewards you at the end")</f>
        <v>Employer who pushes your limits by enabling an learning environment, and rewards you at the end</v>
      </c>
      <c r="M79" s="1" t="str">
        <f ca="1">IFERROR(__xludf.DUMMYFUNCTION("""COMPUTED_VALUE"""),"Instructor or Expert Learning Programs, Trial and error by doing side projects within the company")</f>
        <v>Instructor or Expert Learning Programs, Trial and error by doing side projects within the company</v>
      </c>
      <c r="N79"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79" s="1" t="str">
        <f ca="1">IFERROR(__xludf.DUMMYFUNCTION("""COMPUTED_VALUE"""),"Manager who explains what is expected, sets a goal and helps achieve it")</f>
        <v>Manager who explains what is expected, sets a goal and helps achieve it</v>
      </c>
      <c r="P79" s="1" t="str">
        <f ca="1">IFERROR(__xludf.DUMMYFUNCTION("""COMPUTED_VALUE"""),"Work with 5 to 6 people in my team")</f>
        <v>Work with 5 to 6 people in my team</v>
      </c>
      <c r="Q79" s="1"/>
    </row>
    <row r="80" spans="1:17" ht="13.2" x14ac:dyDescent="0.25">
      <c r="A80" s="2">
        <f ca="1">IFERROR(__xludf.DUMMYFUNCTION("""COMPUTED_VALUE"""),44911.815883206)</f>
        <v>44911.815883206</v>
      </c>
      <c r="B80" s="1" t="str">
        <f ca="1">IFERROR(__xludf.DUMMYFUNCTION("""COMPUTED_VALUE"""),"India")</f>
        <v>India</v>
      </c>
      <c r="C80" s="1">
        <f ca="1">IFERROR(__xludf.DUMMYFUNCTION("""COMPUTED_VALUE"""),828109)</f>
        <v>828109</v>
      </c>
      <c r="D80" s="3" t="str">
        <f ca="1">IFERROR(__xludf.DUMMYFUNCTION("""COMPUTED_VALUE"""),"Male")</f>
        <v>Male</v>
      </c>
      <c r="E80" s="1" t="str">
        <f ca="1">IFERROR(__xludf.DUMMYFUNCTION("""COMPUTED_VALUE"""),"My Parents")</f>
        <v>My Parents</v>
      </c>
      <c r="F80" s="1" t="str">
        <f ca="1">IFERROR(__xludf.DUMMYFUNCTION("""COMPUTED_VALUE"""),"Yes, I will earn and do that")</f>
        <v>Yes, I will earn and do that</v>
      </c>
      <c r="G80" s="1" t="str">
        <f ca="1">IFERROR(__xludf.DUMMYFUNCTION("""COMPUTED_VALUE"""),"Will work for 3 years or more")</f>
        <v>Will work for 3 years or more</v>
      </c>
      <c r="H80" s="1" t="str">
        <f ca="1">IFERROR(__xludf.DUMMYFUNCTION("""COMPUTED_VALUE"""),"Yes")</f>
        <v>Yes</v>
      </c>
      <c r="I80" s="1" t="str">
        <f ca="1">IFERROR(__xludf.DUMMYFUNCTION("""COMPUTED_VALUE"""),"Will work for them")</f>
        <v>Will work for them</v>
      </c>
      <c r="J80" s="1">
        <f ca="1">IFERROR(__xludf.DUMMYFUNCTION("""COMPUTED_VALUE"""),2)</f>
        <v>2</v>
      </c>
      <c r="K80" s="1" t="str">
        <f ca="1">IFERROR(__xludf.DUMMYFUNCTION("""COMPUTED_VALUE"""),"Every Day Office Environment")</f>
        <v>Every Day Office Environment</v>
      </c>
      <c r="L80" s="1" t="str">
        <f ca="1">IFERROR(__xludf.DUMMYFUNCTION("""COMPUTED_VALUE"""),"Employer who appreciates learning and enables that environment")</f>
        <v>Employer who appreciates learning and enables that environment</v>
      </c>
      <c r="M80" s="1" t="str">
        <f ca="1">IFERROR(__xludf.DUMMYFUNCTION("""COMPUTED_VALUE"""),"Instructor or Expert Learning Programs, Learning by observing others")</f>
        <v>Instructor or Expert Learning Programs, Learning by observing others</v>
      </c>
      <c r="N80"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0" s="1" t="str">
        <f ca="1">IFERROR(__xludf.DUMMYFUNCTION("""COMPUTED_VALUE"""),"Manager who sets targets and expects me to achieve it")</f>
        <v>Manager who sets targets and expects me to achieve it</v>
      </c>
      <c r="P80" s="1" t="str">
        <f ca="1">IFERROR(__xludf.DUMMYFUNCTION("""COMPUTED_VALUE"""),"Work with 7 to 10 or more people in my team")</f>
        <v>Work with 7 to 10 or more people in my team</v>
      </c>
      <c r="Q80" s="1"/>
    </row>
    <row r="81" spans="1:17" ht="13.2" x14ac:dyDescent="0.25">
      <c r="A81" s="2">
        <f ca="1">IFERROR(__xludf.DUMMYFUNCTION("""COMPUTED_VALUE"""),44911.8193083564)</f>
        <v>44911.819308356397</v>
      </c>
      <c r="B81" s="1" t="str">
        <f ca="1">IFERROR(__xludf.DUMMYFUNCTION("""COMPUTED_VALUE"""),"India")</f>
        <v>India</v>
      </c>
      <c r="C81" s="1">
        <f ca="1">IFERROR(__xludf.DUMMYFUNCTION("""COMPUTED_VALUE"""),425001)</f>
        <v>425001</v>
      </c>
      <c r="D81" s="3" t="str">
        <f ca="1">IFERROR(__xludf.DUMMYFUNCTION("""COMPUTED_VALUE"""),"Male")</f>
        <v>Male</v>
      </c>
      <c r="E81" s="1" t="str">
        <f ca="1">IFERROR(__xludf.DUMMYFUNCTION("""COMPUTED_VALUE"""),"People from my circle, but not family members")</f>
        <v>People from my circle, but not family members</v>
      </c>
      <c r="F81" s="1" t="str">
        <f ca="1">IFERROR(__xludf.DUMMYFUNCTION("""COMPUTED_VALUE"""),"Yes, I will earn and do that")</f>
        <v>Yes, I will earn and do that</v>
      </c>
      <c r="G81" s="1" t="str">
        <f ca="1">IFERROR(__xludf.DUMMYFUNCTION("""COMPUTED_VALUE"""),"Will work for 3 years or more")</f>
        <v>Will work for 3 years or more</v>
      </c>
      <c r="H81" s="1" t="str">
        <f ca="1">IFERROR(__xludf.DUMMYFUNCTION("""COMPUTED_VALUE"""),"No")</f>
        <v>No</v>
      </c>
      <c r="I81" s="1" t="str">
        <f ca="1">IFERROR(__xludf.DUMMYFUNCTION("""COMPUTED_VALUE"""),"Will work for them")</f>
        <v>Will work for them</v>
      </c>
      <c r="J81" s="1">
        <f ca="1">IFERROR(__xludf.DUMMYFUNCTION("""COMPUTED_VALUE"""),8)</f>
        <v>8</v>
      </c>
      <c r="K81" s="1" t="str">
        <f ca="1">IFERROR(__xludf.DUMMYFUNCTION("""COMPUTED_VALUE"""),"Hybrid Working Environment with less than 10 days a month at office")</f>
        <v>Hybrid Working Environment with less than 10 days a month at office</v>
      </c>
      <c r="L81" s="1" t="str">
        <f ca="1">IFERROR(__xludf.DUMMYFUNCTION("""COMPUTED_VALUE"""),"Employer who appreciates learning and enables that environment")</f>
        <v>Employer who appreciates learning and enables that environment</v>
      </c>
      <c r="M81" s="1" t="str">
        <f ca="1">IFERROR(__xludf.DUMMYFUNCTION("""COMPUTED_VALUE"""),"Self Paced Learning Portals, Instructor or Expert Learning Programs")</f>
        <v>Self Paced Learning Portals, Instructor or Expert Learning Programs</v>
      </c>
      <c r="N81" s="1" t="str">
        <f ca="1">IFERROR(__xludf.DUMMYFUNCTION("""COMPUTED_VALUE"""),"Design and Creative strategy in any company, Manage and drive End-to-End Projects or Products, Become a content Creator in some platform")</f>
        <v>Design and Creative strategy in any company, Manage and drive End-to-End Projects or Products, Become a content Creator in some platform</v>
      </c>
      <c r="O81" s="1" t="str">
        <f ca="1">IFERROR(__xludf.DUMMYFUNCTION("""COMPUTED_VALUE"""),"Manager who sets goal and helps me achieve it")</f>
        <v>Manager who sets goal and helps me achieve it</v>
      </c>
      <c r="P81" s="1" t="str">
        <f ca="1">IFERROR(__xludf.DUMMYFUNCTION("""COMPUTED_VALUE"""),"Work with 5 to 6 people in my team")</f>
        <v>Work with 5 to 6 people in my team</v>
      </c>
      <c r="Q81" s="1"/>
    </row>
    <row r="82" spans="1:17" ht="13.2" x14ac:dyDescent="0.25">
      <c r="A82" s="2">
        <f ca="1">IFERROR(__xludf.DUMMYFUNCTION("""COMPUTED_VALUE"""),44911.8198259721)</f>
        <v>44911.819825972103</v>
      </c>
      <c r="B82" s="1" t="str">
        <f ca="1">IFERROR(__xludf.DUMMYFUNCTION("""COMPUTED_VALUE"""),"India")</f>
        <v>India</v>
      </c>
      <c r="C82" s="1">
        <f ca="1">IFERROR(__xludf.DUMMYFUNCTION("""COMPUTED_VALUE"""),224001)</f>
        <v>224001</v>
      </c>
      <c r="D82" s="3" t="str">
        <f ca="1">IFERROR(__xludf.DUMMYFUNCTION("""COMPUTED_VALUE"""),"Male")</f>
        <v>Male</v>
      </c>
      <c r="E82" s="1" t="str">
        <f ca="1">IFERROR(__xludf.DUMMYFUNCTION("""COMPUTED_VALUE"""),"My Parents")</f>
        <v>My Parents</v>
      </c>
      <c r="F82" s="1" t="str">
        <f ca="1">IFERROR(__xludf.DUMMYFUNCTION("""COMPUTED_VALUE"""),"No, But if someone could bare the cost I will")</f>
        <v>No, But if someone could bare the cost I will</v>
      </c>
      <c r="G82" s="1" t="str">
        <f ca="1">IFERROR(__xludf.DUMMYFUNCTION("""COMPUTED_VALUE"""),"This will be hard to do, but if it is the right company I would try")</f>
        <v>This will be hard to do, but if it is the right company I would try</v>
      </c>
      <c r="H82" s="1" t="str">
        <f ca="1">IFERROR(__xludf.DUMMYFUNCTION("""COMPUTED_VALUE"""),"Yes")</f>
        <v>Yes</v>
      </c>
      <c r="I82" s="1" t="str">
        <f ca="1">IFERROR(__xludf.DUMMYFUNCTION("""COMPUTED_VALUE"""),"Will work for them")</f>
        <v>Will work for them</v>
      </c>
      <c r="J82" s="1">
        <f ca="1">IFERROR(__xludf.DUMMYFUNCTION("""COMPUTED_VALUE"""),5)</f>
        <v>5</v>
      </c>
      <c r="K82" s="1" t="str">
        <f ca="1">IFERROR(__xludf.DUMMYFUNCTION("""COMPUTED_VALUE"""),"Fully Remote with No option to visit offices")</f>
        <v>Fully Remote with No option to visit offices</v>
      </c>
      <c r="L82" s="1" t="str">
        <f ca="1">IFERROR(__xludf.DUMMYFUNCTION("""COMPUTED_VALUE"""),"Employer who pushes your limits by enabling an learning environment, and rewards you at the end")</f>
        <v>Employer who pushes your limits by enabling an learning environment, and rewards you at the end</v>
      </c>
      <c r="M82" s="1" t="str">
        <f ca="1">IFERROR(__xludf.DUMMYFUNCTION("""COMPUTED_VALUE"""),"Instructor or Expert Learning Programs, Trial and error by doing side projects within the company")</f>
        <v>Instructor or Expert Learning Programs, Trial and error by doing side projects within the company</v>
      </c>
      <c r="N82"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82" s="1" t="str">
        <f ca="1">IFERROR(__xludf.DUMMYFUNCTION("""COMPUTED_VALUE"""),"Manager who explains what is expected, sets a goal and helps achieve it")</f>
        <v>Manager who explains what is expected, sets a goal and helps achieve it</v>
      </c>
      <c r="P82" s="1" t="str">
        <f ca="1">IFERROR(__xludf.DUMMYFUNCTION("""COMPUTED_VALUE"""),"Work with 2 to 3 people in my team, Work with 5 to 6 people in my team")</f>
        <v>Work with 2 to 3 people in my team, Work with 5 to 6 people in my team</v>
      </c>
      <c r="Q82" s="1"/>
    </row>
    <row r="83" spans="1:17" ht="13.2" x14ac:dyDescent="0.25">
      <c r="A83" s="2">
        <f ca="1">IFERROR(__xludf.DUMMYFUNCTION("""COMPUTED_VALUE"""),44911.8199102893)</f>
        <v>44911.819910289298</v>
      </c>
      <c r="B83" s="1" t="str">
        <f ca="1">IFERROR(__xludf.DUMMYFUNCTION("""COMPUTED_VALUE"""),"India")</f>
        <v>India</v>
      </c>
      <c r="C83" s="1">
        <f ca="1">IFERROR(__xludf.DUMMYFUNCTION("""COMPUTED_VALUE"""),110092)</f>
        <v>110092</v>
      </c>
      <c r="D83" s="3" t="str">
        <f ca="1">IFERROR(__xludf.DUMMYFUNCTION("""COMPUTED_VALUE"""),"Female")</f>
        <v>Female</v>
      </c>
      <c r="E83" s="1" t="str">
        <f ca="1">IFERROR(__xludf.DUMMYFUNCTION("""COMPUTED_VALUE"""),"Influencers who had successful careers")</f>
        <v>Influencers who had successful careers</v>
      </c>
      <c r="F83" s="1" t="str">
        <f ca="1">IFERROR(__xludf.DUMMYFUNCTION("""COMPUTED_VALUE"""),"Yes, I will earn and do that")</f>
        <v>Yes, I will earn and do that</v>
      </c>
      <c r="G83" s="1" t="str">
        <f ca="1">IFERROR(__xludf.DUMMYFUNCTION("""COMPUTED_VALUE"""),"This will be hard to do, but if it is the right company I would try")</f>
        <v>This will be hard to do, but if it is the right company I would try</v>
      </c>
      <c r="H83" s="1" t="str">
        <f ca="1">IFERROR(__xludf.DUMMYFUNCTION("""COMPUTED_VALUE"""),"No")</f>
        <v>No</v>
      </c>
      <c r="I83" s="1" t="str">
        <f ca="1">IFERROR(__xludf.DUMMYFUNCTION("""COMPUTED_VALUE"""),"Will NOT work for them")</f>
        <v>Will NOT work for them</v>
      </c>
      <c r="J83" s="1">
        <f ca="1">IFERROR(__xludf.DUMMYFUNCTION("""COMPUTED_VALUE"""),6)</f>
        <v>6</v>
      </c>
      <c r="K83" s="1" t="str">
        <f ca="1">IFERROR(__xludf.DUMMYFUNCTION("""COMPUTED_VALUE"""),"Fully Remote with Options to travel as and when needed")</f>
        <v>Fully Remote with Options to travel as and when needed</v>
      </c>
      <c r="L83" s="1" t="str">
        <f ca="1">IFERROR(__xludf.DUMMYFUNCTION("""COMPUTED_VALUE"""),"Employer who pushes your limits by enabling an learning environment, and rewards you at the end")</f>
        <v>Employer who pushes your limits by enabling an learning environment, and rewards you at the end</v>
      </c>
      <c r="M83" s="1" t="str">
        <f ca="1">IFERROR(__xludf.DUMMYFUNCTION("""COMPUTED_VALUE"""),"Self Paced Learning Portals, Learning by observing others")</f>
        <v>Self Paced Learning Portals, Learning by observing others</v>
      </c>
      <c r="N8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83" s="1" t="str">
        <f ca="1">IFERROR(__xludf.DUMMYFUNCTION("""COMPUTED_VALUE"""),"Manager who explains what is expected, sets a goal and helps achieve it")</f>
        <v>Manager who explains what is expected, sets a goal and helps achieve it</v>
      </c>
      <c r="P83" s="1" t="str">
        <f ca="1">IFERROR(__xludf.DUMMYFUNCTION("""COMPUTED_VALUE"""),"Work with 2 to 3 people in my team")</f>
        <v>Work with 2 to 3 people in my team</v>
      </c>
      <c r="Q83" s="1"/>
    </row>
    <row r="84" spans="1:17" ht="13.2" x14ac:dyDescent="0.25">
      <c r="A84" s="2">
        <f ca="1">IFERROR(__xludf.DUMMYFUNCTION("""COMPUTED_VALUE"""),44911.820092824)</f>
        <v>44911.820092823997</v>
      </c>
      <c r="B84" s="1" t="str">
        <f ca="1">IFERROR(__xludf.DUMMYFUNCTION("""COMPUTED_VALUE"""),"India")</f>
        <v>India</v>
      </c>
      <c r="C84" s="1">
        <f ca="1">IFERROR(__xludf.DUMMYFUNCTION("""COMPUTED_VALUE"""),500018)</f>
        <v>500018</v>
      </c>
      <c r="D84" s="3" t="str">
        <f ca="1">IFERROR(__xludf.DUMMYFUNCTION("""COMPUTED_VALUE"""),"Male")</f>
        <v>Male</v>
      </c>
      <c r="E84" s="1" t="str">
        <f ca="1">IFERROR(__xludf.DUMMYFUNCTION("""COMPUTED_VALUE"""),"My Parents")</f>
        <v>My Parents</v>
      </c>
      <c r="F84" s="1" t="str">
        <f ca="1">IFERROR(__xludf.DUMMYFUNCTION("""COMPUTED_VALUE"""),"Yes, I will earn and do that")</f>
        <v>Yes, I will earn and do that</v>
      </c>
      <c r="G84" s="1" t="str">
        <f ca="1">IFERROR(__xludf.DUMMYFUNCTION("""COMPUTED_VALUE"""),"Will work for 3 years or more")</f>
        <v>Will work for 3 years or more</v>
      </c>
      <c r="H84" s="1" t="str">
        <f ca="1">IFERROR(__xludf.DUMMYFUNCTION("""COMPUTED_VALUE"""),"No")</f>
        <v>No</v>
      </c>
      <c r="I84" s="1" t="str">
        <f ca="1">IFERROR(__xludf.DUMMYFUNCTION("""COMPUTED_VALUE"""),"Will NOT work for them")</f>
        <v>Will NOT work for them</v>
      </c>
      <c r="J84" s="1">
        <f ca="1">IFERROR(__xludf.DUMMYFUNCTION("""COMPUTED_VALUE"""),8)</f>
        <v>8</v>
      </c>
      <c r="K84" s="1" t="str">
        <f ca="1">IFERROR(__xludf.DUMMYFUNCTION("""COMPUTED_VALUE"""),"Hybrid Working Environment with less than 3 days a month at office")</f>
        <v>Hybrid Working Environment with less than 3 days a month at office</v>
      </c>
      <c r="L84" s="1" t="str">
        <f ca="1">IFERROR(__xludf.DUMMYFUNCTION("""COMPUTED_VALUE"""),"Employer who rewards learning and enables that environment")</f>
        <v>Employer who rewards learning and enables that environment</v>
      </c>
      <c r="M84" s="1" t="str">
        <f ca="1">IFERROR(__xludf.DUMMYFUNCTION("""COMPUTED_VALUE"""),"Self Paced Learning Portals, Instructor or Expert Learning Programs")</f>
        <v>Self Paced Learning Portals, Instructor or Expert Learning Programs</v>
      </c>
      <c r="N8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84" s="1" t="str">
        <f ca="1">IFERROR(__xludf.DUMMYFUNCTION("""COMPUTED_VALUE"""),"Manager who sets targets and expects me to achieve it")</f>
        <v>Manager who sets targets and expects me to achieve it</v>
      </c>
      <c r="P84" s="1" t="str">
        <f ca="1">IFERROR(__xludf.DUMMYFUNCTION("""COMPUTED_VALUE"""),"Work with 7 to 10 or more people in my team, Work with more than 10 people in my team")</f>
        <v>Work with 7 to 10 or more people in my team, Work with more than 10 people in my team</v>
      </c>
      <c r="Q84" s="1"/>
    </row>
    <row r="85" spans="1:17" ht="13.2" x14ac:dyDescent="0.25">
      <c r="A85" s="2">
        <f ca="1">IFERROR(__xludf.DUMMYFUNCTION("""COMPUTED_VALUE"""),44911.8250180439)</f>
        <v>44911.825018043899</v>
      </c>
      <c r="B85" s="1" t="str">
        <f ca="1">IFERROR(__xludf.DUMMYFUNCTION("""COMPUTED_VALUE"""),"India")</f>
        <v>India</v>
      </c>
      <c r="C85" s="1">
        <f ca="1">IFERROR(__xludf.DUMMYFUNCTION("""COMPUTED_VALUE"""),533342)</f>
        <v>533342</v>
      </c>
      <c r="D85" s="3" t="str">
        <f ca="1">IFERROR(__xludf.DUMMYFUNCTION("""COMPUTED_VALUE"""),"Male")</f>
        <v>Male</v>
      </c>
      <c r="E85" s="1" t="str">
        <f ca="1">IFERROR(__xludf.DUMMYFUNCTION("""COMPUTED_VALUE"""),"Influencers who had successful careers")</f>
        <v>Influencers who had successful careers</v>
      </c>
      <c r="F85" s="1" t="str">
        <f ca="1">IFERROR(__xludf.DUMMYFUNCTION("""COMPUTED_VALUE"""),"No I would not be pursuing Higher Education outside of India")</f>
        <v>No I would not be pursuing Higher Education outside of India</v>
      </c>
      <c r="G85" s="1" t="str">
        <f ca="1">IFERROR(__xludf.DUMMYFUNCTION("""COMPUTED_VALUE"""),"Will work for 3 years or more")</f>
        <v>Will work for 3 years or more</v>
      </c>
      <c r="H85" s="1" t="str">
        <f ca="1">IFERROR(__xludf.DUMMYFUNCTION("""COMPUTED_VALUE"""),"No")</f>
        <v>No</v>
      </c>
      <c r="I85" s="1" t="str">
        <f ca="1">IFERROR(__xludf.DUMMYFUNCTION("""COMPUTED_VALUE"""),"Will NOT work for them")</f>
        <v>Will NOT work for them</v>
      </c>
      <c r="J85" s="1">
        <f ca="1">IFERROR(__xludf.DUMMYFUNCTION("""COMPUTED_VALUE"""),9)</f>
        <v>9</v>
      </c>
      <c r="K85" s="1" t="str">
        <f ca="1">IFERROR(__xludf.DUMMYFUNCTION("""COMPUTED_VALUE"""),"Every Day Office Environment")</f>
        <v>Every Day Office Environment</v>
      </c>
      <c r="L85" s="1" t="str">
        <f ca="1">IFERROR(__xludf.DUMMYFUNCTION("""COMPUTED_VALUE"""),"Employer who pushes your limits by enabling an learning environment, and rewards you at the end")</f>
        <v>Employer who pushes your limits by enabling an learning environment, and rewards you at the end</v>
      </c>
      <c r="M85" s="1" t="str">
        <f ca="1">IFERROR(__xludf.DUMMYFUNCTION("""COMPUTED_VALUE"""),"Self Paced Learning Portals, Learning by observing others")</f>
        <v>Self Paced Learning Portals, Learning by observing others</v>
      </c>
      <c r="N8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85" s="1" t="str">
        <f ca="1">IFERROR(__xludf.DUMMYFUNCTION("""COMPUTED_VALUE"""),"Manager who clearly describes what she/he needs")</f>
        <v>Manager who clearly describes what she/he needs</v>
      </c>
      <c r="P85" s="1" t="str">
        <f ca="1">IFERROR(__xludf.DUMMYFUNCTION("""COMPUTED_VALUE"""),"Work with 2 to 3 people in my team")</f>
        <v>Work with 2 to 3 people in my team</v>
      </c>
      <c r="Q85" s="1"/>
    </row>
    <row r="86" spans="1:17" ht="13.2" x14ac:dyDescent="0.25">
      <c r="A86" s="2">
        <f ca="1">IFERROR(__xludf.DUMMYFUNCTION("""COMPUTED_VALUE"""),44911.8252508564)</f>
        <v>44911.825250856396</v>
      </c>
      <c r="B86" s="1" t="str">
        <f ca="1">IFERROR(__xludf.DUMMYFUNCTION("""COMPUTED_VALUE"""),"India")</f>
        <v>India</v>
      </c>
      <c r="C86" s="1">
        <f ca="1">IFERROR(__xludf.DUMMYFUNCTION("""COMPUTED_VALUE"""),600053)</f>
        <v>600053</v>
      </c>
      <c r="D86" s="3" t="str">
        <f ca="1">IFERROR(__xludf.DUMMYFUNCTION("""COMPUTED_VALUE"""),"Female")</f>
        <v>Female</v>
      </c>
      <c r="E86" s="1" t="str">
        <f ca="1">IFERROR(__xludf.DUMMYFUNCTION("""COMPUTED_VALUE"""),"Social Media like LinkedIn")</f>
        <v>Social Media like LinkedIn</v>
      </c>
      <c r="F86" s="1" t="str">
        <f ca="1">IFERROR(__xludf.DUMMYFUNCTION("""COMPUTED_VALUE"""),"Yes, I will earn and do that")</f>
        <v>Yes, I will earn and do that</v>
      </c>
      <c r="G86" s="1" t="str">
        <f ca="1">IFERROR(__xludf.DUMMYFUNCTION("""COMPUTED_VALUE"""),"Will work for 3 years or more")</f>
        <v>Will work for 3 years or more</v>
      </c>
      <c r="H86" s="1" t="str">
        <f ca="1">IFERROR(__xludf.DUMMYFUNCTION("""COMPUTED_VALUE"""),"No")</f>
        <v>No</v>
      </c>
      <c r="I86" s="1" t="str">
        <f ca="1">IFERROR(__xludf.DUMMYFUNCTION("""COMPUTED_VALUE"""),"Will NOT work for them")</f>
        <v>Will NOT work for them</v>
      </c>
      <c r="J86" s="1">
        <f ca="1">IFERROR(__xludf.DUMMYFUNCTION("""COMPUTED_VALUE"""),4)</f>
        <v>4</v>
      </c>
      <c r="K86" s="1" t="str">
        <f ca="1">IFERROR(__xludf.DUMMYFUNCTION("""COMPUTED_VALUE"""),"Hybrid Working Environment with less than 10 days a month at office")</f>
        <v>Hybrid Working Environment with less than 10 days a month at office</v>
      </c>
      <c r="L86" s="1" t="str">
        <f ca="1">IFERROR(__xludf.DUMMYFUNCTION("""COMPUTED_VALUE"""),"Employer who appreciates learning and enables that environment")</f>
        <v>Employer who appreciates learning and enables that environment</v>
      </c>
      <c r="M86" s="1" t="str">
        <f ca="1">IFERROR(__xludf.DUMMYFUNCTION("""COMPUTED_VALUE"""),"Self Paced Learning Portals, Learning by observing others")</f>
        <v>Self Paced Learning Portals, Learning by observing others</v>
      </c>
      <c r="N8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86" s="1" t="str">
        <f ca="1">IFERROR(__xludf.DUMMYFUNCTION("""COMPUTED_VALUE"""),"Manager who explains what is expected, sets a goal and helps achieve it")</f>
        <v>Manager who explains what is expected, sets a goal and helps achieve it</v>
      </c>
      <c r="P86" s="1" t="str">
        <f ca="1">IFERROR(__xludf.DUMMYFUNCTION("""COMPUTED_VALUE"""),"Work with 7 to 10 or more people in my team")</f>
        <v>Work with 7 to 10 or more people in my team</v>
      </c>
      <c r="Q86" s="1"/>
    </row>
    <row r="87" spans="1:17" ht="13.2" x14ac:dyDescent="0.25">
      <c r="A87" s="2">
        <f ca="1">IFERROR(__xludf.DUMMYFUNCTION("""COMPUTED_VALUE"""),44911.8294038888)</f>
        <v>44911.829403888798</v>
      </c>
      <c r="B87" s="1" t="str">
        <f ca="1">IFERROR(__xludf.DUMMYFUNCTION("""COMPUTED_VALUE"""),"India")</f>
        <v>India</v>
      </c>
      <c r="C87" s="1">
        <f ca="1">IFERROR(__xludf.DUMMYFUNCTION("""COMPUTED_VALUE"""),425001)</f>
        <v>425001</v>
      </c>
      <c r="D87" s="3" t="str">
        <f ca="1">IFERROR(__xludf.DUMMYFUNCTION("""COMPUTED_VALUE"""),"Female")</f>
        <v>Female</v>
      </c>
      <c r="E87" s="1" t="str">
        <f ca="1">IFERROR(__xludf.DUMMYFUNCTION("""COMPUTED_VALUE"""),"Influencers who had successful careers")</f>
        <v>Influencers who had successful careers</v>
      </c>
      <c r="F87" s="1" t="str">
        <f ca="1">IFERROR(__xludf.DUMMYFUNCTION("""COMPUTED_VALUE"""),"No I would not be pursuing Higher Education outside of India")</f>
        <v>No I would not be pursuing Higher Education outside of India</v>
      </c>
      <c r="G87" s="1" t="str">
        <f ca="1">IFERROR(__xludf.DUMMYFUNCTION("""COMPUTED_VALUE"""),"This will be hard to do, but if it is the right company I would try")</f>
        <v>This will be hard to do, but if it is the right company I would try</v>
      </c>
      <c r="H87" s="1" t="str">
        <f ca="1">IFERROR(__xludf.DUMMYFUNCTION("""COMPUTED_VALUE"""),"No")</f>
        <v>No</v>
      </c>
      <c r="I87" s="1" t="str">
        <f ca="1">IFERROR(__xludf.DUMMYFUNCTION("""COMPUTED_VALUE"""),"Will NOT work for them")</f>
        <v>Will NOT work for them</v>
      </c>
      <c r="J87" s="1">
        <f ca="1">IFERROR(__xludf.DUMMYFUNCTION("""COMPUTED_VALUE"""),5)</f>
        <v>5</v>
      </c>
      <c r="K87" s="1" t="str">
        <f ca="1">IFERROR(__xludf.DUMMYFUNCTION("""COMPUTED_VALUE"""),"Every Day Office Environment")</f>
        <v>Every Day Office Environment</v>
      </c>
      <c r="L87" s="1" t="str">
        <f ca="1">IFERROR(__xludf.DUMMYFUNCTION("""COMPUTED_VALUE"""),"Employer who pushes your limits by enabling an learning environment, and rewards you at the end")</f>
        <v>Employer who pushes your limits by enabling an learning environment, and rewards you at the end</v>
      </c>
      <c r="M87" s="1" t="str">
        <f ca="1">IFERROR(__xludf.DUMMYFUNCTION("""COMPUTED_VALUE"""),"Instructor or Expert Learning Programs, Learning by observing others")</f>
        <v>Instructor or Expert Learning Programs, Learning by observing others</v>
      </c>
      <c r="N87"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87" s="1" t="str">
        <f ca="1">IFERROR(__xludf.DUMMYFUNCTION("""COMPUTED_VALUE"""),"Manager who explains what is expected, sets a goal and helps achieve it")</f>
        <v>Manager who explains what is expected, sets a goal and helps achieve it</v>
      </c>
      <c r="P87" s="1" t="str">
        <f ca="1">IFERROR(__xludf.DUMMYFUNCTION("""COMPUTED_VALUE"""),"Work with more than 10 people in my team")</f>
        <v>Work with more than 10 people in my team</v>
      </c>
      <c r="Q87" s="1"/>
    </row>
    <row r="88" spans="1:17" ht="13.2" x14ac:dyDescent="0.25">
      <c r="A88" s="2">
        <f ca="1">IFERROR(__xludf.DUMMYFUNCTION("""COMPUTED_VALUE"""),44911.836129537)</f>
        <v>44911.836129536998</v>
      </c>
      <c r="B88" s="1" t="str">
        <f ca="1">IFERROR(__xludf.DUMMYFUNCTION("""COMPUTED_VALUE"""),"India")</f>
        <v>India</v>
      </c>
      <c r="C88" s="1">
        <f ca="1">IFERROR(__xludf.DUMMYFUNCTION("""COMPUTED_VALUE"""),370110)</f>
        <v>370110</v>
      </c>
      <c r="D88" s="3" t="str">
        <f ca="1">IFERROR(__xludf.DUMMYFUNCTION("""COMPUTED_VALUE"""),"Male")</f>
        <v>Male</v>
      </c>
      <c r="E88" s="1" t="str">
        <f ca="1">IFERROR(__xludf.DUMMYFUNCTION("""COMPUTED_VALUE"""),"Social Media like LinkedIn")</f>
        <v>Social Media like LinkedIn</v>
      </c>
      <c r="F88" s="1" t="str">
        <f ca="1">IFERROR(__xludf.DUMMYFUNCTION("""COMPUTED_VALUE"""),"No I would not be pursuing Higher Education outside of India")</f>
        <v>No I would not be pursuing Higher Education outside of India</v>
      </c>
      <c r="G88" s="1" t="str">
        <f ca="1">IFERROR(__xludf.DUMMYFUNCTION("""COMPUTED_VALUE"""),"This will be hard to do, but if it is the right company I would try")</f>
        <v>This will be hard to do, but if it is the right company I would try</v>
      </c>
      <c r="H88" s="1" t="str">
        <f ca="1">IFERROR(__xludf.DUMMYFUNCTION("""COMPUTED_VALUE"""),"Yes")</f>
        <v>Yes</v>
      </c>
      <c r="I88" s="1" t="str">
        <f ca="1">IFERROR(__xludf.DUMMYFUNCTION("""COMPUTED_VALUE"""),"Will NOT work for them")</f>
        <v>Will NOT work for them</v>
      </c>
      <c r="J88" s="1">
        <f ca="1">IFERROR(__xludf.DUMMYFUNCTION("""COMPUTED_VALUE"""),5)</f>
        <v>5</v>
      </c>
      <c r="K88" s="1" t="str">
        <f ca="1">IFERROR(__xludf.DUMMYFUNCTION("""COMPUTED_VALUE"""),"Hybrid Working Environment with less than 15 days a month at office")</f>
        <v>Hybrid Working Environment with less than 15 days a month at office</v>
      </c>
      <c r="L88" s="1" t="str">
        <f ca="1">IFERROR(__xludf.DUMMYFUNCTION("""COMPUTED_VALUE"""),"Employer who pushes your limits by enabling an learning environment, and rewards you at the end")</f>
        <v>Employer who pushes your limits by enabling an learning environment, and rewards you at the end</v>
      </c>
      <c r="M88" s="1" t="str">
        <f ca="1">IFERROR(__xludf.DUMMYFUNCTION("""COMPUTED_VALUE"""),"Self Paced Learning Portals, Trial and error by doing side projects within the company")</f>
        <v>Self Paced Learning Portals, Trial and error by doing side projects within the company</v>
      </c>
      <c r="N8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88" s="1" t="str">
        <f ca="1">IFERROR(__xludf.DUMMYFUNCTION("""COMPUTED_VALUE"""),"Manager who sets goal and helps me achieve it")</f>
        <v>Manager who sets goal and helps me achieve it</v>
      </c>
      <c r="P8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8" s="1"/>
    </row>
    <row r="89" spans="1:17" ht="13.2" x14ac:dyDescent="0.25">
      <c r="A89" s="2">
        <f ca="1">IFERROR(__xludf.DUMMYFUNCTION("""COMPUTED_VALUE"""),44911.8440283449)</f>
        <v>44911.844028344902</v>
      </c>
      <c r="B89" s="1" t="str">
        <f ca="1">IFERROR(__xludf.DUMMYFUNCTION("""COMPUTED_VALUE"""),"India")</f>
        <v>India</v>
      </c>
      <c r="C89" s="1">
        <f ca="1">IFERROR(__xludf.DUMMYFUNCTION("""COMPUTED_VALUE"""),110017)</f>
        <v>110017</v>
      </c>
      <c r="D89" s="3" t="str">
        <f ca="1">IFERROR(__xludf.DUMMYFUNCTION("""COMPUTED_VALUE"""),"Female")</f>
        <v>Female</v>
      </c>
      <c r="E89" s="1" t="str">
        <f ca="1">IFERROR(__xludf.DUMMYFUNCTION("""COMPUTED_VALUE"""),"People from my circle, but not family members")</f>
        <v>People from my circle, but not family members</v>
      </c>
      <c r="F89" s="1" t="str">
        <f ca="1">IFERROR(__xludf.DUMMYFUNCTION("""COMPUTED_VALUE"""),"Yes, I will earn and do that")</f>
        <v>Yes, I will earn and do that</v>
      </c>
      <c r="G89" s="1" t="str">
        <f ca="1">IFERROR(__xludf.DUMMYFUNCTION("""COMPUTED_VALUE"""),"This will be hard to do, but if it is the right company I would try")</f>
        <v>This will be hard to do, but if it is the right company I would try</v>
      </c>
      <c r="H89" s="1" t="str">
        <f ca="1">IFERROR(__xludf.DUMMYFUNCTION("""COMPUTED_VALUE"""),"No")</f>
        <v>No</v>
      </c>
      <c r="I89" s="1" t="str">
        <f ca="1">IFERROR(__xludf.DUMMYFUNCTION("""COMPUTED_VALUE"""),"Will NOT work for them")</f>
        <v>Will NOT work for them</v>
      </c>
      <c r="J89" s="1">
        <f ca="1">IFERROR(__xludf.DUMMYFUNCTION("""COMPUTED_VALUE"""),1)</f>
        <v>1</v>
      </c>
      <c r="K89" s="1" t="str">
        <f ca="1">IFERROR(__xludf.DUMMYFUNCTION("""COMPUTED_VALUE"""),"Every Day Office Environment")</f>
        <v>Every Day Office Environment</v>
      </c>
      <c r="L89" s="1" t="str">
        <f ca="1">IFERROR(__xludf.DUMMYFUNCTION("""COMPUTED_VALUE"""),"Employer who pushes your limits by enabling an learning environment, and rewards you at the end")</f>
        <v>Employer who pushes your limits by enabling an learning environment, and rewards you at the end</v>
      </c>
      <c r="M89" s="1" t="str">
        <f ca="1">IFERROR(__xludf.DUMMYFUNCTION("""COMPUTED_VALUE"""),"Learning by observing others, Trial and error by doing side projects within the company")</f>
        <v>Learning by observing others, Trial and error by doing side projects within the company</v>
      </c>
      <c r="N89"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9" s="1" t="str">
        <f ca="1">IFERROR(__xludf.DUMMYFUNCTION("""COMPUTED_VALUE"""),"Manager who explains what is expected, sets a goal and helps achieve it")</f>
        <v>Manager who explains what is expected, sets a goal and helps achieve it</v>
      </c>
      <c r="P89" s="1" t="str">
        <f ca="1">IFERROR(__xludf.DUMMYFUNCTION("""COMPUTED_VALUE"""),"Work alone, Work with 2 to 3 people in my team")</f>
        <v>Work alone, Work with 2 to 3 people in my team</v>
      </c>
      <c r="Q89" s="1"/>
    </row>
    <row r="90" spans="1:17" ht="13.2" x14ac:dyDescent="0.25">
      <c r="A90" s="2">
        <f ca="1">IFERROR(__xludf.DUMMYFUNCTION("""COMPUTED_VALUE"""),44911.8446268171)</f>
        <v>44911.844626817103</v>
      </c>
      <c r="B90" s="1" t="str">
        <f ca="1">IFERROR(__xludf.DUMMYFUNCTION("""COMPUTED_VALUE"""),"India")</f>
        <v>India</v>
      </c>
      <c r="C90" s="1">
        <f ca="1">IFERROR(__xludf.DUMMYFUNCTION("""COMPUTED_VALUE"""),574111)</f>
        <v>574111</v>
      </c>
      <c r="D90" s="3" t="str">
        <f ca="1">IFERROR(__xludf.DUMMYFUNCTION("""COMPUTED_VALUE"""),"Female")</f>
        <v>Female</v>
      </c>
      <c r="E90" s="1" t="str">
        <f ca="1">IFERROR(__xludf.DUMMYFUNCTION("""COMPUTED_VALUE"""),"People from my circle, but not family members")</f>
        <v>People from my circle, but not family members</v>
      </c>
      <c r="F90" s="1" t="str">
        <f ca="1">IFERROR(__xludf.DUMMYFUNCTION("""COMPUTED_VALUE"""),"No, But if someone could bare the cost I will")</f>
        <v>No, But if someone could bare the cost I will</v>
      </c>
      <c r="G90" s="1" t="str">
        <f ca="1">IFERROR(__xludf.DUMMYFUNCTION("""COMPUTED_VALUE"""),"Will work for 3 years or more")</f>
        <v>Will work for 3 years or more</v>
      </c>
      <c r="H90" s="1" t="str">
        <f ca="1">IFERROR(__xludf.DUMMYFUNCTION("""COMPUTED_VALUE"""),"No")</f>
        <v>No</v>
      </c>
      <c r="I90" s="1" t="str">
        <f ca="1">IFERROR(__xludf.DUMMYFUNCTION("""COMPUTED_VALUE"""),"Will NOT work for them")</f>
        <v>Will NOT work for them</v>
      </c>
      <c r="J90" s="1">
        <f ca="1">IFERROR(__xludf.DUMMYFUNCTION("""COMPUTED_VALUE"""),5)</f>
        <v>5</v>
      </c>
      <c r="K90" s="1" t="str">
        <f ca="1">IFERROR(__xludf.DUMMYFUNCTION("""COMPUTED_VALUE"""),"Hybrid Working Environment with less than 15 days a month at office")</f>
        <v>Hybrid Working Environment with less than 15 days a month at office</v>
      </c>
      <c r="L90" s="1" t="str">
        <f ca="1">IFERROR(__xludf.DUMMYFUNCTION("""COMPUTED_VALUE"""),"Employer who pushes your limits by enabling an learning environment, and rewards you at the end")</f>
        <v>Employer who pushes your limits by enabling an learning environment, and rewards you at the end</v>
      </c>
      <c r="M90" s="1" t="str">
        <f ca="1">IFERROR(__xludf.DUMMYFUNCTION("""COMPUTED_VALUE"""),"Learning by observing others, Trial and error by doing side projects within the company")</f>
        <v>Learning by observing others, Trial and error by doing side projects within the company</v>
      </c>
      <c r="N90" s="1" t="str">
        <f ca="1">IFERROR(__xludf.DUMMYFUNCTION("""COMPUTED_VALUE"""),"Design and Creative strategy in any company, Design and Develop amazing software, Work in a BPO setup for some well known client")</f>
        <v>Design and Creative strategy in any company, Design and Develop amazing software, Work in a BPO setup for some well known client</v>
      </c>
      <c r="O90" s="1" t="str">
        <f ca="1">IFERROR(__xludf.DUMMYFUNCTION("""COMPUTED_VALUE"""),"Manager who explains what is expected, sets a goal and helps achieve it")</f>
        <v>Manager who explains what is expected, sets a goal and helps achieve it</v>
      </c>
      <c r="P90" s="1" t="str">
        <f ca="1">IFERROR(__xludf.DUMMYFUNCTION("""COMPUTED_VALUE"""),"Work alone, Work with 2 to 3 people in my team")</f>
        <v>Work alone, Work with 2 to 3 people in my team</v>
      </c>
      <c r="Q90" s="1"/>
    </row>
    <row r="91" spans="1:17" ht="13.2" x14ac:dyDescent="0.25">
      <c r="A91" s="2">
        <f ca="1">IFERROR(__xludf.DUMMYFUNCTION("""COMPUTED_VALUE"""),44911.851828993)</f>
        <v>44911.851828993</v>
      </c>
      <c r="B91" s="1" t="str">
        <f ca="1">IFERROR(__xludf.DUMMYFUNCTION("""COMPUTED_VALUE"""),"India")</f>
        <v>India</v>
      </c>
      <c r="C91" s="1">
        <f ca="1">IFERROR(__xludf.DUMMYFUNCTION("""COMPUTED_VALUE"""),576104)</f>
        <v>576104</v>
      </c>
      <c r="D91" s="3" t="str">
        <f ca="1">IFERROR(__xludf.DUMMYFUNCTION("""COMPUTED_VALUE"""),"Female")</f>
        <v>Female</v>
      </c>
      <c r="E91" s="1" t="str">
        <f ca="1">IFERROR(__xludf.DUMMYFUNCTION("""COMPUTED_VALUE"""),"People from my circle, but not family members")</f>
        <v>People from my circle, but not family members</v>
      </c>
      <c r="F91" s="1" t="str">
        <f ca="1">IFERROR(__xludf.DUMMYFUNCTION("""COMPUTED_VALUE"""),"No, But if someone could bare the cost I will")</f>
        <v>No, But if someone could bare the cost I will</v>
      </c>
      <c r="G91" s="1" t="str">
        <f ca="1">IFERROR(__xludf.DUMMYFUNCTION("""COMPUTED_VALUE"""),"This will be hard to do, but if it is the right company I would try")</f>
        <v>This will be hard to do, but if it is the right company I would try</v>
      </c>
      <c r="H91" s="1" t="str">
        <f ca="1">IFERROR(__xludf.DUMMYFUNCTION("""COMPUTED_VALUE"""),"No")</f>
        <v>No</v>
      </c>
      <c r="I91" s="1" t="str">
        <f ca="1">IFERROR(__xludf.DUMMYFUNCTION("""COMPUTED_VALUE"""),"Will NOT work for them")</f>
        <v>Will NOT work for them</v>
      </c>
      <c r="J91" s="1">
        <f ca="1">IFERROR(__xludf.DUMMYFUNCTION("""COMPUTED_VALUE"""),5)</f>
        <v>5</v>
      </c>
      <c r="K91" s="1" t="str">
        <f ca="1">IFERROR(__xludf.DUMMYFUNCTION("""COMPUTED_VALUE"""),"Fully Remote with Options to travel as and when needed")</f>
        <v>Fully Remote with Options to travel as and when needed</v>
      </c>
      <c r="L91" s="1" t="str">
        <f ca="1">IFERROR(__xludf.DUMMYFUNCTION("""COMPUTED_VALUE"""),"Employer who appreciates learning and enables that environment")</f>
        <v>Employer who appreciates learning and enables that environment</v>
      </c>
      <c r="M91" s="1" t="str">
        <f ca="1">IFERROR(__xludf.DUMMYFUNCTION("""COMPUTED_VALUE"""),"Self Paced Learning Portals, Instructor or Expert Learning Programs")</f>
        <v>Self Paced Learning Portals, Instructor or Expert Learning Programs</v>
      </c>
      <c r="N91" s="1" t="str">
        <f ca="1">IFERROR(__xludf.DUMMYFUNCTION("""COMPUTED_VALUE"""),"Look deeply into Data and generate insights, Work in a BPO setup for some well known client, Work as a freelancer and do my thing my way")</f>
        <v>Look deeply into Data and generate insights, Work in a BPO setup for some well known client, Work as a freelancer and do my thing my way</v>
      </c>
      <c r="O91" s="1" t="str">
        <f ca="1">IFERROR(__xludf.DUMMYFUNCTION("""COMPUTED_VALUE"""),"Manager who explains what is expected, sets a goal and helps achieve it")</f>
        <v>Manager who explains what is expected, sets a goal and helps achieve it</v>
      </c>
      <c r="P91" s="1" t="str">
        <f ca="1">IFERROR(__xludf.DUMMYFUNCTION("""COMPUTED_VALUE"""),"Work with 5 to 6 people in my team")</f>
        <v>Work with 5 to 6 people in my team</v>
      </c>
      <c r="Q91" s="1"/>
    </row>
    <row r="92" spans="1:17" ht="13.2" x14ac:dyDescent="0.25">
      <c r="A92" s="2">
        <f ca="1">IFERROR(__xludf.DUMMYFUNCTION("""COMPUTED_VALUE"""),44911.8568034143)</f>
        <v>44911.856803414303</v>
      </c>
      <c r="B92" s="1" t="str">
        <f ca="1">IFERROR(__xludf.DUMMYFUNCTION("""COMPUTED_VALUE"""),"India")</f>
        <v>India</v>
      </c>
      <c r="C92" s="1">
        <f ca="1">IFERROR(__xludf.DUMMYFUNCTION("""COMPUTED_VALUE"""),246701)</f>
        <v>246701</v>
      </c>
      <c r="D92" s="3" t="str">
        <f ca="1">IFERROR(__xludf.DUMMYFUNCTION("""COMPUTED_VALUE"""),"Female")</f>
        <v>Female</v>
      </c>
      <c r="E92" s="1" t="str">
        <f ca="1">IFERROR(__xludf.DUMMYFUNCTION("""COMPUTED_VALUE"""),"Social Media like LinkedIn")</f>
        <v>Social Media like LinkedIn</v>
      </c>
      <c r="F92" s="1" t="str">
        <f ca="1">IFERROR(__xludf.DUMMYFUNCTION("""COMPUTED_VALUE"""),"Yes, I will earn and do that")</f>
        <v>Yes, I will earn and do that</v>
      </c>
      <c r="G92" s="1" t="str">
        <f ca="1">IFERROR(__xludf.DUMMYFUNCTION("""COMPUTED_VALUE"""),"This will be hard to do, but if it is the right company I would try")</f>
        <v>This will be hard to do, but if it is the right company I would try</v>
      </c>
      <c r="H92" s="1" t="str">
        <f ca="1">IFERROR(__xludf.DUMMYFUNCTION("""COMPUTED_VALUE"""),"No")</f>
        <v>No</v>
      </c>
      <c r="I92" s="1" t="str">
        <f ca="1">IFERROR(__xludf.DUMMYFUNCTION("""COMPUTED_VALUE"""),"Will NOT work for them")</f>
        <v>Will NOT work for them</v>
      </c>
      <c r="J92" s="1">
        <f ca="1">IFERROR(__xludf.DUMMYFUNCTION("""COMPUTED_VALUE"""),1)</f>
        <v>1</v>
      </c>
      <c r="K92" s="1" t="str">
        <f ca="1">IFERROR(__xludf.DUMMYFUNCTION("""COMPUTED_VALUE"""),"Hybrid Working Environment with less than 10 days a month at office")</f>
        <v>Hybrid Working Environment with less than 10 days a month at office</v>
      </c>
      <c r="L92" s="1" t="str">
        <f ca="1">IFERROR(__xludf.DUMMYFUNCTION("""COMPUTED_VALUE"""),"Employer who pushes your limits by enabling an learning environment, and rewards you at the end")</f>
        <v>Employer who pushes your limits by enabling an learning environment, and rewards you at the end</v>
      </c>
      <c r="M92" s="1" t="str">
        <f ca="1">IFERROR(__xludf.DUMMYFUNCTION("""COMPUTED_VALUE"""),"Self Paced Learning Portals, Instructor or Expert Learning Programs")</f>
        <v>Self Paced Learning Portals, Instructor or Expert Learning Programs</v>
      </c>
      <c r="N92"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92" s="1" t="str">
        <f ca="1">IFERROR(__xludf.DUMMYFUNCTION("""COMPUTED_VALUE"""),"Manager who explains what is expected, sets a goal and helps achieve it")</f>
        <v>Manager who explains what is expected, sets a goal and helps achieve it</v>
      </c>
      <c r="P92" s="1" t="str">
        <f ca="1">IFERROR(__xludf.DUMMYFUNCTION("""COMPUTED_VALUE"""),"Work with 7 to 10 or more people in my team")</f>
        <v>Work with 7 to 10 or more people in my team</v>
      </c>
      <c r="Q92" s="1"/>
    </row>
    <row r="93" spans="1:17" ht="13.2" x14ac:dyDescent="0.25">
      <c r="A93" s="2">
        <f ca="1">IFERROR(__xludf.DUMMYFUNCTION("""COMPUTED_VALUE"""),44911.8738833101)</f>
        <v>44911.873883310102</v>
      </c>
      <c r="B93" s="1" t="str">
        <f ca="1">IFERROR(__xludf.DUMMYFUNCTION("""COMPUTED_VALUE"""),"India")</f>
        <v>India</v>
      </c>
      <c r="C93" s="1">
        <f ca="1">IFERROR(__xludf.DUMMYFUNCTION("""COMPUTED_VALUE"""),560060)</f>
        <v>560060</v>
      </c>
      <c r="D93" s="3" t="str">
        <f ca="1">IFERROR(__xludf.DUMMYFUNCTION("""COMPUTED_VALUE"""),"Male")</f>
        <v>Male</v>
      </c>
      <c r="E93" s="1" t="str">
        <f ca="1">IFERROR(__xludf.DUMMYFUNCTION("""COMPUTED_VALUE"""),"My Parents")</f>
        <v>My Parents</v>
      </c>
      <c r="F93" s="1" t="str">
        <f ca="1">IFERROR(__xludf.DUMMYFUNCTION("""COMPUTED_VALUE"""),"Yes, I will earn and do that")</f>
        <v>Yes, I will earn and do that</v>
      </c>
      <c r="G93" s="1" t="str">
        <f ca="1">IFERROR(__xludf.DUMMYFUNCTION("""COMPUTED_VALUE"""),"Will work for 3 years or more")</f>
        <v>Will work for 3 years or more</v>
      </c>
      <c r="H93" s="1" t="str">
        <f ca="1">IFERROR(__xludf.DUMMYFUNCTION("""COMPUTED_VALUE"""),"Yes")</f>
        <v>Yes</v>
      </c>
      <c r="I93" s="1" t="str">
        <f ca="1">IFERROR(__xludf.DUMMYFUNCTION("""COMPUTED_VALUE"""),"Will work for them")</f>
        <v>Will work for them</v>
      </c>
      <c r="J93" s="1">
        <f ca="1">IFERROR(__xludf.DUMMYFUNCTION("""COMPUTED_VALUE"""),8)</f>
        <v>8</v>
      </c>
      <c r="K93" s="1" t="str">
        <f ca="1">IFERROR(__xludf.DUMMYFUNCTION("""COMPUTED_VALUE"""),"Every Day Office Environment")</f>
        <v>Every Day Office Environment</v>
      </c>
      <c r="L93" s="1" t="str">
        <f ca="1">IFERROR(__xludf.DUMMYFUNCTION("""COMPUTED_VALUE"""),"Employer who appreciates learning and enables that environment")</f>
        <v>Employer who appreciates learning and enables that environment</v>
      </c>
      <c r="M93" s="1" t="str">
        <f ca="1">IFERROR(__xludf.DUMMYFUNCTION("""COMPUTED_VALUE"""),"Self Paced Learning Portals, Learning by observing others")</f>
        <v>Self Paced Learning Portals, Learning by observing others</v>
      </c>
      <c r="N93" s="1" t="str">
        <f ca="1">IFERROR(__xludf.DUMMYFUNCTION("""COMPUTED_VALUE"""),"Business Operations in any organization, Manage and drive End-to-End Projects or Products, Design and Develop amazing software")</f>
        <v>Business Operations in any organization, Manage and drive End-to-End Projects or Products, Design and Develop amazing software</v>
      </c>
      <c r="O93" s="1" t="str">
        <f ca="1">IFERROR(__xludf.DUMMYFUNCTION("""COMPUTED_VALUE"""),"Manager who sets goal and helps me achieve it")</f>
        <v>Manager who sets goal and helps me achieve it</v>
      </c>
      <c r="P93" s="1" t="str">
        <f ca="1">IFERROR(__xludf.DUMMYFUNCTION("""COMPUTED_VALUE"""),"Work with 2 to 3 people in my team")</f>
        <v>Work with 2 to 3 people in my team</v>
      </c>
      <c r="Q93" s="1"/>
    </row>
    <row r="94" spans="1:17" ht="13.2" x14ac:dyDescent="0.25">
      <c r="A94" s="2">
        <f ca="1">IFERROR(__xludf.DUMMYFUNCTION("""COMPUTED_VALUE"""),44911.8750993402)</f>
        <v>44911.875099340199</v>
      </c>
      <c r="B94" s="1" t="str">
        <f ca="1">IFERROR(__xludf.DUMMYFUNCTION("""COMPUTED_VALUE"""),"India")</f>
        <v>India</v>
      </c>
      <c r="C94" s="1">
        <f ca="1">IFERROR(__xludf.DUMMYFUNCTION("""COMPUTED_VALUE"""),520007)</f>
        <v>520007</v>
      </c>
      <c r="D94" s="3" t="str">
        <f ca="1">IFERROR(__xludf.DUMMYFUNCTION("""COMPUTED_VALUE"""),"Male")</f>
        <v>Male</v>
      </c>
      <c r="E94" s="1" t="str">
        <f ca="1">IFERROR(__xludf.DUMMYFUNCTION("""COMPUTED_VALUE"""),"People who have changed the world for better")</f>
        <v>People who have changed the world for better</v>
      </c>
      <c r="F94" s="1" t="str">
        <f ca="1">IFERROR(__xludf.DUMMYFUNCTION("""COMPUTED_VALUE"""),"No I would not be pursuing Higher Education outside of India")</f>
        <v>No I would not be pursuing Higher Education outside of India</v>
      </c>
      <c r="G94" s="1" t="str">
        <f ca="1">IFERROR(__xludf.DUMMYFUNCTION("""COMPUTED_VALUE"""),"Will work for 3 years or more")</f>
        <v>Will work for 3 years or more</v>
      </c>
      <c r="H94" s="1" t="str">
        <f ca="1">IFERROR(__xludf.DUMMYFUNCTION("""COMPUTED_VALUE"""),"No")</f>
        <v>No</v>
      </c>
      <c r="I94" s="1" t="str">
        <f ca="1">IFERROR(__xludf.DUMMYFUNCTION("""COMPUTED_VALUE"""),"Will work for them")</f>
        <v>Will work for them</v>
      </c>
      <c r="J94" s="1">
        <f ca="1">IFERROR(__xludf.DUMMYFUNCTION("""COMPUTED_VALUE"""),6)</f>
        <v>6</v>
      </c>
      <c r="K94" s="1" t="str">
        <f ca="1">IFERROR(__xludf.DUMMYFUNCTION("""COMPUTED_VALUE"""),"Hybrid Working Environment with less than 3 days a month at office")</f>
        <v>Hybrid Working Environment with less than 3 days a month at office</v>
      </c>
      <c r="L94" s="1" t="str">
        <f ca="1">IFERROR(__xludf.DUMMYFUNCTION("""COMPUTED_VALUE"""),"Employer who pushes your limits and doesn't enables learning environment and never rewards you")</f>
        <v>Employer who pushes your limits and doesn't enables learning environment and never rewards you</v>
      </c>
      <c r="M94" s="1" t="str">
        <f ca="1">IFERROR(__xludf.DUMMYFUNCTION("""COMPUTED_VALUE"""),"Self Paced Learning Portals, Learning by observing others")</f>
        <v>Self Paced Learning Portals, Learning by observing others</v>
      </c>
      <c r="N94" s="1" t="str">
        <f ca="1">IFERROR(__xludf.DUMMYFUNCTION("""COMPUTED_VALUE"""),"Build and develop a Team, Design and Develop amazing software, Look deeply into Data and generate insights")</f>
        <v>Build and develop a Team, Design and Develop amazing software, Look deeply into Data and generate insights</v>
      </c>
      <c r="O94" s="1" t="str">
        <f ca="1">IFERROR(__xludf.DUMMYFUNCTION("""COMPUTED_VALUE"""),"Manager who explains what is expected, sets a goal and helps achieve it")</f>
        <v>Manager who explains what is expected, sets a goal and helps achieve it</v>
      </c>
      <c r="P94" s="1" t="str">
        <f ca="1">IFERROR(__xludf.DUMMYFUNCTION("""COMPUTED_VALUE"""),"Work with 2 to 3 people in my team, Work with 5 to 6 people in my team")</f>
        <v>Work with 2 to 3 people in my team, Work with 5 to 6 people in my team</v>
      </c>
      <c r="Q94" s="1"/>
    </row>
    <row r="95" spans="1:17" ht="13.2" x14ac:dyDescent="0.25">
      <c r="A95" s="2">
        <f ca="1">IFERROR(__xludf.DUMMYFUNCTION("""COMPUTED_VALUE"""),44911.887063368)</f>
        <v>44911.887063367998</v>
      </c>
      <c r="B95" s="1" t="str">
        <f ca="1">IFERROR(__xludf.DUMMYFUNCTION("""COMPUTED_VALUE"""),"India")</f>
        <v>India</v>
      </c>
      <c r="C95" s="1">
        <f ca="1">IFERROR(__xludf.DUMMYFUNCTION("""COMPUTED_VALUE"""),641663)</f>
        <v>641663</v>
      </c>
      <c r="D95" s="3" t="str">
        <f ca="1">IFERROR(__xludf.DUMMYFUNCTION("""COMPUTED_VALUE"""),"Male")</f>
        <v>Male</v>
      </c>
      <c r="E95" s="1" t="str">
        <f ca="1">IFERROR(__xludf.DUMMYFUNCTION("""COMPUTED_VALUE"""),"My Parents")</f>
        <v>My Parents</v>
      </c>
      <c r="F95" s="1" t="str">
        <f ca="1">IFERROR(__xludf.DUMMYFUNCTION("""COMPUTED_VALUE"""),"Yes, I will earn and do that")</f>
        <v>Yes, I will earn and do that</v>
      </c>
      <c r="G95" s="1" t="str">
        <f ca="1">IFERROR(__xludf.DUMMYFUNCTION("""COMPUTED_VALUE"""),"Will work for 3 years or more")</f>
        <v>Will work for 3 years or more</v>
      </c>
      <c r="H95" s="1" t="str">
        <f ca="1">IFERROR(__xludf.DUMMYFUNCTION("""COMPUTED_VALUE"""),"Yes")</f>
        <v>Yes</v>
      </c>
      <c r="I95" s="1" t="str">
        <f ca="1">IFERROR(__xludf.DUMMYFUNCTION("""COMPUTED_VALUE"""),"Will work for them")</f>
        <v>Will work for them</v>
      </c>
      <c r="J95" s="1">
        <f ca="1">IFERROR(__xludf.DUMMYFUNCTION("""COMPUTED_VALUE"""),9)</f>
        <v>9</v>
      </c>
      <c r="K95" s="1" t="str">
        <f ca="1">IFERROR(__xludf.DUMMYFUNCTION("""COMPUTED_VALUE"""),"Every Day Office Environment")</f>
        <v>Every Day Office Environment</v>
      </c>
      <c r="L95" s="1" t="str">
        <f ca="1">IFERROR(__xludf.DUMMYFUNCTION("""COMPUTED_VALUE"""),"Employer who appreciates learning and enables that environment")</f>
        <v>Employer who appreciates learning and enables that environment</v>
      </c>
      <c r="M95" s="1" t="str">
        <f ca="1">IFERROR(__xludf.DUMMYFUNCTION("""COMPUTED_VALUE"""),"Learning by observing others, Trial and error by doing side projects within the company")</f>
        <v>Learning by observing others, Trial and error by doing side projects within the company</v>
      </c>
      <c r="N95" s="1" t="str">
        <f ca="1">IFERROR(__xludf.DUMMYFUNCTION("""COMPUTED_VALUE"""),"Design and Creative strategy in any company, Build and develop a Team, Work as a freelancer and do my thing my way")</f>
        <v>Design and Creative strategy in any company, Build and develop a Team, Work as a freelancer and do my thing my way</v>
      </c>
      <c r="O95" s="1" t="str">
        <f ca="1">IFERROR(__xludf.DUMMYFUNCTION("""COMPUTED_VALUE"""),"Manager who clearly describes what she/he needs")</f>
        <v>Manager who clearly describes what she/he needs</v>
      </c>
      <c r="P95" s="1" t="str">
        <f ca="1">IFERROR(__xludf.DUMMYFUNCTION("""COMPUTED_VALUE"""),"Work with more than 10 people in my team")</f>
        <v>Work with more than 10 people in my team</v>
      </c>
      <c r="Q95" s="1"/>
    </row>
    <row r="96" spans="1:17" ht="13.2" x14ac:dyDescent="0.25">
      <c r="A96" s="2">
        <f ca="1">IFERROR(__xludf.DUMMYFUNCTION("""COMPUTED_VALUE"""),44911.8935515625)</f>
        <v>44911.893551562498</v>
      </c>
      <c r="B96" s="1" t="str">
        <f ca="1">IFERROR(__xludf.DUMMYFUNCTION("""COMPUTED_VALUE"""),"UAE")</f>
        <v>UAE</v>
      </c>
      <c r="C96" s="1">
        <f ca="1">IFERROR(__xludf.DUMMYFUNCTION("""COMPUTED_VALUE"""),84321)</f>
        <v>84321</v>
      </c>
      <c r="D96" s="3" t="str">
        <f ca="1">IFERROR(__xludf.DUMMYFUNCTION("""COMPUTED_VALUE"""),"Male")</f>
        <v>Male</v>
      </c>
      <c r="E96" s="1" t="str">
        <f ca="1">IFERROR(__xludf.DUMMYFUNCTION("""COMPUTED_VALUE"""),"People from my circle, but not family members")</f>
        <v>People from my circle, but not family members</v>
      </c>
      <c r="F96" s="1" t="str">
        <f ca="1">IFERROR(__xludf.DUMMYFUNCTION("""COMPUTED_VALUE"""),"Yes, I will earn and do that")</f>
        <v>Yes, I will earn and do that</v>
      </c>
      <c r="G96" s="1" t="str">
        <f ca="1">IFERROR(__xludf.DUMMYFUNCTION("""COMPUTED_VALUE"""),"This will be hard to do, but if it is the right company I would try")</f>
        <v>This will be hard to do, but if it is the right company I would try</v>
      </c>
      <c r="H96" s="1" t="str">
        <f ca="1">IFERROR(__xludf.DUMMYFUNCTION("""COMPUTED_VALUE"""),"No")</f>
        <v>No</v>
      </c>
      <c r="I96" s="1" t="str">
        <f ca="1">IFERROR(__xludf.DUMMYFUNCTION("""COMPUTED_VALUE"""),"Will NOT work for them")</f>
        <v>Will NOT work for them</v>
      </c>
      <c r="J96" s="1">
        <f ca="1">IFERROR(__xludf.DUMMYFUNCTION("""COMPUTED_VALUE"""),5)</f>
        <v>5</v>
      </c>
      <c r="K96" s="1" t="str">
        <f ca="1">IFERROR(__xludf.DUMMYFUNCTION("""COMPUTED_VALUE"""),"Hybrid Working Environment with less than 15 days a month at office")</f>
        <v>Hybrid Working Environment with less than 15 days a month at office</v>
      </c>
      <c r="L96" s="1" t="str">
        <f ca="1">IFERROR(__xludf.DUMMYFUNCTION("""COMPUTED_VALUE"""),"Employer who appreciates learning and enables that environment")</f>
        <v>Employer who appreciates learning and enables that environment</v>
      </c>
      <c r="M96" s="1" t="str">
        <f ca="1">IFERROR(__xludf.DUMMYFUNCTION("""COMPUTED_VALUE"""),"Self Paced Learning Portals, Trial and error by doing side projects within the company")</f>
        <v>Self Paced Learning Portals, Trial and error by doing side projects within the company</v>
      </c>
      <c r="N96"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96" s="1" t="str">
        <f ca="1">IFERROR(__xludf.DUMMYFUNCTION("""COMPUTED_VALUE"""),"Manager who explains what is expected, sets a goal and helps achieve it")</f>
        <v>Manager who explains what is expected, sets a goal and helps achieve it</v>
      </c>
      <c r="P96" s="1" t="str">
        <f ca="1">IFERROR(__xludf.DUMMYFUNCTION("""COMPUTED_VALUE"""),"Work alone, Work with 2 to 3 people in my team")</f>
        <v>Work alone, Work with 2 to 3 people in my team</v>
      </c>
      <c r="Q96" s="1"/>
    </row>
    <row r="97" spans="1:17" ht="13.2" x14ac:dyDescent="0.25">
      <c r="A97" s="2">
        <f ca="1">IFERROR(__xludf.DUMMYFUNCTION("""COMPUTED_VALUE"""),44911.9137505902)</f>
        <v>44911.913750590204</v>
      </c>
      <c r="B97" s="1" t="str">
        <f ca="1">IFERROR(__xludf.DUMMYFUNCTION("""COMPUTED_VALUE"""),"India")</f>
        <v>India</v>
      </c>
      <c r="C97" s="1">
        <f ca="1">IFERROR(__xludf.DUMMYFUNCTION("""COMPUTED_VALUE"""),607104)</f>
        <v>607104</v>
      </c>
      <c r="D97" s="3" t="str">
        <f ca="1">IFERROR(__xludf.DUMMYFUNCTION("""COMPUTED_VALUE"""),"Male")</f>
        <v>Male</v>
      </c>
      <c r="E97" s="1" t="str">
        <f ca="1">IFERROR(__xludf.DUMMYFUNCTION("""COMPUTED_VALUE"""),"People from my circle, but not family members")</f>
        <v>People from my circle, but not family members</v>
      </c>
      <c r="F97" s="1" t="str">
        <f ca="1">IFERROR(__xludf.DUMMYFUNCTION("""COMPUTED_VALUE"""),"No I would not be pursuing Higher Education outside of India")</f>
        <v>No I would not be pursuing Higher Education outside of India</v>
      </c>
      <c r="G97" s="1" t="str">
        <f ca="1">IFERROR(__xludf.DUMMYFUNCTION("""COMPUTED_VALUE"""),"This will be hard to do, but if it is the right company I would try")</f>
        <v>This will be hard to do, but if it is the right company I would try</v>
      </c>
      <c r="H97" s="1" t="str">
        <f ca="1">IFERROR(__xludf.DUMMYFUNCTION("""COMPUTED_VALUE"""),"No")</f>
        <v>No</v>
      </c>
      <c r="I97" s="1" t="str">
        <f ca="1">IFERROR(__xludf.DUMMYFUNCTION("""COMPUTED_VALUE"""),"Will work for them")</f>
        <v>Will work for them</v>
      </c>
      <c r="J97" s="1">
        <f ca="1">IFERROR(__xludf.DUMMYFUNCTION("""COMPUTED_VALUE"""),8)</f>
        <v>8</v>
      </c>
      <c r="K97" s="1" t="str">
        <f ca="1">IFERROR(__xludf.DUMMYFUNCTION("""COMPUTED_VALUE"""),"Hybrid Working Environment with less than 15 days a month at office")</f>
        <v>Hybrid Working Environment with less than 15 days a month at office</v>
      </c>
      <c r="L97" s="1" t="str">
        <f ca="1">IFERROR(__xludf.DUMMYFUNCTION("""COMPUTED_VALUE"""),"Employer who rewards learning and enables that environment")</f>
        <v>Employer who rewards learning and enables that environment</v>
      </c>
      <c r="M97" s="1" t="str">
        <f ca="1">IFERROR(__xludf.DUMMYFUNCTION("""COMPUTED_VALUE"""),"Learning by observing others, Trial and error by doing side projects within the company")</f>
        <v>Learning by observing others, Trial and error by doing side projects within the company</v>
      </c>
      <c r="N97"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97" s="1" t="str">
        <f ca="1">IFERROR(__xludf.DUMMYFUNCTION("""COMPUTED_VALUE"""),"Manager who explains what is expected, sets a goal and helps achieve it")</f>
        <v>Manager who explains what is expected, sets a goal and helps achieve it</v>
      </c>
      <c r="P97" s="1" t="str">
        <f ca="1">IFERROR(__xludf.DUMMYFUNCTION("""COMPUTED_VALUE"""),"Work with more than 10 people in my team")</f>
        <v>Work with more than 10 people in my team</v>
      </c>
      <c r="Q97" s="1"/>
    </row>
    <row r="98" spans="1:17" ht="13.2" x14ac:dyDescent="0.25">
      <c r="A98" s="2">
        <f ca="1">IFERROR(__xludf.DUMMYFUNCTION("""COMPUTED_VALUE"""),44911.9163591666)</f>
        <v>44911.9163591666</v>
      </c>
      <c r="B98" s="1" t="str">
        <f ca="1">IFERROR(__xludf.DUMMYFUNCTION("""COMPUTED_VALUE"""),"India")</f>
        <v>India</v>
      </c>
      <c r="C98" s="1">
        <f ca="1">IFERROR(__xludf.DUMMYFUNCTION("""COMPUTED_VALUE"""),609305)</f>
        <v>609305</v>
      </c>
      <c r="D98" s="3" t="str">
        <f ca="1">IFERROR(__xludf.DUMMYFUNCTION("""COMPUTED_VALUE"""),"Male")</f>
        <v>Male</v>
      </c>
      <c r="E98" s="1" t="str">
        <f ca="1">IFERROR(__xludf.DUMMYFUNCTION("""COMPUTED_VALUE"""),"People who have changed the world for better")</f>
        <v>People who have changed the world for better</v>
      </c>
      <c r="F98" s="1" t="str">
        <f ca="1">IFERROR(__xludf.DUMMYFUNCTION("""COMPUTED_VALUE"""),"No I would not be pursuing Higher Education outside of India")</f>
        <v>No I would not be pursuing Higher Education outside of India</v>
      </c>
      <c r="G98" s="1" t="str">
        <f ca="1">IFERROR(__xludf.DUMMYFUNCTION("""COMPUTED_VALUE"""),"No way, 3 years with one employer is crazy")</f>
        <v>No way, 3 years with one employer is crazy</v>
      </c>
      <c r="H98" s="1" t="str">
        <f ca="1">IFERROR(__xludf.DUMMYFUNCTION("""COMPUTED_VALUE"""),"No")</f>
        <v>No</v>
      </c>
      <c r="I98" s="1" t="str">
        <f ca="1">IFERROR(__xludf.DUMMYFUNCTION("""COMPUTED_VALUE"""),"Will NOT work for them")</f>
        <v>Will NOT work for them</v>
      </c>
      <c r="J98" s="1">
        <f ca="1">IFERROR(__xludf.DUMMYFUNCTION("""COMPUTED_VALUE"""),1)</f>
        <v>1</v>
      </c>
      <c r="K98" s="1" t="str">
        <f ca="1">IFERROR(__xludf.DUMMYFUNCTION("""COMPUTED_VALUE"""),"Every Day Office Environment")</f>
        <v>Every Day Office Environment</v>
      </c>
      <c r="L98" s="1" t="str">
        <f ca="1">IFERROR(__xludf.DUMMYFUNCTION("""COMPUTED_VALUE"""),"Employer who appreciates learning and enables that environment")</f>
        <v>Employer who appreciates learning and enables that environment</v>
      </c>
      <c r="M98" s="1" t="str">
        <f ca="1">IFERROR(__xludf.DUMMYFUNCTION("""COMPUTED_VALUE"""),"Self Paced Learning Portals, Trial and error by doing side projects within the company")</f>
        <v>Self Paced Learning Portals, Trial and error by doing side projects within the company</v>
      </c>
      <c r="N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98" s="1" t="str">
        <f ca="1">IFERROR(__xludf.DUMMYFUNCTION("""COMPUTED_VALUE"""),"Manager who clearly describes what she/he needs")</f>
        <v>Manager who clearly describes what she/he needs</v>
      </c>
      <c r="P98" s="1" t="str">
        <f ca="1">IFERROR(__xludf.DUMMYFUNCTION("""COMPUTED_VALUE"""),"Work with 2 to 3 people in my team")</f>
        <v>Work with 2 to 3 people in my team</v>
      </c>
      <c r="Q98" s="1"/>
    </row>
    <row r="99" spans="1:17" ht="13.2" x14ac:dyDescent="0.25">
      <c r="A99" s="2">
        <f ca="1">IFERROR(__xludf.DUMMYFUNCTION("""COMPUTED_VALUE"""),44911.9184114236)</f>
        <v>44911.918411423598</v>
      </c>
      <c r="B99" s="1" t="str">
        <f ca="1">IFERROR(__xludf.DUMMYFUNCTION("""COMPUTED_VALUE"""),"India")</f>
        <v>India</v>
      </c>
      <c r="C99" s="1">
        <f ca="1">IFERROR(__xludf.DUMMYFUNCTION("""COMPUTED_VALUE"""),607104)</f>
        <v>607104</v>
      </c>
      <c r="D99" s="3" t="str">
        <f ca="1">IFERROR(__xludf.DUMMYFUNCTION("""COMPUTED_VALUE"""),"Male")</f>
        <v>Male</v>
      </c>
      <c r="E99" s="1" t="str">
        <f ca="1">IFERROR(__xludf.DUMMYFUNCTION("""COMPUTED_VALUE"""),"People who have changed the world for better")</f>
        <v>People who have changed the world for better</v>
      </c>
      <c r="F99" s="1" t="str">
        <f ca="1">IFERROR(__xludf.DUMMYFUNCTION("""COMPUTED_VALUE"""),"No I would not be pursuing Higher Education outside of India")</f>
        <v>No I would not be pursuing Higher Education outside of India</v>
      </c>
      <c r="G99" s="1" t="str">
        <f ca="1">IFERROR(__xludf.DUMMYFUNCTION("""COMPUTED_VALUE"""),"No way, 3 years with one employer is crazy")</f>
        <v>No way, 3 years with one employer is crazy</v>
      </c>
      <c r="H99" s="1" t="str">
        <f ca="1">IFERROR(__xludf.DUMMYFUNCTION("""COMPUTED_VALUE"""),"No")</f>
        <v>No</v>
      </c>
      <c r="I99" s="1" t="str">
        <f ca="1">IFERROR(__xludf.DUMMYFUNCTION("""COMPUTED_VALUE"""),"Will work for them")</f>
        <v>Will work for them</v>
      </c>
      <c r="J99" s="1">
        <f ca="1">IFERROR(__xludf.DUMMYFUNCTION("""COMPUTED_VALUE"""),3)</f>
        <v>3</v>
      </c>
      <c r="K99" s="1" t="str">
        <f ca="1">IFERROR(__xludf.DUMMYFUNCTION("""COMPUTED_VALUE"""),"Every Day Office Environment")</f>
        <v>Every Day Office Environment</v>
      </c>
      <c r="L99" s="1" t="str">
        <f ca="1">IFERROR(__xludf.DUMMYFUNCTION("""COMPUTED_VALUE"""),"Employer who pushes your limits by enabling an learning environment, and rewards you at the end")</f>
        <v>Employer who pushes your limits by enabling an learning environment, and rewards you at the end</v>
      </c>
      <c r="M99" s="1" t="str">
        <f ca="1">IFERROR(__xludf.DUMMYFUNCTION("""COMPUTED_VALUE"""),"Self Paced Learning Portals, Learning by observing others")</f>
        <v>Self Paced Learning Portals, Learning by observing others</v>
      </c>
      <c r="N99" s="1" t="str">
        <f ca="1">IFERROR(__xludf.DUMMYFUNCTION("""COMPUTED_VALUE"""),"Look deeply into Data and generate insights, Work in a BPO setup for some well known client, Become a content Creator in some platform")</f>
        <v>Look deeply into Data and generate insights, Work in a BPO setup for some well known client, Become a content Creator in some platform</v>
      </c>
      <c r="O99" s="1" t="str">
        <f ca="1">IFERROR(__xludf.DUMMYFUNCTION("""COMPUTED_VALUE"""),"Manager who sets unrealistic targets")</f>
        <v>Manager who sets unrealistic targets</v>
      </c>
      <c r="P99" s="1" t="str">
        <f ca="1">IFERROR(__xludf.DUMMYFUNCTION("""COMPUTED_VALUE"""),"Work with 5 to 6 people in my team")</f>
        <v>Work with 5 to 6 people in my team</v>
      </c>
      <c r="Q99" s="1"/>
    </row>
    <row r="100" spans="1:17" ht="13.2" x14ac:dyDescent="0.25">
      <c r="A100" s="2">
        <f ca="1">IFERROR(__xludf.DUMMYFUNCTION("""COMPUTED_VALUE"""),44911.922811493)</f>
        <v>44911.922811493001</v>
      </c>
      <c r="B100" s="1" t="str">
        <f ca="1">IFERROR(__xludf.DUMMYFUNCTION("""COMPUTED_VALUE"""),"India")</f>
        <v>India</v>
      </c>
      <c r="C100" s="1">
        <f ca="1">IFERROR(__xludf.DUMMYFUNCTION("""COMPUTED_VALUE"""),425001)</f>
        <v>425001</v>
      </c>
      <c r="D100" s="3" t="str">
        <f ca="1">IFERROR(__xludf.DUMMYFUNCTION("""COMPUTED_VALUE"""),"Male")</f>
        <v>Male</v>
      </c>
      <c r="E100" s="1" t="str">
        <f ca="1">IFERROR(__xludf.DUMMYFUNCTION("""COMPUTED_VALUE"""),"Influencers who had successful careers")</f>
        <v>Influencers who had successful careers</v>
      </c>
      <c r="F100" s="1" t="str">
        <f ca="1">IFERROR(__xludf.DUMMYFUNCTION("""COMPUTED_VALUE"""),"Yes, I will earn and do that")</f>
        <v>Yes, I will earn and do that</v>
      </c>
      <c r="G100" s="1" t="str">
        <f ca="1">IFERROR(__xludf.DUMMYFUNCTION("""COMPUTED_VALUE"""),"This will be hard to do, but if it is the right company I would try")</f>
        <v>This will be hard to do, but if it is the right company I would try</v>
      </c>
      <c r="H100" s="1" t="str">
        <f ca="1">IFERROR(__xludf.DUMMYFUNCTION("""COMPUTED_VALUE"""),"No")</f>
        <v>No</v>
      </c>
      <c r="I100" s="1" t="str">
        <f ca="1">IFERROR(__xludf.DUMMYFUNCTION("""COMPUTED_VALUE"""),"Will work for them")</f>
        <v>Will work for them</v>
      </c>
      <c r="J100" s="1">
        <f ca="1">IFERROR(__xludf.DUMMYFUNCTION("""COMPUTED_VALUE"""),2)</f>
        <v>2</v>
      </c>
      <c r="K100" s="1" t="str">
        <f ca="1">IFERROR(__xludf.DUMMYFUNCTION("""COMPUTED_VALUE"""),"Every Day Office Environment")</f>
        <v>Every Day Office Environment</v>
      </c>
      <c r="L100" s="1" t="str">
        <f ca="1">IFERROR(__xludf.DUMMYFUNCTION("""COMPUTED_VALUE"""),"Employer who pushes your limits by enabling an learning environment, and rewards you at the end")</f>
        <v>Employer who pushes your limits by enabling an learning environment, and rewards you at the end</v>
      </c>
      <c r="M100" s="1" t="str">
        <f ca="1">IFERROR(__xludf.DUMMYFUNCTION("""COMPUTED_VALUE"""),"Self Paced Learning Portals, Instructor or Expert Learning Programs")</f>
        <v>Self Paced Learning Portals, Instructor or Expert Learning Programs</v>
      </c>
      <c r="N100"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0" s="1" t="str">
        <f ca="1">IFERROR(__xludf.DUMMYFUNCTION("""COMPUTED_VALUE"""),"Manager who explains what is expected, sets a goal and helps achieve it")</f>
        <v>Manager who explains what is expected, sets a goal and helps achieve it</v>
      </c>
      <c r="P100" s="1" t="str">
        <f ca="1">IFERROR(__xludf.DUMMYFUNCTION("""COMPUTED_VALUE"""),"Work with 2 to 3 people in my team")</f>
        <v>Work with 2 to 3 people in my team</v>
      </c>
      <c r="Q100" s="1"/>
    </row>
    <row r="101" spans="1:17" ht="13.2" x14ac:dyDescent="0.25">
      <c r="A101" s="2">
        <f ca="1">IFERROR(__xludf.DUMMYFUNCTION("""COMPUTED_VALUE"""),44911.9230981597)</f>
        <v>44911.923098159699</v>
      </c>
      <c r="B101" s="1" t="str">
        <f ca="1">IFERROR(__xludf.DUMMYFUNCTION("""COMPUTED_VALUE"""),"India")</f>
        <v>India</v>
      </c>
      <c r="C101" s="1">
        <f ca="1">IFERROR(__xludf.DUMMYFUNCTION("""COMPUTED_VALUE"""),560029)</f>
        <v>560029</v>
      </c>
      <c r="D101" s="3" t="str">
        <f ca="1">IFERROR(__xludf.DUMMYFUNCTION("""COMPUTED_VALUE"""),"Female")</f>
        <v>Female</v>
      </c>
      <c r="E101" s="1" t="str">
        <f ca="1">IFERROR(__xludf.DUMMYFUNCTION("""COMPUTED_VALUE"""),"My Parents")</f>
        <v>My Parents</v>
      </c>
      <c r="F101" s="1" t="str">
        <f ca="1">IFERROR(__xludf.DUMMYFUNCTION("""COMPUTED_VALUE"""),"Yes, I will earn and do that")</f>
        <v>Yes, I will earn and do that</v>
      </c>
      <c r="G101" s="1" t="str">
        <f ca="1">IFERROR(__xludf.DUMMYFUNCTION("""COMPUTED_VALUE"""),"Will work for 3 years or more")</f>
        <v>Will work for 3 years or more</v>
      </c>
      <c r="H101" s="1" t="str">
        <f ca="1">IFERROR(__xludf.DUMMYFUNCTION("""COMPUTED_VALUE"""),"No")</f>
        <v>No</v>
      </c>
      <c r="I101" s="1" t="str">
        <f ca="1">IFERROR(__xludf.DUMMYFUNCTION("""COMPUTED_VALUE"""),"Will NOT work for them")</f>
        <v>Will NOT work for them</v>
      </c>
      <c r="J101" s="1">
        <f ca="1">IFERROR(__xludf.DUMMYFUNCTION("""COMPUTED_VALUE"""),2)</f>
        <v>2</v>
      </c>
      <c r="K101" s="1" t="str">
        <f ca="1">IFERROR(__xludf.DUMMYFUNCTION("""COMPUTED_VALUE"""),"Fully Remote with Options to travel as and when needed")</f>
        <v>Fully Remote with Options to travel as and when needed</v>
      </c>
      <c r="L101" s="1" t="str">
        <f ca="1">IFERROR(__xludf.DUMMYFUNCTION("""COMPUTED_VALUE"""),"Employer who pushes your limits by enabling an learning environment, and rewards you at the end")</f>
        <v>Employer who pushes your limits by enabling an learning environment, and rewards you at the end</v>
      </c>
      <c r="M101" s="1" t="str">
        <f ca="1">IFERROR(__xludf.DUMMYFUNCTION("""COMPUTED_VALUE"""),"Learning by observing others, Trial and error by doing side projects within the company")</f>
        <v>Learning by observing others, Trial and error by doing side projects within the company</v>
      </c>
      <c r="N101" s="1" t="str">
        <f ca="1">IFERROR(__xludf.DUMMYFUNCTION("""COMPUTED_VALUE"""),"Business Operations in any organization, Manage and drive End-to-End Projects or Products, Become a content Creator in some platform")</f>
        <v>Business Operations in any organization, Manage and drive End-to-End Projects or Products, Become a content Creator in some platform</v>
      </c>
      <c r="O101" s="1" t="str">
        <f ca="1">IFERROR(__xludf.DUMMYFUNCTION("""COMPUTED_VALUE"""),"Manager who explains what is expected, sets a goal and helps achieve it")</f>
        <v>Manager who explains what is expected, sets a goal and helps achieve it</v>
      </c>
      <c r="P101" s="1" t="str">
        <f ca="1">IFERROR(__xludf.DUMMYFUNCTION("""COMPUTED_VALUE"""),"Work with 5 to 6 people in my team")</f>
        <v>Work with 5 to 6 people in my team</v>
      </c>
      <c r="Q101" s="1"/>
    </row>
    <row r="102" spans="1:17" ht="13.2" x14ac:dyDescent="0.25">
      <c r="A102" s="2">
        <f ca="1">IFERROR(__xludf.DUMMYFUNCTION("""COMPUTED_VALUE"""),44912.0025686342)</f>
        <v>44912.002568634198</v>
      </c>
      <c r="B102" s="1" t="str">
        <f ca="1">IFERROR(__xludf.DUMMYFUNCTION("""COMPUTED_VALUE"""),"India")</f>
        <v>India</v>
      </c>
      <c r="C102" s="1">
        <f ca="1">IFERROR(__xludf.DUMMYFUNCTION("""COMPUTED_VALUE"""),400013)</f>
        <v>400013</v>
      </c>
      <c r="D102" s="3" t="str">
        <f ca="1">IFERROR(__xludf.DUMMYFUNCTION("""COMPUTED_VALUE"""),"Male")</f>
        <v>Male</v>
      </c>
      <c r="E102" s="1" t="str">
        <f ca="1">IFERROR(__xludf.DUMMYFUNCTION("""COMPUTED_VALUE"""),"My Parents")</f>
        <v>My Parents</v>
      </c>
      <c r="F102" s="1" t="str">
        <f ca="1">IFERROR(__xludf.DUMMYFUNCTION("""COMPUTED_VALUE"""),"No, But if someone could bare the cost I will")</f>
        <v>No, But if someone could bare the cost I will</v>
      </c>
      <c r="G102" s="1" t="str">
        <f ca="1">IFERROR(__xludf.DUMMYFUNCTION("""COMPUTED_VALUE"""),"This will be hard to do, but if it is the right company I would try")</f>
        <v>This will be hard to do, but if it is the right company I would try</v>
      </c>
      <c r="H102" s="1" t="str">
        <f ca="1">IFERROR(__xludf.DUMMYFUNCTION("""COMPUTED_VALUE"""),"No")</f>
        <v>No</v>
      </c>
      <c r="I102" s="1" t="str">
        <f ca="1">IFERROR(__xludf.DUMMYFUNCTION("""COMPUTED_VALUE"""),"Will NOT work for them")</f>
        <v>Will NOT work for them</v>
      </c>
      <c r="J102" s="1">
        <f ca="1">IFERROR(__xludf.DUMMYFUNCTION("""COMPUTED_VALUE"""),7)</f>
        <v>7</v>
      </c>
      <c r="K102" s="1" t="str">
        <f ca="1">IFERROR(__xludf.DUMMYFUNCTION("""COMPUTED_VALUE"""),"Hybrid Working Environment with less than 10 days a month at office")</f>
        <v>Hybrid Working Environment with less than 10 days a month at office</v>
      </c>
      <c r="L102" s="1" t="str">
        <f ca="1">IFERROR(__xludf.DUMMYFUNCTION("""COMPUTED_VALUE"""),"Employer who pushes your limits by enabling an learning environment, and rewards you at the end")</f>
        <v>Employer who pushes your limits by enabling an learning environment, and rewards you at the end</v>
      </c>
      <c r="M102" s="1" t="str">
        <f ca="1">IFERROR(__xludf.DUMMYFUNCTION("""COMPUTED_VALUE"""),"Instructor or Expert Learning Programs, Trial and error by doing side projects within the company")</f>
        <v>Instructor or Expert Learning Programs, Trial and error by doing side projects within the company</v>
      </c>
      <c r="N10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02" s="1" t="str">
        <f ca="1">IFERROR(__xludf.DUMMYFUNCTION("""COMPUTED_VALUE"""),"Manager who explains what is expected, sets a goal and helps achieve it")</f>
        <v>Manager who explains what is expected, sets a goal and helps achieve it</v>
      </c>
      <c r="P102" s="1" t="str">
        <f ca="1">IFERROR(__xludf.DUMMYFUNCTION("""COMPUTED_VALUE"""),"Work alone, Work with 5 to 6 people in my team")</f>
        <v>Work alone, Work with 5 to 6 people in my team</v>
      </c>
      <c r="Q102" s="1"/>
    </row>
    <row r="103" spans="1:17" ht="13.2" x14ac:dyDescent="0.25">
      <c r="A103" s="2">
        <f ca="1">IFERROR(__xludf.DUMMYFUNCTION("""COMPUTED_VALUE"""),44912.0078218287)</f>
        <v>44912.007821828702</v>
      </c>
      <c r="B103" s="1" t="str">
        <f ca="1">IFERROR(__xludf.DUMMYFUNCTION("""COMPUTED_VALUE"""),"India")</f>
        <v>India</v>
      </c>
      <c r="C103" s="1">
        <f ca="1">IFERROR(__xludf.DUMMYFUNCTION("""COMPUTED_VALUE"""),431109)</f>
        <v>431109</v>
      </c>
      <c r="D103" s="3" t="str">
        <f ca="1">IFERROR(__xludf.DUMMYFUNCTION("""COMPUTED_VALUE"""),"Male")</f>
        <v>Male</v>
      </c>
      <c r="E103" s="1" t="str">
        <f ca="1">IFERROR(__xludf.DUMMYFUNCTION("""COMPUTED_VALUE"""),"Influencers who had successful careers")</f>
        <v>Influencers who had successful careers</v>
      </c>
      <c r="F103" s="1" t="str">
        <f ca="1">IFERROR(__xludf.DUMMYFUNCTION("""COMPUTED_VALUE"""),"Yes, I will earn and do that")</f>
        <v>Yes, I will earn and do that</v>
      </c>
      <c r="G103" s="1" t="str">
        <f ca="1">IFERROR(__xludf.DUMMYFUNCTION("""COMPUTED_VALUE"""),"This will be hard to do, but if it is the right company I would try")</f>
        <v>This will be hard to do, but if it is the right company I would try</v>
      </c>
      <c r="H103" s="1" t="str">
        <f ca="1">IFERROR(__xludf.DUMMYFUNCTION("""COMPUTED_VALUE"""),"No")</f>
        <v>No</v>
      </c>
      <c r="I103" s="1" t="str">
        <f ca="1">IFERROR(__xludf.DUMMYFUNCTION("""COMPUTED_VALUE"""),"Will NOT work for them")</f>
        <v>Will NOT work for them</v>
      </c>
      <c r="J103" s="1">
        <f ca="1">IFERROR(__xludf.DUMMYFUNCTION("""COMPUTED_VALUE"""),5)</f>
        <v>5</v>
      </c>
      <c r="K103" s="1" t="str">
        <f ca="1">IFERROR(__xludf.DUMMYFUNCTION("""COMPUTED_VALUE"""),"Hybrid Working Environment with less than 15 days a month at office")</f>
        <v>Hybrid Working Environment with less than 15 days a month at office</v>
      </c>
      <c r="L103" s="1" t="str">
        <f ca="1">IFERROR(__xludf.DUMMYFUNCTION("""COMPUTED_VALUE"""),"Employer who pushes your limits by enabling an learning environment, and rewards you at the end")</f>
        <v>Employer who pushes your limits by enabling an learning environment, and rewards you at the end</v>
      </c>
      <c r="M103" s="1" t="str">
        <f ca="1">IFERROR(__xludf.DUMMYFUNCTION("""COMPUTED_VALUE"""),"Learning by observing others, Trial and error by doing side projects within the company")</f>
        <v>Learning by observing others, Trial and error by doing side projects within the company</v>
      </c>
      <c r="N10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3" s="1" t="str">
        <f ca="1">IFERROR(__xludf.DUMMYFUNCTION("""COMPUTED_VALUE"""),"Manager who explains what is expected, sets a goal and helps achieve it")</f>
        <v>Manager who explains what is expected, sets a goal and helps achieve it</v>
      </c>
      <c r="P103" s="1" t="str">
        <f ca="1">IFERROR(__xludf.DUMMYFUNCTION("""COMPUTED_VALUE"""),"Work with 2 to 3 people in my team")</f>
        <v>Work with 2 to 3 people in my team</v>
      </c>
      <c r="Q103" s="1"/>
    </row>
    <row r="104" spans="1:17" ht="13.2" x14ac:dyDescent="0.25">
      <c r="A104" s="2">
        <f ca="1">IFERROR(__xludf.DUMMYFUNCTION("""COMPUTED_VALUE"""),44912.0479831365)</f>
        <v>44912.047983136501</v>
      </c>
      <c r="B104" s="1" t="str">
        <f ca="1">IFERROR(__xludf.DUMMYFUNCTION("""COMPUTED_VALUE"""),"India")</f>
        <v>India</v>
      </c>
      <c r="C104" s="1">
        <f ca="1">IFERROR(__xludf.DUMMYFUNCTION("""COMPUTED_VALUE"""),133001)</f>
        <v>133001</v>
      </c>
      <c r="D104" s="3" t="str">
        <f ca="1">IFERROR(__xludf.DUMMYFUNCTION("""COMPUTED_VALUE"""),"Male")</f>
        <v>Male</v>
      </c>
      <c r="E104" s="1" t="str">
        <f ca="1">IFERROR(__xludf.DUMMYFUNCTION("""COMPUTED_VALUE"""),"People from my circle, but not family members")</f>
        <v>People from my circle, but not family members</v>
      </c>
      <c r="F104" s="1" t="str">
        <f ca="1">IFERROR(__xludf.DUMMYFUNCTION("""COMPUTED_VALUE"""),"No I would not be pursuing Higher Education outside of India")</f>
        <v>No I would not be pursuing Higher Education outside of India</v>
      </c>
      <c r="G104" s="1" t="str">
        <f ca="1">IFERROR(__xludf.DUMMYFUNCTION("""COMPUTED_VALUE"""),"This will be hard to do, but if it is the right company I would try")</f>
        <v>This will be hard to do, but if it is the right company I would try</v>
      </c>
      <c r="H104" s="1" t="str">
        <f ca="1">IFERROR(__xludf.DUMMYFUNCTION("""COMPUTED_VALUE"""),"No")</f>
        <v>No</v>
      </c>
      <c r="I104" s="1" t="str">
        <f ca="1">IFERROR(__xludf.DUMMYFUNCTION("""COMPUTED_VALUE"""),"Will NOT work for them")</f>
        <v>Will NOT work for them</v>
      </c>
      <c r="J104" s="1">
        <f ca="1">IFERROR(__xludf.DUMMYFUNCTION("""COMPUTED_VALUE"""),8)</f>
        <v>8</v>
      </c>
      <c r="K104" s="1" t="str">
        <f ca="1">IFERROR(__xludf.DUMMYFUNCTION("""COMPUTED_VALUE"""),"Hybrid Working Environment with less than 10 days a month at office")</f>
        <v>Hybrid Working Environment with less than 10 days a month at office</v>
      </c>
      <c r="L104" s="1" t="str">
        <f ca="1">IFERROR(__xludf.DUMMYFUNCTION("""COMPUTED_VALUE"""),"Employer who pushes your limits by enabling an learning environment, and rewards you at the end")</f>
        <v>Employer who pushes your limits by enabling an learning environment, and rewards you at the end</v>
      </c>
      <c r="M104" s="1" t="str">
        <f ca="1">IFERROR(__xludf.DUMMYFUNCTION("""COMPUTED_VALUE"""),"Instructor or Expert Learning Programs, Learning by observing others")</f>
        <v>Instructor or Expert Learning Programs, Learning by observing others</v>
      </c>
      <c r="N104"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104" s="1" t="str">
        <f ca="1">IFERROR(__xludf.DUMMYFUNCTION("""COMPUTED_VALUE"""),"Manager who explains what is expected, sets a goal and helps achieve it")</f>
        <v>Manager who explains what is expected, sets a goal and helps achieve it</v>
      </c>
      <c r="P104" s="1" t="str">
        <f ca="1">IFERROR(__xludf.DUMMYFUNCTION("""COMPUTED_VALUE"""),"Work with 2 to 3 people in my team")</f>
        <v>Work with 2 to 3 people in my team</v>
      </c>
      <c r="Q104" s="1"/>
    </row>
    <row r="105" spans="1:17" ht="13.2" x14ac:dyDescent="0.25">
      <c r="A105" s="2">
        <f ca="1">IFERROR(__xludf.DUMMYFUNCTION("""COMPUTED_VALUE"""),44912.0572920833)</f>
        <v>44912.0572920833</v>
      </c>
      <c r="B105" s="1" t="str">
        <f ca="1">IFERROR(__xludf.DUMMYFUNCTION("""COMPUTED_VALUE"""),"India")</f>
        <v>India</v>
      </c>
      <c r="C105" s="1">
        <f ca="1">IFERROR(__xludf.DUMMYFUNCTION("""COMPUTED_VALUE"""),785001)</f>
        <v>785001</v>
      </c>
      <c r="D105" s="3" t="str">
        <f ca="1">IFERROR(__xludf.DUMMYFUNCTION("""COMPUTED_VALUE"""),"Male")</f>
        <v>Male</v>
      </c>
      <c r="E105" s="1" t="str">
        <f ca="1">IFERROR(__xludf.DUMMYFUNCTION("""COMPUTED_VALUE"""),"People from my circle, but not family members")</f>
        <v>People from my circle, but not family members</v>
      </c>
      <c r="F105" s="1" t="str">
        <f ca="1">IFERROR(__xludf.DUMMYFUNCTION("""COMPUTED_VALUE"""),"No I would not be pursuing Higher Education outside of India")</f>
        <v>No I would not be pursuing Higher Education outside of India</v>
      </c>
      <c r="G105" s="1" t="str">
        <f ca="1">IFERROR(__xludf.DUMMYFUNCTION("""COMPUTED_VALUE"""),"This will be hard to do, but if it is the right company I would try")</f>
        <v>This will be hard to do, but if it is the right company I would try</v>
      </c>
      <c r="H105" s="1" t="str">
        <f ca="1">IFERROR(__xludf.DUMMYFUNCTION("""COMPUTED_VALUE"""),"Yes")</f>
        <v>Yes</v>
      </c>
      <c r="I105" s="1" t="str">
        <f ca="1">IFERROR(__xludf.DUMMYFUNCTION("""COMPUTED_VALUE"""),"Will NOT work for them")</f>
        <v>Will NOT work for them</v>
      </c>
      <c r="J105" s="1">
        <f ca="1">IFERROR(__xludf.DUMMYFUNCTION("""COMPUTED_VALUE"""),5)</f>
        <v>5</v>
      </c>
      <c r="K105" s="1" t="str">
        <f ca="1">IFERROR(__xludf.DUMMYFUNCTION("""COMPUTED_VALUE"""),"Hybrid Working Environment with less than 3 days a month at office")</f>
        <v>Hybrid Working Environment with less than 3 days a month at office</v>
      </c>
      <c r="L105" s="1" t="str">
        <f ca="1">IFERROR(__xludf.DUMMYFUNCTION("""COMPUTED_VALUE"""),"Employer who appreciates learning and enables that environment")</f>
        <v>Employer who appreciates learning and enables that environment</v>
      </c>
      <c r="M105" s="1" t="str">
        <f ca="1">IFERROR(__xludf.DUMMYFUNCTION("""COMPUTED_VALUE"""),"Instructor or Expert Learning Programs, Trial and error by doing side projects within the company")</f>
        <v>Instructor or Expert Learning Programs, Trial and error by doing side projects within the company</v>
      </c>
      <c r="N1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05" s="1" t="str">
        <f ca="1">IFERROR(__xludf.DUMMYFUNCTION("""COMPUTED_VALUE"""),"Manager who explains what is expected, sets a goal and helps achieve it")</f>
        <v>Manager who explains what is expected, sets a goal and helps achieve it</v>
      </c>
      <c r="P105" s="1" t="str">
        <f ca="1">IFERROR(__xludf.DUMMYFUNCTION("""COMPUTED_VALUE"""),"Work with 2 to 3 people in my team")</f>
        <v>Work with 2 to 3 people in my team</v>
      </c>
      <c r="Q105" s="1"/>
    </row>
    <row r="106" spans="1:17" ht="13.2" x14ac:dyDescent="0.25">
      <c r="A106" s="2">
        <f ca="1">IFERROR(__xludf.DUMMYFUNCTION("""COMPUTED_VALUE"""),44912.277851956)</f>
        <v>44912.277851956002</v>
      </c>
      <c r="B106" s="1" t="str">
        <f ca="1">IFERROR(__xludf.DUMMYFUNCTION("""COMPUTED_VALUE"""),"India")</f>
        <v>India</v>
      </c>
      <c r="C106" s="1">
        <f ca="1">IFERROR(__xludf.DUMMYFUNCTION("""COMPUTED_VALUE"""),561203)</f>
        <v>561203</v>
      </c>
      <c r="D106" s="3" t="str">
        <f ca="1">IFERROR(__xludf.DUMMYFUNCTION("""COMPUTED_VALUE"""),"Male")</f>
        <v>Male</v>
      </c>
      <c r="E106" s="1" t="str">
        <f ca="1">IFERROR(__xludf.DUMMYFUNCTION("""COMPUTED_VALUE"""),"Influencers who had successful careers")</f>
        <v>Influencers who had successful careers</v>
      </c>
      <c r="F106" s="1" t="str">
        <f ca="1">IFERROR(__xludf.DUMMYFUNCTION("""COMPUTED_VALUE"""),"Yes, I will earn and do that")</f>
        <v>Yes, I will earn and do that</v>
      </c>
      <c r="G106" s="1" t="str">
        <f ca="1">IFERROR(__xludf.DUMMYFUNCTION("""COMPUTED_VALUE"""),"This will be hard to do, but if it is the right company I would try")</f>
        <v>This will be hard to do, but if it is the right company I would try</v>
      </c>
      <c r="H106" s="1" t="str">
        <f ca="1">IFERROR(__xludf.DUMMYFUNCTION("""COMPUTED_VALUE"""),"Yes")</f>
        <v>Yes</v>
      </c>
      <c r="I106" s="1" t="str">
        <f ca="1">IFERROR(__xludf.DUMMYFUNCTION("""COMPUTED_VALUE"""),"Will work for them")</f>
        <v>Will work for them</v>
      </c>
      <c r="J106" s="1">
        <f ca="1">IFERROR(__xludf.DUMMYFUNCTION("""COMPUTED_VALUE"""),5)</f>
        <v>5</v>
      </c>
      <c r="K106" s="1" t="str">
        <f ca="1">IFERROR(__xludf.DUMMYFUNCTION("""COMPUTED_VALUE"""),"Hybrid Working Environment with less than 10 days a month at office")</f>
        <v>Hybrid Working Environment with less than 10 days a month at office</v>
      </c>
      <c r="L106" s="1" t="str">
        <f ca="1">IFERROR(__xludf.DUMMYFUNCTION("""COMPUTED_VALUE"""),"Employer who pushes your limits and doesn't enables learning environment and never rewards you")</f>
        <v>Employer who pushes your limits and doesn't enables learning environment and never rewards you</v>
      </c>
      <c r="M106" s="1" t="str">
        <f ca="1">IFERROR(__xludf.DUMMYFUNCTION("""COMPUTED_VALUE"""),"Self Paced Learning Portals, Instructor or Expert Learning Programs")</f>
        <v>Self Paced Learning Portals, Instructor or Expert Learning Programs</v>
      </c>
      <c r="N106"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06" s="1" t="str">
        <f ca="1">IFERROR(__xludf.DUMMYFUNCTION("""COMPUTED_VALUE"""),"Manager who sets goal and helps me achieve it")</f>
        <v>Manager who sets goal and helps me achieve it</v>
      </c>
      <c r="P106" s="1" t="str">
        <f ca="1">IFERROR(__xludf.DUMMYFUNCTION("""COMPUTED_VALUE"""),"Work with 5 to 6 people in my team")</f>
        <v>Work with 5 to 6 people in my team</v>
      </c>
      <c r="Q106" s="1"/>
    </row>
    <row r="107" spans="1:17" ht="13.2" x14ac:dyDescent="0.25">
      <c r="A107" s="2">
        <f ca="1">IFERROR(__xludf.DUMMYFUNCTION("""COMPUTED_VALUE"""),44912.3732990277)</f>
        <v>44912.373299027699</v>
      </c>
      <c r="B107" s="1" t="str">
        <f ca="1">IFERROR(__xludf.DUMMYFUNCTION("""COMPUTED_VALUE"""),"India")</f>
        <v>India</v>
      </c>
      <c r="C107" s="1">
        <f ca="1">IFERROR(__xludf.DUMMYFUNCTION("""COMPUTED_VALUE"""),852131)</f>
        <v>852131</v>
      </c>
      <c r="D107" s="3" t="str">
        <f ca="1">IFERROR(__xludf.DUMMYFUNCTION("""COMPUTED_VALUE"""),"Male")</f>
        <v>Male</v>
      </c>
      <c r="E107" s="1" t="str">
        <f ca="1">IFERROR(__xludf.DUMMYFUNCTION("""COMPUTED_VALUE"""),"My Parents")</f>
        <v>My Parents</v>
      </c>
      <c r="F107" s="1" t="str">
        <f ca="1">IFERROR(__xludf.DUMMYFUNCTION("""COMPUTED_VALUE"""),"No, But if someone could bare the cost I will")</f>
        <v>No, But if someone could bare the cost I will</v>
      </c>
      <c r="G107" s="1" t="str">
        <f ca="1">IFERROR(__xludf.DUMMYFUNCTION("""COMPUTED_VALUE"""),"This will be hard to do, but if it is the right company I would try")</f>
        <v>This will be hard to do, but if it is the right company I would try</v>
      </c>
      <c r="H107" s="1" t="str">
        <f ca="1">IFERROR(__xludf.DUMMYFUNCTION("""COMPUTED_VALUE"""),"Yes")</f>
        <v>Yes</v>
      </c>
      <c r="I107" s="1" t="str">
        <f ca="1">IFERROR(__xludf.DUMMYFUNCTION("""COMPUTED_VALUE"""),"Will NOT work for them")</f>
        <v>Will NOT work for them</v>
      </c>
      <c r="J107" s="1">
        <f ca="1">IFERROR(__xludf.DUMMYFUNCTION("""COMPUTED_VALUE"""),4)</f>
        <v>4</v>
      </c>
      <c r="K107" s="1" t="str">
        <f ca="1">IFERROR(__xludf.DUMMYFUNCTION("""COMPUTED_VALUE"""),"Hybrid Working Environment with less than 15 days a month at office")</f>
        <v>Hybrid Working Environment with less than 15 days a month at office</v>
      </c>
      <c r="L107" s="1" t="str">
        <f ca="1">IFERROR(__xludf.DUMMYFUNCTION("""COMPUTED_VALUE"""),"Employer who pushes your limits by enabling an learning environment, and rewards you at the end")</f>
        <v>Employer who pushes your limits by enabling an learning environment, and rewards you at the end</v>
      </c>
      <c r="M107" s="1" t="str">
        <f ca="1">IFERROR(__xludf.DUMMYFUNCTION("""COMPUTED_VALUE"""),"Learning by observing others, Trial and error by doing side projects within the company")</f>
        <v>Learning by observing others, Trial and error by doing side projects within the company</v>
      </c>
      <c r="N10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07" s="1" t="str">
        <f ca="1">IFERROR(__xludf.DUMMYFUNCTION("""COMPUTED_VALUE"""),"Manager who sets goal and helps me achieve it")</f>
        <v>Manager who sets goal and helps me achieve it</v>
      </c>
      <c r="P107" s="1" t="str">
        <f ca="1">IFERROR(__xludf.DUMMYFUNCTION("""COMPUTED_VALUE"""),"Work with 2 to 3 people in my team")</f>
        <v>Work with 2 to 3 people in my team</v>
      </c>
      <c r="Q107" s="1"/>
    </row>
    <row r="108" spans="1:17" ht="13.2" x14ac:dyDescent="0.25">
      <c r="A108" s="2">
        <f ca="1">IFERROR(__xludf.DUMMYFUNCTION("""COMPUTED_VALUE"""),44912.3887232291)</f>
        <v>44912.388723229102</v>
      </c>
      <c r="B108" s="1" t="str">
        <f ca="1">IFERROR(__xludf.DUMMYFUNCTION("""COMPUTED_VALUE"""),"India")</f>
        <v>India</v>
      </c>
      <c r="C108" s="1">
        <f ca="1">IFERROR(__xludf.DUMMYFUNCTION("""COMPUTED_VALUE"""),560072)</f>
        <v>560072</v>
      </c>
      <c r="D108" s="3" t="str">
        <f ca="1">IFERROR(__xludf.DUMMYFUNCTION("""COMPUTED_VALUE"""),"Male")</f>
        <v>Male</v>
      </c>
      <c r="E108" s="1" t="str">
        <f ca="1">IFERROR(__xludf.DUMMYFUNCTION("""COMPUTED_VALUE"""),"Social Media like LinkedIn")</f>
        <v>Social Media like LinkedIn</v>
      </c>
      <c r="F108" s="1" t="str">
        <f ca="1">IFERROR(__xludf.DUMMYFUNCTION("""COMPUTED_VALUE"""),"No I would not be pursuing Higher Education outside of India")</f>
        <v>No I would not be pursuing Higher Education outside of India</v>
      </c>
      <c r="G108" s="1" t="str">
        <f ca="1">IFERROR(__xludf.DUMMYFUNCTION("""COMPUTED_VALUE"""),"This will be hard to do, but if it is the right company I would try")</f>
        <v>This will be hard to do, but if it is the right company I would try</v>
      </c>
      <c r="H108" s="1" t="str">
        <f ca="1">IFERROR(__xludf.DUMMYFUNCTION("""COMPUTED_VALUE"""),"No")</f>
        <v>No</v>
      </c>
      <c r="I108" s="1" t="str">
        <f ca="1">IFERROR(__xludf.DUMMYFUNCTION("""COMPUTED_VALUE"""),"Will work for them")</f>
        <v>Will work for them</v>
      </c>
      <c r="J108" s="1">
        <f ca="1">IFERROR(__xludf.DUMMYFUNCTION("""COMPUTED_VALUE"""),8)</f>
        <v>8</v>
      </c>
      <c r="K108" s="1" t="str">
        <f ca="1">IFERROR(__xludf.DUMMYFUNCTION("""COMPUTED_VALUE"""),"Fully Remote with Options to travel as and when needed")</f>
        <v>Fully Remote with Options to travel as and when needed</v>
      </c>
      <c r="L108" s="1" t="str">
        <f ca="1">IFERROR(__xludf.DUMMYFUNCTION("""COMPUTED_VALUE"""),"Employer who pushes your limits by enabling an learning environment, and rewards you at the end")</f>
        <v>Employer who pushes your limits by enabling an learning environment, and rewards you at the end</v>
      </c>
      <c r="M108" s="1" t="str">
        <f ca="1">IFERROR(__xludf.DUMMYFUNCTION("""COMPUTED_VALUE"""),"Self Paced Learning Portals, Trial and error by doing side projects within the company")</f>
        <v>Self Paced Learning Portals, Trial and error by doing side projects within the company</v>
      </c>
      <c r="N10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08" s="1" t="str">
        <f ca="1">IFERROR(__xludf.DUMMYFUNCTION("""COMPUTED_VALUE"""),"Manager who explains what is expected, sets a goal and helps achieve it")</f>
        <v>Manager who explains what is expected, sets a goal and helps achieve it</v>
      </c>
      <c r="P108" s="1" t="str">
        <f ca="1">IFERROR(__xludf.DUMMYFUNCTION("""COMPUTED_VALUE"""),"Work with more than 10 people in my team")</f>
        <v>Work with more than 10 people in my team</v>
      </c>
      <c r="Q108" s="1"/>
    </row>
    <row r="109" spans="1:17" ht="13.2" x14ac:dyDescent="0.25">
      <c r="A109" s="2">
        <f ca="1">IFERROR(__xludf.DUMMYFUNCTION("""COMPUTED_VALUE"""),44912.4495357986)</f>
        <v>44912.449535798602</v>
      </c>
      <c r="B109" s="1" t="str">
        <f ca="1">IFERROR(__xludf.DUMMYFUNCTION("""COMPUTED_VALUE"""),"India")</f>
        <v>India</v>
      </c>
      <c r="C109" s="1">
        <f ca="1">IFERROR(__xludf.DUMMYFUNCTION("""COMPUTED_VALUE"""),410206)</f>
        <v>410206</v>
      </c>
      <c r="D109" s="3" t="str">
        <f ca="1">IFERROR(__xludf.DUMMYFUNCTION("""COMPUTED_VALUE"""),"Male")</f>
        <v>Male</v>
      </c>
      <c r="E109" s="1" t="str">
        <f ca="1">IFERROR(__xludf.DUMMYFUNCTION("""COMPUTED_VALUE"""),"People from my circle, but not family members")</f>
        <v>People from my circle, but not family members</v>
      </c>
      <c r="F109" s="1" t="str">
        <f ca="1">IFERROR(__xludf.DUMMYFUNCTION("""COMPUTED_VALUE"""),"No I would not be pursuing Higher Education outside of India")</f>
        <v>No I would not be pursuing Higher Education outside of India</v>
      </c>
      <c r="G109" s="1" t="str">
        <f ca="1">IFERROR(__xludf.DUMMYFUNCTION("""COMPUTED_VALUE"""),"This will be hard to do, but if it is the right company I would try")</f>
        <v>This will be hard to do, but if it is the right company I would try</v>
      </c>
      <c r="H109" s="1" t="str">
        <f ca="1">IFERROR(__xludf.DUMMYFUNCTION("""COMPUTED_VALUE"""),"No")</f>
        <v>No</v>
      </c>
      <c r="I109" s="1" t="str">
        <f ca="1">IFERROR(__xludf.DUMMYFUNCTION("""COMPUTED_VALUE"""),"Will NOT work for them")</f>
        <v>Will NOT work for them</v>
      </c>
      <c r="J109" s="1">
        <f ca="1">IFERROR(__xludf.DUMMYFUNCTION("""COMPUTED_VALUE"""),3)</f>
        <v>3</v>
      </c>
      <c r="K109" s="1" t="str">
        <f ca="1">IFERROR(__xludf.DUMMYFUNCTION("""COMPUTED_VALUE"""),"Hybrid Working Environment with less than 10 days a month at office")</f>
        <v>Hybrid Working Environment with less than 10 days a month at office</v>
      </c>
      <c r="L109" s="1" t="str">
        <f ca="1">IFERROR(__xludf.DUMMYFUNCTION("""COMPUTED_VALUE"""),"Employer who pushes your limits by enabling an learning environment, and rewards you at the end")</f>
        <v>Employer who pushes your limits by enabling an learning environment, and rewards you at the end</v>
      </c>
      <c r="M109" s="1" t="str">
        <f ca="1">IFERROR(__xludf.DUMMYFUNCTION("""COMPUTED_VALUE"""),"Self Paced Learning Portals, Trial and error by doing side projects within the company")</f>
        <v>Self Paced Learning Portals, Trial and error by doing side projects within the company</v>
      </c>
      <c r="N10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09" s="1" t="str">
        <f ca="1">IFERROR(__xludf.DUMMYFUNCTION("""COMPUTED_VALUE"""),"Manager who explains what is expected, sets a goal and helps achieve it")</f>
        <v>Manager who explains what is expected, sets a goal and helps achieve it</v>
      </c>
      <c r="P109" s="1" t="str">
        <f ca="1">IFERROR(__xludf.DUMMYFUNCTION("""COMPUTED_VALUE"""),"Work with 2 to 3 people in my team")</f>
        <v>Work with 2 to 3 people in my team</v>
      </c>
      <c r="Q109" s="1"/>
    </row>
    <row r="110" spans="1:17" ht="13.2" x14ac:dyDescent="0.25">
      <c r="A110" s="2">
        <f ca="1">IFERROR(__xludf.DUMMYFUNCTION("""COMPUTED_VALUE"""),44912.4839661805)</f>
        <v>44912.483966180502</v>
      </c>
      <c r="B110" s="1" t="str">
        <f ca="1">IFERROR(__xludf.DUMMYFUNCTION("""COMPUTED_VALUE"""),"Germany")</f>
        <v>Germany</v>
      </c>
      <c r="C110" s="1">
        <f ca="1">IFERROR(__xludf.DUMMYFUNCTION("""COMPUTED_VALUE"""),83024)</f>
        <v>83024</v>
      </c>
      <c r="D110" s="3" t="str">
        <f ca="1">IFERROR(__xludf.DUMMYFUNCTION("""COMPUTED_VALUE"""),"Male")</f>
        <v>Male</v>
      </c>
      <c r="E110" s="1" t="str">
        <f ca="1">IFERROR(__xludf.DUMMYFUNCTION("""COMPUTED_VALUE"""),"Social Media like LinkedIn")</f>
        <v>Social Media like LinkedIn</v>
      </c>
      <c r="F110" s="1" t="str">
        <f ca="1">IFERROR(__xludf.DUMMYFUNCTION("""COMPUTED_VALUE"""),"Yes, I will earn and do that")</f>
        <v>Yes, I will earn and do that</v>
      </c>
      <c r="G110" s="1" t="str">
        <f ca="1">IFERROR(__xludf.DUMMYFUNCTION("""COMPUTED_VALUE"""),"Will work for 3 years or more")</f>
        <v>Will work for 3 years or more</v>
      </c>
      <c r="H110" s="1" t="str">
        <f ca="1">IFERROR(__xludf.DUMMYFUNCTION("""COMPUTED_VALUE"""),"No")</f>
        <v>No</v>
      </c>
      <c r="I110" s="1" t="str">
        <f ca="1">IFERROR(__xludf.DUMMYFUNCTION("""COMPUTED_VALUE"""),"Will NOT work for them")</f>
        <v>Will NOT work for them</v>
      </c>
      <c r="J110" s="1">
        <f ca="1">IFERROR(__xludf.DUMMYFUNCTION("""COMPUTED_VALUE"""),6)</f>
        <v>6</v>
      </c>
      <c r="K110" s="1" t="str">
        <f ca="1">IFERROR(__xludf.DUMMYFUNCTION("""COMPUTED_VALUE"""),"Hybrid Working Environment with less than 15 days a month at office")</f>
        <v>Hybrid Working Environment with less than 15 days a month at office</v>
      </c>
      <c r="L110" s="1" t="str">
        <f ca="1">IFERROR(__xludf.DUMMYFUNCTION("""COMPUTED_VALUE"""),"Employer who pushes your limits by enabling an learning environment, and rewards you at the end")</f>
        <v>Employer who pushes your limits by enabling an learning environment, and rewards you at the end</v>
      </c>
      <c r="M110" s="1" t="str">
        <f ca="1">IFERROR(__xludf.DUMMYFUNCTION("""COMPUTED_VALUE"""),"Instructor or Expert Learning Programs, Trial and error by doing side projects within the company")</f>
        <v>Instructor or Expert Learning Programs, Trial and error by doing side projects within the company</v>
      </c>
      <c r="N110"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110" s="1" t="str">
        <f ca="1">IFERROR(__xludf.DUMMYFUNCTION("""COMPUTED_VALUE"""),"Manager who clearly describes what she/he needs")</f>
        <v>Manager who clearly describes what she/he needs</v>
      </c>
      <c r="P11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0" s="1"/>
    </row>
    <row r="111" spans="1:17" ht="13.2" x14ac:dyDescent="0.25">
      <c r="A111" s="2">
        <f ca="1">IFERROR(__xludf.DUMMYFUNCTION("""COMPUTED_VALUE"""),44912.5313577777)</f>
        <v>44912.531357777698</v>
      </c>
      <c r="B111" s="1" t="str">
        <f ca="1">IFERROR(__xludf.DUMMYFUNCTION("""COMPUTED_VALUE"""),"India")</f>
        <v>India</v>
      </c>
      <c r="C111" s="1">
        <f ca="1">IFERROR(__xludf.DUMMYFUNCTION("""COMPUTED_VALUE"""),474009)</f>
        <v>474009</v>
      </c>
      <c r="D111" s="3" t="str">
        <f ca="1">IFERROR(__xludf.DUMMYFUNCTION("""COMPUTED_VALUE"""),"Male")</f>
        <v>Male</v>
      </c>
      <c r="E111" s="1" t="str">
        <f ca="1">IFERROR(__xludf.DUMMYFUNCTION("""COMPUTED_VALUE"""),"People who have changed the world for better")</f>
        <v>People who have changed the world for better</v>
      </c>
      <c r="F111" s="1" t="str">
        <f ca="1">IFERROR(__xludf.DUMMYFUNCTION("""COMPUTED_VALUE"""),"No, But if someone could bare the cost I will")</f>
        <v>No, But if someone could bare the cost I will</v>
      </c>
      <c r="G111" s="1" t="str">
        <f ca="1">IFERROR(__xludf.DUMMYFUNCTION("""COMPUTED_VALUE"""),"This will be hard to do, but if it is the right company I would try")</f>
        <v>This will be hard to do, but if it is the right company I would try</v>
      </c>
      <c r="H111" s="1" t="str">
        <f ca="1">IFERROR(__xludf.DUMMYFUNCTION("""COMPUTED_VALUE"""),"No")</f>
        <v>No</v>
      </c>
      <c r="I111" s="1" t="str">
        <f ca="1">IFERROR(__xludf.DUMMYFUNCTION("""COMPUTED_VALUE"""),"Will NOT work for them")</f>
        <v>Will NOT work for them</v>
      </c>
      <c r="J111" s="1">
        <f ca="1">IFERROR(__xludf.DUMMYFUNCTION("""COMPUTED_VALUE"""),7)</f>
        <v>7</v>
      </c>
      <c r="K111" s="1" t="str">
        <f ca="1">IFERROR(__xludf.DUMMYFUNCTION("""COMPUTED_VALUE"""),"Hybrid Working Environment with less than 15 days a month at office")</f>
        <v>Hybrid Working Environment with less than 15 days a month at office</v>
      </c>
      <c r="L111" s="1" t="str">
        <f ca="1">IFERROR(__xludf.DUMMYFUNCTION("""COMPUTED_VALUE"""),"Employer who pushes your limits by enabling an learning environment, and rewards you at the end")</f>
        <v>Employer who pushes your limits by enabling an learning environment, and rewards you at the end</v>
      </c>
      <c r="M111" s="1" t="str">
        <f ca="1">IFERROR(__xludf.DUMMYFUNCTION("""COMPUTED_VALUE"""),"Learning by observing others, Trial and error by doing side projects within the company")</f>
        <v>Learning by observing others, Trial and error by doing side projects within the company</v>
      </c>
      <c r="N111" s="1" t="str">
        <f ca="1">IFERROR(__xludf.DUMMYFUNCTION("""COMPUTED_VALUE"""),"Build and develop a Team, Design and Develop amazing software, Look deeply into Data and generate insights")</f>
        <v>Build and develop a Team, Design and Develop amazing software, Look deeply into Data and generate insights</v>
      </c>
      <c r="O111" s="1" t="str">
        <f ca="1">IFERROR(__xludf.DUMMYFUNCTION("""COMPUTED_VALUE"""),"Manager who explains what is expected, sets a goal and helps achieve it")</f>
        <v>Manager who explains what is expected, sets a goal and helps achieve it</v>
      </c>
      <c r="P111" s="1" t="str">
        <f ca="1">IFERROR(__xludf.DUMMYFUNCTION("""COMPUTED_VALUE"""),"Work with 5 to 6 people in my team")</f>
        <v>Work with 5 to 6 people in my team</v>
      </c>
      <c r="Q111" s="1"/>
    </row>
    <row r="112" spans="1:17" ht="13.2" x14ac:dyDescent="0.25">
      <c r="A112" s="2">
        <f ca="1">IFERROR(__xludf.DUMMYFUNCTION("""COMPUTED_VALUE"""),44912.5355464004)</f>
        <v>44912.535546400402</v>
      </c>
      <c r="B112" s="1" t="str">
        <f ca="1">IFERROR(__xludf.DUMMYFUNCTION("""COMPUTED_VALUE"""),"India")</f>
        <v>India</v>
      </c>
      <c r="C112" s="1">
        <f ca="1">IFERROR(__xludf.DUMMYFUNCTION("""COMPUTED_VALUE"""),400101)</f>
        <v>400101</v>
      </c>
      <c r="D112" s="3" t="str">
        <f ca="1">IFERROR(__xludf.DUMMYFUNCTION("""COMPUTED_VALUE"""),"Female")</f>
        <v>Female</v>
      </c>
      <c r="E112" s="1" t="str">
        <f ca="1">IFERROR(__xludf.DUMMYFUNCTION("""COMPUTED_VALUE"""),"My Parents")</f>
        <v>My Parents</v>
      </c>
      <c r="F112" s="1" t="str">
        <f ca="1">IFERROR(__xludf.DUMMYFUNCTION("""COMPUTED_VALUE"""),"No, But if someone could bare the cost I will")</f>
        <v>No, But if someone could bare the cost I will</v>
      </c>
      <c r="G112" s="1" t="str">
        <f ca="1">IFERROR(__xludf.DUMMYFUNCTION("""COMPUTED_VALUE"""),"Will work for 3 years or more")</f>
        <v>Will work for 3 years or more</v>
      </c>
      <c r="H112" s="1" t="str">
        <f ca="1">IFERROR(__xludf.DUMMYFUNCTION("""COMPUTED_VALUE"""),"No")</f>
        <v>No</v>
      </c>
      <c r="I112" s="1" t="str">
        <f ca="1">IFERROR(__xludf.DUMMYFUNCTION("""COMPUTED_VALUE"""),"Will NOT work for them")</f>
        <v>Will NOT work for them</v>
      </c>
      <c r="J112" s="1">
        <f ca="1">IFERROR(__xludf.DUMMYFUNCTION("""COMPUTED_VALUE"""),5)</f>
        <v>5</v>
      </c>
      <c r="K112" s="1" t="str">
        <f ca="1">IFERROR(__xludf.DUMMYFUNCTION("""COMPUTED_VALUE"""),"Hybrid Working Environment with less than 10 days a month at office")</f>
        <v>Hybrid Working Environment with less than 10 days a month at office</v>
      </c>
      <c r="L112" s="1" t="str">
        <f ca="1">IFERROR(__xludf.DUMMYFUNCTION("""COMPUTED_VALUE"""),"Employer who appreciates learning and enables that environment")</f>
        <v>Employer who appreciates learning and enables that environment</v>
      </c>
      <c r="M112" s="1" t="str">
        <f ca="1">IFERROR(__xludf.DUMMYFUNCTION("""COMPUTED_VALUE"""),"Learning by observing others, Trial and error by doing side projects within the company")</f>
        <v>Learning by observing others, Trial and error by doing side projects within the company</v>
      </c>
      <c r="N112"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112" s="1" t="str">
        <f ca="1">IFERROR(__xludf.DUMMYFUNCTION("""COMPUTED_VALUE"""),"Manager who sets targets and expects me to achieve it")</f>
        <v>Manager who sets targets and expects me to achieve it</v>
      </c>
      <c r="P112" s="1" t="str">
        <f ca="1">IFERROR(__xludf.DUMMYFUNCTION("""COMPUTED_VALUE"""),"Work alone, Work with 2 to 3 people in my team")</f>
        <v>Work alone, Work with 2 to 3 people in my team</v>
      </c>
      <c r="Q112" s="1"/>
    </row>
    <row r="113" spans="1:17" ht="13.2" x14ac:dyDescent="0.25">
      <c r="A113" s="2">
        <f ca="1">IFERROR(__xludf.DUMMYFUNCTION("""COMPUTED_VALUE"""),44912.5369905902)</f>
        <v>44912.536990590197</v>
      </c>
      <c r="B113" s="1" t="str">
        <f ca="1">IFERROR(__xludf.DUMMYFUNCTION("""COMPUTED_VALUE"""),"India")</f>
        <v>India</v>
      </c>
      <c r="C113" s="1">
        <f ca="1">IFERROR(__xludf.DUMMYFUNCTION("""COMPUTED_VALUE"""),560090)</f>
        <v>560090</v>
      </c>
      <c r="D113" s="3" t="str">
        <f ca="1">IFERROR(__xludf.DUMMYFUNCTION("""COMPUTED_VALUE"""),"Female")</f>
        <v>Female</v>
      </c>
      <c r="E113" s="1" t="str">
        <f ca="1">IFERROR(__xludf.DUMMYFUNCTION("""COMPUTED_VALUE"""),"My Parents")</f>
        <v>My Parents</v>
      </c>
      <c r="F113" s="1" t="str">
        <f ca="1">IFERROR(__xludf.DUMMYFUNCTION("""COMPUTED_VALUE"""),"Yes, I will earn and do that")</f>
        <v>Yes, I will earn and do that</v>
      </c>
      <c r="G113" s="1" t="str">
        <f ca="1">IFERROR(__xludf.DUMMYFUNCTION("""COMPUTED_VALUE"""),"Will work for 3 years or more")</f>
        <v>Will work for 3 years or more</v>
      </c>
      <c r="H113" s="1" t="str">
        <f ca="1">IFERROR(__xludf.DUMMYFUNCTION("""COMPUTED_VALUE"""),"No")</f>
        <v>No</v>
      </c>
      <c r="I113" s="1" t="str">
        <f ca="1">IFERROR(__xludf.DUMMYFUNCTION("""COMPUTED_VALUE"""),"Will NOT work for them")</f>
        <v>Will NOT work for them</v>
      </c>
      <c r="J113" s="1">
        <f ca="1">IFERROR(__xludf.DUMMYFUNCTION("""COMPUTED_VALUE"""),4)</f>
        <v>4</v>
      </c>
      <c r="K113" s="1" t="str">
        <f ca="1">IFERROR(__xludf.DUMMYFUNCTION("""COMPUTED_VALUE"""),"Hybrid Working Environment with less than 15 days a month at office")</f>
        <v>Hybrid Working Environment with less than 15 days a month at office</v>
      </c>
      <c r="L113" s="1" t="str">
        <f ca="1">IFERROR(__xludf.DUMMYFUNCTION("""COMPUTED_VALUE"""),"Employer who rewards learning and enables that environment")</f>
        <v>Employer who rewards learning and enables that environment</v>
      </c>
      <c r="M113" s="1" t="str">
        <f ca="1">IFERROR(__xludf.DUMMYFUNCTION("""COMPUTED_VALUE"""),"Instructor or Expert Learning Programs, Trial and error by doing side projects within the company")</f>
        <v>Instructor or Expert Learning Programs, Trial and error by doing side projects within the company</v>
      </c>
      <c r="N11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13" s="1" t="str">
        <f ca="1">IFERROR(__xludf.DUMMYFUNCTION("""COMPUTED_VALUE"""),"Manager who clearly describes what she/he needs")</f>
        <v>Manager who clearly describes what she/he needs</v>
      </c>
      <c r="P113" s="1" t="str">
        <f ca="1">IFERROR(__xludf.DUMMYFUNCTION("""COMPUTED_VALUE"""),"Work with 5 to 6 people in my team")</f>
        <v>Work with 5 to 6 people in my team</v>
      </c>
      <c r="Q113" s="1"/>
    </row>
    <row r="114" spans="1:17" ht="13.2" x14ac:dyDescent="0.25">
      <c r="A114" s="2">
        <f ca="1">IFERROR(__xludf.DUMMYFUNCTION("""COMPUTED_VALUE"""),44912.5650412615)</f>
        <v>44912.5650412615</v>
      </c>
      <c r="B114" s="1" t="str">
        <f ca="1">IFERROR(__xludf.DUMMYFUNCTION("""COMPUTED_VALUE"""),"India")</f>
        <v>India</v>
      </c>
      <c r="C114" s="1">
        <f ca="1">IFERROR(__xludf.DUMMYFUNCTION("""COMPUTED_VALUE"""),380015)</f>
        <v>380015</v>
      </c>
      <c r="D114" s="3" t="str">
        <f ca="1">IFERROR(__xludf.DUMMYFUNCTION("""COMPUTED_VALUE"""),"Male")</f>
        <v>Male</v>
      </c>
      <c r="E114" s="1" t="str">
        <f ca="1">IFERROR(__xludf.DUMMYFUNCTION("""COMPUTED_VALUE"""),"Influencers who had successful careers")</f>
        <v>Influencers who had successful careers</v>
      </c>
      <c r="F114" s="1" t="str">
        <f ca="1">IFERROR(__xludf.DUMMYFUNCTION("""COMPUTED_VALUE"""),"No I would not be pursuing Higher Education outside of India")</f>
        <v>No I would not be pursuing Higher Education outside of India</v>
      </c>
      <c r="G114" s="1" t="str">
        <f ca="1">IFERROR(__xludf.DUMMYFUNCTION("""COMPUTED_VALUE"""),"Will work for 3 years or more")</f>
        <v>Will work for 3 years or more</v>
      </c>
      <c r="H114" s="1" t="str">
        <f ca="1">IFERROR(__xludf.DUMMYFUNCTION("""COMPUTED_VALUE"""),"Yes")</f>
        <v>Yes</v>
      </c>
      <c r="I114" s="1" t="str">
        <f ca="1">IFERROR(__xludf.DUMMYFUNCTION("""COMPUTED_VALUE"""),"Will work for them")</f>
        <v>Will work for them</v>
      </c>
      <c r="J114" s="1">
        <f ca="1">IFERROR(__xludf.DUMMYFUNCTION("""COMPUTED_VALUE"""),6)</f>
        <v>6</v>
      </c>
      <c r="K114" s="1" t="str">
        <f ca="1">IFERROR(__xludf.DUMMYFUNCTION("""COMPUTED_VALUE"""),"Hybrid Working Environment with less than 10 days a month at office")</f>
        <v>Hybrid Working Environment with less than 10 days a month at office</v>
      </c>
      <c r="L114" s="1" t="str">
        <f ca="1">IFERROR(__xludf.DUMMYFUNCTION("""COMPUTED_VALUE"""),"Employer who pushes your limits by enabling an learning environment, and rewards you at the end")</f>
        <v>Employer who pushes your limits by enabling an learning environment, and rewards you at the end</v>
      </c>
      <c r="M114" s="1" t="str">
        <f ca="1">IFERROR(__xludf.DUMMYFUNCTION("""COMPUTED_VALUE"""),"Instructor or Expert Learning Programs, Trial and error by doing side projects within the company")</f>
        <v>Instructor or Expert Learning Programs, Trial and error by doing side projects within the company</v>
      </c>
      <c r="N114"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14" s="1" t="str">
        <f ca="1">IFERROR(__xludf.DUMMYFUNCTION("""COMPUTED_VALUE"""),"Manager who explains what is expected, sets a goal and helps achieve it")</f>
        <v>Manager who explains what is expected, sets a goal and helps achieve it</v>
      </c>
      <c r="P114" s="1" t="str">
        <f ca="1">IFERROR(__xludf.DUMMYFUNCTION("""COMPUTED_VALUE"""),"Work with 2 to 3 people in my team")</f>
        <v>Work with 2 to 3 people in my team</v>
      </c>
      <c r="Q114" s="1"/>
    </row>
    <row r="115" spans="1:17" ht="13.2" x14ac:dyDescent="0.25">
      <c r="A115" s="2">
        <f ca="1">IFERROR(__xludf.DUMMYFUNCTION("""COMPUTED_VALUE"""),44912.578345949)</f>
        <v>44912.578345948998</v>
      </c>
      <c r="B115" s="1" t="str">
        <f ca="1">IFERROR(__xludf.DUMMYFUNCTION("""COMPUTED_VALUE"""),"India")</f>
        <v>India</v>
      </c>
      <c r="C115" s="1">
        <f ca="1">IFERROR(__xludf.DUMMYFUNCTION("""COMPUTED_VALUE"""),700111)</f>
        <v>700111</v>
      </c>
      <c r="D115" s="3" t="str">
        <f ca="1">IFERROR(__xludf.DUMMYFUNCTION("""COMPUTED_VALUE"""),"Male")</f>
        <v>Male</v>
      </c>
      <c r="E115" s="1" t="str">
        <f ca="1">IFERROR(__xludf.DUMMYFUNCTION("""COMPUTED_VALUE"""),"My Parents")</f>
        <v>My Parents</v>
      </c>
      <c r="F115" s="1" t="str">
        <f ca="1">IFERROR(__xludf.DUMMYFUNCTION("""COMPUTED_VALUE"""),"No, But if someone could bare the cost I will")</f>
        <v>No, But if someone could bare the cost I will</v>
      </c>
      <c r="G115" s="1" t="str">
        <f ca="1">IFERROR(__xludf.DUMMYFUNCTION("""COMPUTED_VALUE"""),"This will be hard to do, but if it is the right company I would try")</f>
        <v>This will be hard to do, but if it is the right company I would try</v>
      </c>
      <c r="H115" s="1" t="str">
        <f ca="1">IFERROR(__xludf.DUMMYFUNCTION("""COMPUTED_VALUE"""),"No")</f>
        <v>No</v>
      </c>
      <c r="I115" s="1" t="str">
        <f ca="1">IFERROR(__xludf.DUMMYFUNCTION("""COMPUTED_VALUE"""),"Will NOT work for them")</f>
        <v>Will NOT work for them</v>
      </c>
      <c r="J115" s="1">
        <f ca="1">IFERROR(__xludf.DUMMYFUNCTION("""COMPUTED_VALUE"""),5)</f>
        <v>5</v>
      </c>
      <c r="K115" s="1" t="str">
        <f ca="1">IFERROR(__xludf.DUMMYFUNCTION("""COMPUTED_VALUE"""),"Hybrid Working Environment with less than 15 days a month at office")</f>
        <v>Hybrid Working Environment with less than 15 days a month at office</v>
      </c>
      <c r="L115" s="1" t="str">
        <f ca="1">IFERROR(__xludf.DUMMYFUNCTION("""COMPUTED_VALUE"""),"Employer who pushes your limits by enabling an learning environment, and rewards you at the end")</f>
        <v>Employer who pushes your limits by enabling an learning environment, and rewards you at the end</v>
      </c>
      <c r="M115" s="1" t="str">
        <f ca="1">IFERROR(__xludf.DUMMYFUNCTION("""COMPUTED_VALUE"""),"Self Paced Learning Portals, Trial and error by doing side projects within the company")</f>
        <v>Self Paced Learning Portals, Trial and error by doing side projects within the company</v>
      </c>
      <c r="N115"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115" s="1" t="str">
        <f ca="1">IFERROR(__xludf.DUMMYFUNCTION("""COMPUTED_VALUE"""),"Manager who explains what is expected, sets a goal and helps achieve it")</f>
        <v>Manager who explains what is expected, sets a goal and helps achieve it</v>
      </c>
      <c r="P11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5" s="1"/>
    </row>
    <row r="116" spans="1:17" ht="13.2" x14ac:dyDescent="0.25">
      <c r="A116" s="2">
        <f ca="1">IFERROR(__xludf.DUMMYFUNCTION("""COMPUTED_VALUE"""),44912.578838854)</f>
        <v>44912.578838854002</v>
      </c>
      <c r="B116" s="1" t="str">
        <f ca="1">IFERROR(__xludf.DUMMYFUNCTION("""COMPUTED_VALUE"""),"India")</f>
        <v>India</v>
      </c>
      <c r="C116" s="1">
        <f ca="1">IFERROR(__xludf.DUMMYFUNCTION("""COMPUTED_VALUE"""),281001)</f>
        <v>281001</v>
      </c>
      <c r="D116" s="3" t="str">
        <f ca="1">IFERROR(__xludf.DUMMYFUNCTION("""COMPUTED_VALUE"""),"Female")</f>
        <v>Female</v>
      </c>
      <c r="E116" s="1" t="str">
        <f ca="1">IFERROR(__xludf.DUMMYFUNCTION("""COMPUTED_VALUE"""),"People who have changed the world for better")</f>
        <v>People who have changed the world for better</v>
      </c>
      <c r="F116" s="1" t="str">
        <f ca="1">IFERROR(__xludf.DUMMYFUNCTION("""COMPUTED_VALUE"""),"Yes, I will earn and do that")</f>
        <v>Yes, I will earn and do that</v>
      </c>
      <c r="G116" s="1" t="str">
        <f ca="1">IFERROR(__xludf.DUMMYFUNCTION("""COMPUTED_VALUE"""),"Will work for 3 years or more")</f>
        <v>Will work for 3 years or more</v>
      </c>
      <c r="H116" s="1" t="str">
        <f ca="1">IFERROR(__xludf.DUMMYFUNCTION("""COMPUTED_VALUE"""),"No")</f>
        <v>No</v>
      </c>
      <c r="I116" s="1" t="str">
        <f ca="1">IFERROR(__xludf.DUMMYFUNCTION("""COMPUTED_VALUE"""),"Will NOT work for them")</f>
        <v>Will NOT work for them</v>
      </c>
      <c r="J116" s="1">
        <f ca="1">IFERROR(__xludf.DUMMYFUNCTION("""COMPUTED_VALUE"""),8)</f>
        <v>8</v>
      </c>
      <c r="K116" s="1" t="str">
        <f ca="1">IFERROR(__xludf.DUMMYFUNCTION("""COMPUTED_VALUE"""),"Fully Remote with Options to travel as and when needed")</f>
        <v>Fully Remote with Options to travel as and when needed</v>
      </c>
      <c r="L116" s="1" t="str">
        <f ca="1">IFERROR(__xludf.DUMMYFUNCTION("""COMPUTED_VALUE"""),"Employer who pushes your limits by enabling an learning environment, and rewards you at the end")</f>
        <v>Employer who pushes your limits by enabling an learning environment, and rewards you at the end</v>
      </c>
      <c r="M116" s="1" t="str">
        <f ca="1">IFERROR(__xludf.DUMMYFUNCTION("""COMPUTED_VALUE"""),"Instructor or Expert Learning Programs, Learning by observing others")</f>
        <v>Instructor or Expert Learning Programs, Learning by observing others</v>
      </c>
      <c r="N116"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16" s="1" t="str">
        <f ca="1">IFERROR(__xludf.DUMMYFUNCTION("""COMPUTED_VALUE"""),"Manager who explains what is expected, sets a goal and helps achieve it")</f>
        <v>Manager who explains what is expected, sets a goal and helps achieve it</v>
      </c>
      <c r="P116" s="1" t="str">
        <f ca="1">IFERROR(__xludf.DUMMYFUNCTION("""COMPUTED_VALUE"""),"Work with 5 to 6 people in my team")</f>
        <v>Work with 5 to 6 people in my team</v>
      </c>
      <c r="Q116" s="1"/>
    </row>
    <row r="117" spans="1:17" ht="13.2" x14ac:dyDescent="0.25">
      <c r="A117" s="2">
        <f ca="1">IFERROR(__xludf.DUMMYFUNCTION("""COMPUTED_VALUE"""),44912.5865962152)</f>
        <v>44912.586596215202</v>
      </c>
      <c r="B117" s="1" t="str">
        <f ca="1">IFERROR(__xludf.DUMMYFUNCTION("""COMPUTED_VALUE"""),"India")</f>
        <v>India</v>
      </c>
      <c r="C117" s="1">
        <f ca="1">IFERROR(__xludf.DUMMYFUNCTION("""COMPUTED_VALUE"""),517112)</f>
        <v>517112</v>
      </c>
      <c r="D117" s="3" t="str">
        <f ca="1">IFERROR(__xludf.DUMMYFUNCTION("""COMPUTED_VALUE"""),"Male")</f>
        <v>Male</v>
      </c>
      <c r="E117" s="1" t="str">
        <f ca="1">IFERROR(__xludf.DUMMYFUNCTION("""COMPUTED_VALUE"""),"My Parents")</f>
        <v>My Parents</v>
      </c>
      <c r="F117" s="1" t="str">
        <f ca="1">IFERROR(__xludf.DUMMYFUNCTION("""COMPUTED_VALUE"""),"No, But if someone could bare the cost I will")</f>
        <v>No, But if someone could bare the cost I will</v>
      </c>
      <c r="G117" s="1" t="str">
        <f ca="1">IFERROR(__xludf.DUMMYFUNCTION("""COMPUTED_VALUE"""),"This will be hard to do, but if it is the right company I would try")</f>
        <v>This will be hard to do, but if it is the right company I would try</v>
      </c>
      <c r="H117" s="1" t="str">
        <f ca="1">IFERROR(__xludf.DUMMYFUNCTION("""COMPUTED_VALUE"""),"No")</f>
        <v>No</v>
      </c>
      <c r="I117" s="1" t="str">
        <f ca="1">IFERROR(__xludf.DUMMYFUNCTION("""COMPUTED_VALUE"""),"Will NOT work for them")</f>
        <v>Will NOT work for them</v>
      </c>
      <c r="J117" s="1">
        <f ca="1">IFERROR(__xludf.DUMMYFUNCTION("""COMPUTED_VALUE"""),5)</f>
        <v>5</v>
      </c>
      <c r="K117" s="1" t="str">
        <f ca="1">IFERROR(__xludf.DUMMYFUNCTION("""COMPUTED_VALUE"""),"Hybrid Working Environment with less than 15 days a month at office")</f>
        <v>Hybrid Working Environment with less than 15 days a month at office</v>
      </c>
      <c r="L117" s="1" t="str">
        <f ca="1">IFERROR(__xludf.DUMMYFUNCTION("""COMPUTED_VALUE"""),"Employer who pushes your limits by enabling an learning environment, and rewards you at the end")</f>
        <v>Employer who pushes your limits by enabling an learning environment, and rewards you at the end</v>
      </c>
      <c r="M117" s="1" t="str">
        <f ca="1">IFERROR(__xludf.DUMMYFUNCTION("""COMPUTED_VALUE"""),"Instructor or Expert Learning Programs, Learning by observing others")</f>
        <v>Instructor or Expert Learning Programs, Learning by observing others</v>
      </c>
      <c r="N11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17" s="1" t="str">
        <f ca="1">IFERROR(__xludf.DUMMYFUNCTION("""COMPUTED_VALUE"""),"Manager who clearly describes what she/he needs")</f>
        <v>Manager who clearly describes what she/he needs</v>
      </c>
      <c r="P117" s="1" t="str">
        <f ca="1">IFERROR(__xludf.DUMMYFUNCTION("""COMPUTED_VALUE"""),"Work with 2 to 3 people in my team")</f>
        <v>Work with 2 to 3 people in my team</v>
      </c>
      <c r="Q117" s="1"/>
    </row>
    <row r="118" spans="1:17" ht="13.2" x14ac:dyDescent="0.25">
      <c r="A118" s="2">
        <f ca="1">IFERROR(__xludf.DUMMYFUNCTION("""COMPUTED_VALUE"""),44912.5963452546)</f>
        <v>44912.596345254598</v>
      </c>
      <c r="B118" s="1" t="str">
        <f ca="1">IFERROR(__xludf.DUMMYFUNCTION("""COMPUTED_VALUE"""),"India")</f>
        <v>India</v>
      </c>
      <c r="C118" s="1">
        <f ca="1">IFERROR(__xludf.DUMMYFUNCTION("""COMPUTED_VALUE"""),711315)</f>
        <v>711315</v>
      </c>
      <c r="D118" s="3" t="str">
        <f ca="1">IFERROR(__xludf.DUMMYFUNCTION("""COMPUTED_VALUE"""),"Male")</f>
        <v>Male</v>
      </c>
      <c r="E118" s="1" t="str">
        <f ca="1">IFERROR(__xludf.DUMMYFUNCTION("""COMPUTED_VALUE"""),"My Parents")</f>
        <v>My Parents</v>
      </c>
      <c r="F118" s="1" t="str">
        <f ca="1">IFERROR(__xludf.DUMMYFUNCTION("""COMPUTED_VALUE"""),"No, But if someone could bare the cost I will")</f>
        <v>No, But if someone could bare the cost I will</v>
      </c>
      <c r="G118" s="1" t="str">
        <f ca="1">IFERROR(__xludf.DUMMYFUNCTION("""COMPUTED_VALUE"""),"This will be hard to do, but if it is the right company I would try")</f>
        <v>This will be hard to do, but if it is the right company I would try</v>
      </c>
      <c r="H118" s="1" t="str">
        <f ca="1">IFERROR(__xludf.DUMMYFUNCTION("""COMPUTED_VALUE"""),"Yes")</f>
        <v>Yes</v>
      </c>
      <c r="I118" s="1" t="str">
        <f ca="1">IFERROR(__xludf.DUMMYFUNCTION("""COMPUTED_VALUE"""),"Will work for them")</f>
        <v>Will work for them</v>
      </c>
      <c r="J118" s="1">
        <f ca="1">IFERROR(__xludf.DUMMYFUNCTION("""COMPUTED_VALUE"""),8)</f>
        <v>8</v>
      </c>
      <c r="K118" s="1" t="str">
        <f ca="1">IFERROR(__xludf.DUMMYFUNCTION("""COMPUTED_VALUE"""),"Fully Remote with Options to travel as and when needed")</f>
        <v>Fully Remote with Options to travel as and when needed</v>
      </c>
      <c r="L118" s="1" t="str">
        <f ca="1">IFERROR(__xludf.DUMMYFUNCTION("""COMPUTED_VALUE"""),"Employer who pushes your limits by enabling an learning environment, and rewards you at the end")</f>
        <v>Employer who pushes your limits by enabling an learning environment, and rewards you at the end</v>
      </c>
      <c r="M118" s="1" t="str">
        <f ca="1">IFERROR(__xludf.DUMMYFUNCTION("""COMPUTED_VALUE"""),"Instructor or Expert Learning Programs, Trial and error by doing side projects within the company")</f>
        <v>Instructor or Expert Learning Programs, Trial and error by doing side projects within the company</v>
      </c>
      <c r="N11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18" s="1" t="str">
        <f ca="1">IFERROR(__xludf.DUMMYFUNCTION("""COMPUTED_VALUE"""),"Manager who explains what is expected, sets a goal and helps achieve it")</f>
        <v>Manager who explains what is expected, sets a goal and helps achieve it</v>
      </c>
      <c r="P118" s="1" t="str">
        <f ca="1">IFERROR(__xludf.DUMMYFUNCTION("""COMPUTED_VALUE"""),"Work with 5 to 6 people in my team")</f>
        <v>Work with 5 to 6 people in my team</v>
      </c>
      <c r="Q118" s="1"/>
    </row>
    <row r="119" spans="1:17" ht="13.2" x14ac:dyDescent="0.25">
      <c r="A119" s="2">
        <f ca="1">IFERROR(__xludf.DUMMYFUNCTION("""COMPUTED_VALUE"""),44912.5989569791)</f>
        <v>44912.598956979098</v>
      </c>
      <c r="B119" s="1" t="str">
        <f ca="1">IFERROR(__xludf.DUMMYFUNCTION("""COMPUTED_VALUE"""),"India")</f>
        <v>India</v>
      </c>
      <c r="C119" s="1">
        <f ca="1">IFERROR(__xludf.DUMMYFUNCTION("""COMPUTED_VALUE"""),400012)</f>
        <v>400012</v>
      </c>
      <c r="D119" s="3" t="str">
        <f ca="1">IFERROR(__xludf.DUMMYFUNCTION("""COMPUTED_VALUE"""),"Male")</f>
        <v>Male</v>
      </c>
      <c r="E119" s="1" t="str">
        <f ca="1">IFERROR(__xludf.DUMMYFUNCTION("""COMPUTED_VALUE"""),"My Parents")</f>
        <v>My Parents</v>
      </c>
      <c r="F119" s="1" t="str">
        <f ca="1">IFERROR(__xludf.DUMMYFUNCTION("""COMPUTED_VALUE"""),"No I would not be pursuing Higher Education outside of India")</f>
        <v>No I would not be pursuing Higher Education outside of India</v>
      </c>
      <c r="G119" s="1" t="str">
        <f ca="1">IFERROR(__xludf.DUMMYFUNCTION("""COMPUTED_VALUE"""),"Will work for 3 years or more")</f>
        <v>Will work for 3 years or more</v>
      </c>
      <c r="H119" s="1" t="str">
        <f ca="1">IFERROR(__xludf.DUMMYFUNCTION("""COMPUTED_VALUE"""),"No")</f>
        <v>No</v>
      </c>
      <c r="I119" s="1" t="str">
        <f ca="1">IFERROR(__xludf.DUMMYFUNCTION("""COMPUTED_VALUE"""),"Will NOT work for them")</f>
        <v>Will NOT work for them</v>
      </c>
      <c r="J119" s="1">
        <f ca="1">IFERROR(__xludf.DUMMYFUNCTION("""COMPUTED_VALUE"""),8)</f>
        <v>8</v>
      </c>
      <c r="K119" s="1" t="str">
        <f ca="1">IFERROR(__xludf.DUMMYFUNCTION("""COMPUTED_VALUE"""),"Hybrid Working Environment with less than 15 days a month at office")</f>
        <v>Hybrid Working Environment with less than 15 days a month at office</v>
      </c>
      <c r="L119" s="1" t="str">
        <f ca="1">IFERROR(__xludf.DUMMYFUNCTION("""COMPUTED_VALUE"""),"Employer who appreciates learning and enables that environment")</f>
        <v>Employer who appreciates learning and enables that environment</v>
      </c>
      <c r="M119" s="1" t="str">
        <f ca="1">IFERROR(__xludf.DUMMYFUNCTION("""COMPUTED_VALUE"""),"Instructor or Expert Learning Programs, Learning by observing others")</f>
        <v>Instructor or Expert Learning Programs, Learning by observing others</v>
      </c>
      <c r="N11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19" s="1" t="str">
        <f ca="1">IFERROR(__xludf.DUMMYFUNCTION("""COMPUTED_VALUE"""),"Manager who clearly describes what she/he needs")</f>
        <v>Manager who clearly describes what she/he needs</v>
      </c>
      <c r="P119" s="1" t="str">
        <f ca="1">IFERROR(__xludf.DUMMYFUNCTION("""COMPUTED_VALUE"""),"Work with 5 to 6 people in my team")</f>
        <v>Work with 5 to 6 people in my team</v>
      </c>
      <c r="Q119" s="1"/>
    </row>
    <row r="120" spans="1:17" ht="13.2" x14ac:dyDescent="0.25">
      <c r="A120" s="2">
        <f ca="1">IFERROR(__xludf.DUMMYFUNCTION("""COMPUTED_VALUE"""),44912.610390324)</f>
        <v>44912.610390324</v>
      </c>
      <c r="B120" s="1" t="str">
        <f ca="1">IFERROR(__xludf.DUMMYFUNCTION("""COMPUTED_VALUE"""),"India")</f>
        <v>India</v>
      </c>
      <c r="C120" s="1">
        <f ca="1">IFERROR(__xludf.DUMMYFUNCTION("""COMPUTED_VALUE"""),500072)</f>
        <v>500072</v>
      </c>
      <c r="D120" s="3" t="str">
        <f ca="1">IFERROR(__xludf.DUMMYFUNCTION("""COMPUTED_VALUE"""),"Male")</f>
        <v>Male</v>
      </c>
      <c r="E120" s="1" t="str">
        <f ca="1">IFERROR(__xludf.DUMMYFUNCTION("""COMPUTED_VALUE"""),"People from my circle, but not family members")</f>
        <v>People from my circle, but not family members</v>
      </c>
      <c r="F120" s="1" t="str">
        <f ca="1">IFERROR(__xludf.DUMMYFUNCTION("""COMPUTED_VALUE"""),"No, But if someone could bare the cost I will")</f>
        <v>No, But if someone could bare the cost I will</v>
      </c>
      <c r="G120" s="1" t="str">
        <f ca="1">IFERROR(__xludf.DUMMYFUNCTION("""COMPUTED_VALUE"""),"This will be hard to do, but if it is the right company I would try")</f>
        <v>This will be hard to do, but if it is the right company I would try</v>
      </c>
      <c r="H120" s="1" t="str">
        <f ca="1">IFERROR(__xludf.DUMMYFUNCTION("""COMPUTED_VALUE"""),"No")</f>
        <v>No</v>
      </c>
      <c r="I120" s="1" t="str">
        <f ca="1">IFERROR(__xludf.DUMMYFUNCTION("""COMPUTED_VALUE"""),"Will NOT work for them")</f>
        <v>Will NOT work for them</v>
      </c>
      <c r="J120" s="1">
        <f ca="1">IFERROR(__xludf.DUMMYFUNCTION("""COMPUTED_VALUE"""),6)</f>
        <v>6</v>
      </c>
      <c r="K120" s="1" t="str">
        <f ca="1">IFERROR(__xludf.DUMMYFUNCTION("""COMPUTED_VALUE"""),"Fully Remote with Options to travel as and when needed")</f>
        <v>Fully Remote with Options to travel as and when needed</v>
      </c>
      <c r="L120" s="1" t="str">
        <f ca="1">IFERROR(__xludf.DUMMYFUNCTION("""COMPUTED_VALUE"""),"Employer who pushes your limits by enabling an learning environment, and rewards you at the end")</f>
        <v>Employer who pushes your limits by enabling an learning environment, and rewards you at the end</v>
      </c>
      <c r="M120" s="1" t="str">
        <f ca="1">IFERROR(__xludf.DUMMYFUNCTION("""COMPUTED_VALUE"""),"Self Paced Learning Portals, Learning by observing others")</f>
        <v>Self Paced Learning Portals, Learning by observing others</v>
      </c>
      <c r="N12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20" s="1" t="str">
        <f ca="1">IFERROR(__xludf.DUMMYFUNCTION("""COMPUTED_VALUE"""),"Manager who explains what is expected, sets a goal and helps achieve it")</f>
        <v>Manager who explains what is expected, sets a goal and helps achieve it</v>
      </c>
      <c r="P120" s="1" t="str">
        <f ca="1">IFERROR(__xludf.DUMMYFUNCTION("""COMPUTED_VALUE"""),"Work alone")</f>
        <v>Work alone</v>
      </c>
      <c r="Q120" s="1"/>
    </row>
    <row r="121" spans="1:17" ht="13.2" x14ac:dyDescent="0.25">
      <c r="A121" s="2">
        <f ca="1">IFERROR(__xludf.DUMMYFUNCTION("""COMPUTED_VALUE"""),44912.622110081)</f>
        <v>44912.622110081</v>
      </c>
      <c r="B121" s="1" t="str">
        <f ca="1">IFERROR(__xludf.DUMMYFUNCTION("""COMPUTED_VALUE"""),"India")</f>
        <v>India</v>
      </c>
      <c r="C121" s="1">
        <f ca="1">IFERROR(__xludf.DUMMYFUNCTION("""COMPUTED_VALUE"""),380015)</f>
        <v>380015</v>
      </c>
      <c r="D121" s="3" t="str">
        <f ca="1">IFERROR(__xludf.DUMMYFUNCTION("""COMPUTED_VALUE"""),"Female")</f>
        <v>Female</v>
      </c>
      <c r="E121" s="1" t="str">
        <f ca="1">IFERROR(__xludf.DUMMYFUNCTION("""COMPUTED_VALUE"""),"My Parents")</f>
        <v>My Parents</v>
      </c>
      <c r="F121" s="1" t="str">
        <f ca="1">IFERROR(__xludf.DUMMYFUNCTION("""COMPUTED_VALUE"""),"Yes, I will earn and do that")</f>
        <v>Yes, I will earn and do that</v>
      </c>
      <c r="G121" s="1" t="str">
        <f ca="1">IFERROR(__xludf.DUMMYFUNCTION("""COMPUTED_VALUE"""),"This will be hard to do, but if it is the right company I would try")</f>
        <v>This will be hard to do, but if it is the right company I would try</v>
      </c>
      <c r="H121" s="1" t="str">
        <f ca="1">IFERROR(__xludf.DUMMYFUNCTION("""COMPUTED_VALUE"""),"Yes")</f>
        <v>Yes</v>
      </c>
      <c r="I121" s="1" t="str">
        <f ca="1">IFERROR(__xludf.DUMMYFUNCTION("""COMPUTED_VALUE"""),"Will work for them")</f>
        <v>Will work for them</v>
      </c>
      <c r="J121" s="1">
        <f ca="1">IFERROR(__xludf.DUMMYFUNCTION("""COMPUTED_VALUE"""),8)</f>
        <v>8</v>
      </c>
      <c r="K121" s="1" t="str">
        <f ca="1">IFERROR(__xludf.DUMMYFUNCTION("""COMPUTED_VALUE"""),"Hybrid Working Environment with less than 3 days a month at office")</f>
        <v>Hybrid Working Environment with less than 3 days a month at office</v>
      </c>
      <c r="L121" s="1" t="str">
        <f ca="1">IFERROR(__xludf.DUMMYFUNCTION("""COMPUTED_VALUE"""),"Employer who rewards learning and enables that environment")</f>
        <v>Employer who rewards learning and enables that environment</v>
      </c>
      <c r="M121" s="1" t="str">
        <f ca="1">IFERROR(__xludf.DUMMYFUNCTION("""COMPUTED_VALUE"""),"Self Paced Learning Portals, Instructor or Expert Learning Programs")</f>
        <v>Self Paced Learning Portals, Instructor or Expert Learning Programs</v>
      </c>
      <c r="N12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21" s="1" t="str">
        <f ca="1">IFERROR(__xludf.DUMMYFUNCTION("""COMPUTED_VALUE"""),"Manager who sets goal and helps me achieve it")</f>
        <v>Manager who sets goal and helps me achieve it</v>
      </c>
      <c r="P121" s="1" t="str">
        <f ca="1">IFERROR(__xludf.DUMMYFUNCTION("""COMPUTED_VALUE"""),"Work with more than 10 people in my team")</f>
        <v>Work with more than 10 people in my team</v>
      </c>
      <c r="Q121" s="1"/>
    </row>
    <row r="122" spans="1:17" ht="13.2" x14ac:dyDescent="0.25">
      <c r="A122" s="2">
        <f ca="1">IFERROR(__xludf.DUMMYFUNCTION("""COMPUTED_VALUE"""),44912.6329566203)</f>
        <v>44912.632956620299</v>
      </c>
      <c r="B122" s="1" t="str">
        <f ca="1">IFERROR(__xludf.DUMMYFUNCTION("""COMPUTED_VALUE"""),"India")</f>
        <v>India</v>
      </c>
      <c r="C122" s="1">
        <f ca="1">IFERROR(__xludf.DUMMYFUNCTION("""COMPUTED_VALUE"""),751010)</f>
        <v>751010</v>
      </c>
      <c r="D122" s="3" t="str">
        <f ca="1">IFERROR(__xludf.DUMMYFUNCTION("""COMPUTED_VALUE"""),"Female")</f>
        <v>Female</v>
      </c>
      <c r="E122" s="1" t="str">
        <f ca="1">IFERROR(__xludf.DUMMYFUNCTION("""COMPUTED_VALUE"""),"People from my circle, but not family members")</f>
        <v>People from my circle, but not family members</v>
      </c>
      <c r="F122" s="1" t="str">
        <f ca="1">IFERROR(__xludf.DUMMYFUNCTION("""COMPUTED_VALUE"""),"Yes, I will earn and do that")</f>
        <v>Yes, I will earn and do that</v>
      </c>
      <c r="G122" s="1" t="str">
        <f ca="1">IFERROR(__xludf.DUMMYFUNCTION("""COMPUTED_VALUE"""),"This will be hard to do, but if it is the right company I would try")</f>
        <v>This will be hard to do, but if it is the right company I would try</v>
      </c>
      <c r="H122" s="1" t="str">
        <f ca="1">IFERROR(__xludf.DUMMYFUNCTION("""COMPUTED_VALUE"""),"No")</f>
        <v>No</v>
      </c>
      <c r="I122" s="1" t="str">
        <f ca="1">IFERROR(__xludf.DUMMYFUNCTION("""COMPUTED_VALUE"""),"Will NOT work for them")</f>
        <v>Will NOT work for them</v>
      </c>
      <c r="J122" s="1">
        <f ca="1">IFERROR(__xludf.DUMMYFUNCTION("""COMPUTED_VALUE"""),8)</f>
        <v>8</v>
      </c>
      <c r="K122" s="1" t="str">
        <f ca="1">IFERROR(__xludf.DUMMYFUNCTION("""COMPUTED_VALUE"""),"Hybrid Working Environment with less than 10 days a month at office")</f>
        <v>Hybrid Working Environment with less than 10 days a month at office</v>
      </c>
      <c r="L122" s="1" t="str">
        <f ca="1">IFERROR(__xludf.DUMMYFUNCTION("""COMPUTED_VALUE"""),"Employer who pushes your limits by enabling an learning environment, and rewards you at the end")</f>
        <v>Employer who pushes your limits by enabling an learning environment, and rewards you at the end</v>
      </c>
      <c r="M122" s="1" t="str">
        <f ca="1">IFERROR(__xludf.DUMMYFUNCTION("""COMPUTED_VALUE"""),"Instructor or Expert Learning Programs, Learning by observing others")</f>
        <v>Instructor or Expert Learning Programs, Learning by observing others</v>
      </c>
      <c r="N122"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122" s="1" t="str">
        <f ca="1">IFERROR(__xludf.DUMMYFUNCTION("""COMPUTED_VALUE"""),"Manager who explains what is expected, sets a goal and helps achieve it")</f>
        <v>Manager who explains what is expected, sets a goal and helps achieve it</v>
      </c>
      <c r="P122" s="1" t="str">
        <f ca="1">IFERROR(__xludf.DUMMYFUNCTION("""COMPUTED_VALUE"""),"Work with 2 to 3 people in my team, Work with 5 to 6 people in my team")</f>
        <v>Work with 2 to 3 people in my team, Work with 5 to 6 people in my team</v>
      </c>
      <c r="Q122" s="1"/>
    </row>
    <row r="123" spans="1:17" ht="13.2" x14ac:dyDescent="0.25">
      <c r="A123" s="2">
        <f ca="1">IFERROR(__xludf.DUMMYFUNCTION("""COMPUTED_VALUE"""),44912.7057586574)</f>
        <v>44912.705758657401</v>
      </c>
      <c r="B123" s="1" t="str">
        <f ca="1">IFERROR(__xludf.DUMMYFUNCTION("""COMPUTED_VALUE"""),"India")</f>
        <v>India</v>
      </c>
      <c r="C123" s="1">
        <f ca="1">IFERROR(__xludf.DUMMYFUNCTION("""COMPUTED_VALUE"""),425401)</f>
        <v>425401</v>
      </c>
      <c r="D123" s="3" t="str">
        <f ca="1">IFERROR(__xludf.DUMMYFUNCTION("""COMPUTED_VALUE"""),"Male")</f>
        <v>Male</v>
      </c>
      <c r="E123" s="1" t="str">
        <f ca="1">IFERROR(__xludf.DUMMYFUNCTION("""COMPUTED_VALUE"""),"Influencers who had successful careers")</f>
        <v>Influencers who had successful careers</v>
      </c>
      <c r="F123" s="1" t="str">
        <f ca="1">IFERROR(__xludf.DUMMYFUNCTION("""COMPUTED_VALUE"""),"Yes, I will earn and do that")</f>
        <v>Yes, I will earn and do that</v>
      </c>
      <c r="G123" s="1" t="str">
        <f ca="1">IFERROR(__xludf.DUMMYFUNCTION("""COMPUTED_VALUE"""),"Will work for 3 years or more")</f>
        <v>Will work for 3 years or more</v>
      </c>
      <c r="H123" s="1" t="str">
        <f ca="1">IFERROR(__xludf.DUMMYFUNCTION("""COMPUTED_VALUE"""),"No")</f>
        <v>No</v>
      </c>
      <c r="I123" s="1" t="str">
        <f ca="1">IFERROR(__xludf.DUMMYFUNCTION("""COMPUTED_VALUE"""),"Will NOT work for them")</f>
        <v>Will NOT work for them</v>
      </c>
      <c r="J123" s="1">
        <f ca="1">IFERROR(__xludf.DUMMYFUNCTION("""COMPUTED_VALUE"""),6)</f>
        <v>6</v>
      </c>
      <c r="K123" s="1" t="str">
        <f ca="1">IFERROR(__xludf.DUMMYFUNCTION("""COMPUTED_VALUE"""),"Every Day Office Environment")</f>
        <v>Every Day Office Environment</v>
      </c>
      <c r="L123" s="1" t="str">
        <f ca="1">IFERROR(__xludf.DUMMYFUNCTION("""COMPUTED_VALUE"""),"Employer who appreciates learning and enables that environment")</f>
        <v>Employer who appreciates learning and enables that environment</v>
      </c>
      <c r="M123" s="1" t="str">
        <f ca="1">IFERROR(__xludf.DUMMYFUNCTION("""COMPUTED_VALUE"""),"Instructor or Expert Learning Programs, Learning by observing others")</f>
        <v>Instructor or Expert Learning Programs, Learning by observing others</v>
      </c>
      <c r="N12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23" s="1" t="str">
        <f ca="1">IFERROR(__xludf.DUMMYFUNCTION("""COMPUTED_VALUE"""),"Manager who clearly describes what she/he needs")</f>
        <v>Manager who clearly describes what she/he needs</v>
      </c>
      <c r="P123" s="1" t="str">
        <f ca="1">IFERROR(__xludf.DUMMYFUNCTION("""COMPUTED_VALUE"""),"Work with more than 10 people in my team")</f>
        <v>Work with more than 10 people in my team</v>
      </c>
      <c r="Q123" s="1"/>
    </row>
    <row r="124" spans="1:17" ht="13.2" x14ac:dyDescent="0.25">
      <c r="A124" s="2">
        <f ca="1">IFERROR(__xludf.DUMMYFUNCTION("""COMPUTED_VALUE"""),44912.7106504861)</f>
        <v>44912.7106504861</v>
      </c>
      <c r="B124" s="1" t="str">
        <f ca="1">IFERROR(__xludf.DUMMYFUNCTION("""COMPUTED_VALUE"""),"India")</f>
        <v>India</v>
      </c>
      <c r="C124" s="1">
        <f ca="1">IFERROR(__xludf.DUMMYFUNCTION("""COMPUTED_VALUE"""),425002)</f>
        <v>425002</v>
      </c>
      <c r="D124" s="3" t="str">
        <f ca="1">IFERROR(__xludf.DUMMYFUNCTION("""COMPUTED_VALUE"""),"Female")</f>
        <v>Female</v>
      </c>
      <c r="E124" s="1" t="str">
        <f ca="1">IFERROR(__xludf.DUMMYFUNCTION("""COMPUTED_VALUE"""),"My Parents")</f>
        <v>My Parents</v>
      </c>
      <c r="F124" s="1" t="str">
        <f ca="1">IFERROR(__xludf.DUMMYFUNCTION("""COMPUTED_VALUE"""),"No I would not be pursuing Higher Education outside of India")</f>
        <v>No I would not be pursuing Higher Education outside of India</v>
      </c>
      <c r="G124" s="1" t="str">
        <f ca="1">IFERROR(__xludf.DUMMYFUNCTION("""COMPUTED_VALUE"""),"Will work for 3 years or more")</f>
        <v>Will work for 3 years or more</v>
      </c>
      <c r="H124" s="1" t="str">
        <f ca="1">IFERROR(__xludf.DUMMYFUNCTION("""COMPUTED_VALUE"""),"No")</f>
        <v>No</v>
      </c>
      <c r="I124" s="1" t="str">
        <f ca="1">IFERROR(__xludf.DUMMYFUNCTION("""COMPUTED_VALUE"""),"Will NOT work for them")</f>
        <v>Will NOT work for them</v>
      </c>
      <c r="J124" s="1">
        <f ca="1">IFERROR(__xludf.DUMMYFUNCTION("""COMPUTED_VALUE"""),2)</f>
        <v>2</v>
      </c>
      <c r="K124" s="1" t="str">
        <f ca="1">IFERROR(__xludf.DUMMYFUNCTION("""COMPUTED_VALUE"""),"Fully Remote with No option to visit offices")</f>
        <v>Fully Remote with No option to visit offices</v>
      </c>
      <c r="L124" s="1" t="str">
        <f ca="1">IFERROR(__xludf.DUMMYFUNCTION("""COMPUTED_VALUE"""),"Employer who appreciates learning and enables that environment")</f>
        <v>Employer who appreciates learning and enables that environment</v>
      </c>
      <c r="M124" s="1" t="str">
        <f ca="1">IFERROR(__xludf.DUMMYFUNCTION("""COMPUTED_VALUE"""),"Self Paced Learning Portals, Instructor or Expert Learning Programs")</f>
        <v>Self Paced Learning Portals, Instructor or Expert Learning Programs</v>
      </c>
      <c r="N12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24" s="1" t="str">
        <f ca="1">IFERROR(__xludf.DUMMYFUNCTION("""COMPUTED_VALUE"""),"Manager who sets goal and helps me achieve it")</f>
        <v>Manager who sets goal and helps me achieve it</v>
      </c>
      <c r="P124" s="1" t="str">
        <f ca="1">IFERROR(__xludf.DUMMYFUNCTION("""COMPUTED_VALUE"""),"Work with 2 to 3 people in my team")</f>
        <v>Work with 2 to 3 people in my team</v>
      </c>
      <c r="Q124" s="1"/>
    </row>
    <row r="125" spans="1:17" ht="13.2" x14ac:dyDescent="0.25">
      <c r="A125" s="2">
        <f ca="1">IFERROR(__xludf.DUMMYFUNCTION("""COMPUTED_VALUE"""),44912.7714979629)</f>
        <v>44912.771497962902</v>
      </c>
      <c r="B125" s="1" t="str">
        <f ca="1">IFERROR(__xludf.DUMMYFUNCTION("""COMPUTED_VALUE"""),"India")</f>
        <v>India</v>
      </c>
      <c r="C125" s="1">
        <f ca="1">IFERROR(__xludf.DUMMYFUNCTION("""COMPUTED_VALUE"""),760001)</f>
        <v>760001</v>
      </c>
      <c r="D125" s="3" t="str">
        <f ca="1">IFERROR(__xludf.DUMMYFUNCTION("""COMPUTED_VALUE"""),"Female")</f>
        <v>Female</v>
      </c>
      <c r="E125" s="1" t="str">
        <f ca="1">IFERROR(__xludf.DUMMYFUNCTION("""COMPUTED_VALUE"""),"People from my circle, but not family members")</f>
        <v>People from my circle, but not family members</v>
      </c>
      <c r="F125" s="1" t="str">
        <f ca="1">IFERROR(__xludf.DUMMYFUNCTION("""COMPUTED_VALUE"""),"No I would not be pursuing Higher Education outside of India")</f>
        <v>No I would not be pursuing Higher Education outside of India</v>
      </c>
      <c r="G125" s="1" t="str">
        <f ca="1">IFERROR(__xludf.DUMMYFUNCTION("""COMPUTED_VALUE"""),"Will work for 3 years or more")</f>
        <v>Will work for 3 years or more</v>
      </c>
      <c r="H125" s="1" t="str">
        <f ca="1">IFERROR(__xludf.DUMMYFUNCTION("""COMPUTED_VALUE"""),"No")</f>
        <v>No</v>
      </c>
      <c r="I125" s="1" t="str">
        <f ca="1">IFERROR(__xludf.DUMMYFUNCTION("""COMPUTED_VALUE"""),"Will NOT work for them")</f>
        <v>Will NOT work for them</v>
      </c>
      <c r="J125" s="1">
        <f ca="1">IFERROR(__xludf.DUMMYFUNCTION("""COMPUTED_VALUE"""),10)</f>
        <v>10</v>
      </c>
      <c r="K125" s="1" t="str">
        <f ca="1">IFERROR(__xludf.DUMMYFUNCTION("""COMPUTED_VALUE"""),"Fully Remote with Options to travel as and when needed")</f>
        <v>Fully Remote with Options to travel as and when needed</v>
      </c>
      <c r="L125" s="1" t="str">
        <f ca="1">IFERROR(__xludf.DUMMYFUNCTION("""COMPUTED_VALUE"""),"Employer who pushes your limits and doesn't enables learning environment and never rewards you")</f>
        <v>Employer who pushes your limits and doesn't enables learning environment and never rewards you</v>
      </c>
      <c r="M125" s="1" t="str">
        <f ca="1">IFERROR(__xludf.DUMMYFUNCTION("""COMPUTED_VALUE"""),"Learning by observing others, Trial and error by doing side projects within the company")</f>
        <v>Learning by observing others, Trial and error by doing side projects within the company</v>
      </c>
      <c r="N125" s="1" t="str">
        <f ca="1">IFERROR(__xludf.DUMMYFUNCTION("""COMPUTED_VALUE"""),"Design and Creative strategy in any company, Business Operations in any organization, Work in a BPO setup for some well known client")</f>
        <v>Design and Creative strategy in any company, Business Operations in any organization, Work in a BPO setup for some well known client</v>
      </c>
      <c r="O125" s="1" t="str">
        <f ca="1">IFERROR(__xludf.DUMMYFUNCTION("""COMPUTED_VALUE"""),"Manager who explains what is expected, sets a goal and helps achieve it")</f>
        <v>Manager who explains what is expected, sets a goal and helps achieve it</v>
      </c>
      <c r="P125" s="1" t="str">
        <f ca="1">IFERROR(__xludf.DUMMYFUNCTION("""COMPUTED_VALUE"""),"Work with 2 to 3 people in my team")</f>
        <v>Work with 2 to 3 people in my team</v>
      </c>
      <c r="Q125" s="1"/>
    </row>
    <row r="126" spans="1:17" ht="13.2" x14ac:dyDescent="0.25">
      <c r="A126" s="2">
        <f ca="1">IFERROR(__xludf.DUMMYFUNCTION("""COMPUTED_VALUE"""),44912.7996630092)</f>
        <v>44912.799663009202</v>
      </c>
      <c r="B126" s="1" t="str">
        <f ca="1">IFERROR(__xludf.DUMMYFUNCTION("""COMPUTED_VALUE"""),"India")</f>
        <v>India</v>
      </c>
      <c r="C126" s="1">
        <f ca="1">IFERROR(__xludf.DUMMYFUNCTION("""COMPUTED_VALUE"""),226023)</f>
        <v>226023</v>
      </c>
      <c r="D126" s="3" t="str">
        <f ca="1">IFERROR(__xludf.DUMMYFUNCTION("""COMPUTED_VALUE"""),"Male")</f>
        <v>Male</v>
      </c>
      <c r="E126" s="1" t="str">
        <f ca="1">IFERROR(__xludf.DUMMYFUNCTION("""COMPUTED_VALUE"""),"Influencers who had successful careers")</f>
        <v>Influencers who had successful careers</v>
      </c>
      <c r="F126" s="1" t="str">
        <f ca="1">IFERROR(__xludf.DUMMYFUNCTION("""COMPUTED_VALUE"""),"No I would not be pursuing Higher Education outside of India")</f>
        <v>No I would not be pursuing Higher Education outside of India</v>
      </c>
      <c r="G126" s="1" t="str">
        <f ca="1">IFERROR(__xludf.DUMMYFUNCTION("""COMPUTED_VALUE"""),"This will be hard to do, but if it is the right company I would try")</f>
        <v>This will be hard to do, but if it is the right company I would try</v>
      </c>
      <c r="H126" s="1" t="str">
        <f ca="1">IFERROR(__xludf.DUMMYFUNCTION("""COMPUTED_VALUE"""),"Yes")</f>
        <v>Yes</v>
      </c>
      <c r="I126" s="1" t="str">
        <f ca="1">IFERROR(__xludf.DUMMYFUNCTION("""COMPUTED_VALUE"""),"Will NOT work for them")</f>
        <v>Will NOT work for them</v>
      </c>
      <c r="J126" s="1">
        <f ca="1">IFERROR(__xludf.DUMMYFUNCTION("""COMPUTED_VALUE"""),5)</f>
        <v>5</v>
      </c>
      <c r="K126" s="1" t="str">
        <f ca="1">IFERROR(__xludf.DUMMYFUNCTION("""COMPUTED_VALUE"""),"Hybrid Working Environment with less than 10 days a month at office")</f>
        <v>Hybrid Working Environment with less than 10 days a month at office</v>
      </c>
      <c r="L126" s="1" t="str">
        <f ca="1">IFERROR(__xludf.DUMMYFUNCTION("""COMPUTED_VALUE"""),"Employer who appreciates learning and enables that environment")</f>
        <v>Employer who appreciates learning and enables that environment</v>
      </c>
      <c r="M126" s="1" t="str">
        <f ca="1">IFERROR(__xludf.DUMMYFUNCTION("""COMPUTED_VALUE"""),"Instructor or Expert Learning Programs, Trial and error by doing side projects within the company")</f>
        <v>Instructor or Expert Learning Programs, Trial and error by doing side projects within the company</v>
      </c>
      <c r="N126" s="1" t="str">
        <f ca="1">IFERROR(__xludf.DUMMYFUNCTION("""COMPUTED_VALUE"""),"Manage and drive End-to-End Projects or Products, Look deeply into Data and generate insights, Become a content Creator in some platform")</f>
        <v>Manage and drive End-to-End Projects or Products, Look deeply into Data and generate insights, Become a content Creator in some platform</v>
      </c>
      <c r="O126" s="1" t="str">
        <f ca="1">IFERROR(__xludf.DUMMYFUNCTION("""COMPUTED_VALUE"""),"Manager who explains what is expected, sets a goal and helps achieve it")</f>
        <v>Manager who explains what is expected, sets a goal and helps achieve it</v>
      </c>
      <c r="P126" s="1" t="str">
        <f ca="1">IFERROR(__xludf.DUMMYFUNCTION("""COMPUTED_VALUE"""),"Work with 5 to 6 people in my team")</f>
        <v>Work with 5 to 6 people in my team</v>
      </c>
      <c r="Q126" s="1"/>
    </row>
    <row r="127" spans="1:17" ht="13.2" x14ac:dyDescent="0.25">
      <c r="A127" s="2">
        <f ca="1">IFERROR(__xludf.DUMMYFUNCTION("""COMPUTED_VALUE"""),44912.8112630787)</f>
        <v>44912.8112630787</v>
      </c>
      <c r="B127" s="1" t="str">
        <f ca="1">IFERROR(__xludf.DUMMYFUNCTION("""COMPUTED_VALUE"""),"India")</f>
        <v>India</v>
      </c>
      <c r="C127" s="1">
        <f ca="1">IFERROR(__xludf.DUMMYFUNCTION("""COMPUTED_VALUE"""),560077)</f>
        <v>560077</v>
      </c>
      <c r="D127" s="3" t="str">
        <f ca="1">IFERROR(__xludf.DUMMYFUNCTION("""COMPUTED_VALUE"""),"Male")</f>
        <v>Male</v>
      </c>
      <c r="E127" s="1" t="str">
        <f ca="1">IFERROR(__xludf.DUMMYFUNCTION("""COMPUTED_VALUE"""),"People who have changed the world for better")</f>
        <v>People who have changed the world for better</v>
      </c>
      <c r="F127" s="1" t="str">
        <f ca="1">IFERROR(__xludf.DUMMYFUNCTION("""COMPUTED_VALUE"""),"No I would not be pursuing Higher Education outside of India")</f>
        <v>No I would not be pursuing Higher Education outside of India</v>
      </c>
      <c r="G127" s="1" t="str">
        <f ca="1">IFERROR(__xludf.DUMMYFUNCTION("""COMPUTED_VALUE"""),"Will work for 3 years or more")</f>
        <v>Will work for 3 years or more</v>
      </c>
      <c r="H127" s="1" t="str">
        <f ca="1">IFERROR(__xludf.DUMMYFUNCTION("""COMPUTED_VALUE"""),"No")</f>
        <v>No</v>
      </c>
      <c r="I127" s="1" t="str">
        <f ca="1">IFERROR(__xludf.DUMMYFUNCTION("""COMPUTED_VALUE"""),"Will NOT work for them")</f>
        <v>Will NOT work for them</v>
      </c>
      <c r="J127" s="1">
        <f ca="1">IFERROR(__xludf.DUMMYFUNCTION("""COMPUTED_VALUE"""),2)</f>
        <v>2</v>
      </c>
      <c r="K127" s="1" t="str">
        <f ca="1">IFERROR(__xludf.DUMMYFUNCTION("""COMPUTED_VALUE"""),"Fully Remote with Options to travel as and when needed")</f>
        <v>Fully Remote with Options to travel as and when needed</v>
      </c>
      <c r="L127" s="1" t="str">
        <f ca="1">IFERROR(__xludf.DUMMYFUNCTION("""COMPUTED_VALUE"""),"Employer who pushes your limits by enabling an learning environment, and rewards you at the end")</f>
        <v>Employer who pushes your limits by enabling an learning environment, and rewards you at the end</v>
      </c>
      <c r="M127" s="1" t="str">
        <f ca="1">IFERROR(__xludf.DUMMYFUNCTION("""COMPUTED_VALUE"""),"Self Paced Learning Portals, Learning by observing others")</f>
        <v>Self Paced Learning Portals, Learning by observing others</v>
      </c>
      <c r="N127" s="1" t="str">
        <f ca="1">IFERROR(__xludf.DUMMYFUNCTION("""COMPUTED_VALUE"""),"Teaching in any of the institutes/online or Offline, Design and Develop amazing software, Look deeply into Data and generate insights")</f>
        <v>Teaching in any of the institutes/online or Offline, Design and Develop amazing software, Look deeply into Data and generate insights</v>
      </c>
      <c r="O127" s="1" t="str">
        <f ca="1">IFERROR(__xludf.DUMMYFUNCTION("""COMPUTED_VALUE"""),"Manager who explains what is expected, sets a goal and helps achieve it")</f>
        <v>Manager who explains what is expected, sets a goal and helps achieve it</v>
      </c>
      <c r="P127" s="1" t="str">
        <f ca="1">IFERROR(__xludf.DUMMYFUNCTION("""COMPUTED_VALUE"""),"Work with 5 to 6 people in my team")</f>
        <v>Work with 5 to 6 people in my team</v>
      </c>
      <c r="Q127" s="1"/>
    </row>
    <row r="128" spans="1:17" ht="13.2" x14ac:dyDescent="0.25">
      <c r="A128" s="2">
        <f ca="1">IFERROR(__xludf.DUMMYFUNCTION("""COMPUTED_VALUE"""),44912.843230185)</f>
        <v>44912.843230184997</v>
      </c>
      <c r="B128" s="1" t="str">
        <f ca="1">IFERROR(__xludf.DUMMYFUNCTION("""COMPUTED_VALUE"""),"India")</f>
        <v>India</v>
      </c>
      <c r="C128" s="1">
        <f ca="1">IFERROR(__xludf.DUMMYFUNCTION("""COMPUTED_VALUE"""),302039)</f>
        <v>302039</v>
      </c>
      <c r="D128" s="3" t="str">
        <f ca="1">IFERROR(__xludf.DUMMYFUNCTION("""COMPUTED_VALUE"""),"Male")</f>
        <v>Male</v>
      </c>
      <c r="E128" s="1" t="str">
        <f ca="1">IFERROR(__xludf.DUMMYFUNCTION("""COMPUTED_VALUE"""),"My Parents")</f>
        <v>My Parents</v>
      </c>
      <c r="F128" s="1" t="str">
        <f ca="1">IFERROR(__xludf.DUMMYFUNCTION("""COMPUTED_VALUE"""),"No I would not be pursuing Higher Education outside of India")</f>
        <v>No I would not be pursuing Higher Education outside of India</v>
      </c>
      <c r="G128" s="1" t="str">
        <f ca="1">IFERROR(__xludf.DUMMYFUNCTION("""COMPUTED_VALUE"""),"Will work for 3 years or more")</f>
        <v>Will work for 3 years or more</v>
      </c>
      <c r="H128" s="1" t="str">
        <f ca="1">IFERROR(__xludf.DUMMYFUNCTION("""COMPUTED_VALUE"""),"Yes")</f>
        <v>Yes</v>
      </c>
      <c r="I128" s="1" t="str">
        <f ca="1">IFERROR(__xludf.DUMMYFUNCTION("""COMPUTED_VALUE"""),"Will work for them")</f>
        <v>Will work for them</v>
      </c>
      <c r="J128" s="1">
        <f ca="1">IFERROR(__xludf.DUMMYFUNCTION("""COMPUTED_VALUE"""),9)</f>
        <v>9</v>
      </c>
      <c r="K128" s="1" t="str">
        <f ca="1">IFERROR(__xludf.DUMMYFUNCTION("""COMPUTED_VALUE"""),"Fully Remote with No option to visit offices")</f>
        <v>Fully Remote with No option to visit offices</v>
      </c>
      <c r="L128" s="1" t="str">
        <f ca="1">IFERROR(__xludf.DUMMYFUNCTION("""COMPUTED_VALUE"""),"Employer who appreciates learning and enables that environment")</f>
        <v>Employer who appreciates learning and enables that environment</v>
      </c>
      <c r="M128" s="1" t="str">
        <f ca="1">IFERROR(__xludf.DUMMYFUNCTION("""COMPUTED_VALUE"""),"Instructor or Expert Learning Programs, Learning by observing others")</f>
        <v>Instructor or Expert Learning Programs, Learning by observing others</v>
      </c>
      <c r="N128"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28" s="1" t="str">
        <f ca="1">IFERROR(__xludf.DUMMYFUNCTION("""COMPUTED_VALUE"""),"Manager who clearly describes what she/he needs")</f>
        <v>Manager who clearly describes what she/he needs</v>
      </c>
      <c r="P128" s="1" t="str">
        <f ca="1">IFERROR(__xludf.DUMMYFUNCTION("""COMPUTED_VALUE"""),"Work with 5 to 6 people in my team")</f>
        <v>Work with 5 to 6 people in my team</v>
      </c>
      <c r="Q128" s="1"/>
    </row>
    <row r="129" spans="1:17" ht="13.2" x14ac:dyDescent="0.25">
      <c r="A129" s="2">
        <f ca="1">IFERROR(__xludf.DUMMYFUNCTION("""COMPUTED_VALUE"""),44912.8588709953)</f>
        <v>44912.858870995296</v>
      </c>
      <c r="B129" s="1" t="str">
        <f ca="1">IFERROR(__xludf.DUMMYFUNCTION("""COMPUTED_VALUE"""),"India")</f>
        <v>India</v>
      </c>
      <c r="C129" s="1">
        <f ca="1">IFERROR(__xludf.DUMMYFUNCTION("""COMPUTED_VALUE"""),751010)</f>
        <v>751010</v>
      </c>
      <c r="D129" s="3" t="str">
        <f ca="1">IFERROR(__xludf.DUMMYFUNCTION("""COMPUTED_VALUE"""),"Male")</f>
        <v>Male</v>
      </c>
      <c r="E129" s="1" t="str">
        <f ca="1">IFERROR(__xludf.DUMMYFUNCTION("""COMPUTED_VALUE"""),"Influencers who had successful careers")</f>
        <v>Influencers who had successful careers</v>
      </c>
      <c r="F129" s="1" t="str">
        <f ca="1">IFERROR(__xludf.DUMMYFUNCTION("""COMPUTED_VALUE"""),"Yes, I will earn and do that")</f>
        <v>Yes, I will earn and do that</v>
      </c>
      <c r="G129" s="1" t="str">
        <f ca="1">IFERROR(__xludf.DUMMYFUNCTION("""COMPUTED_VALUE"""),"This will be hard to do, but if it is the right company I would try")</f>
        <v>This will be hard to do, but if it is the right company I would try</v>
      </c>
      <c r="H129" s="1" t="str">
        <f ca="1">IFERROR(__xludf.DUMMYFUNCTION("""COMPUTED_VALUE"""),"No")</f>
        <v>No</v>
      </c>
      <c r="I129" s="1" t="str">
        <f ca="1">IFERROR(__xludf.DUMMYFUNCTION("""COMPUTED_VALUE"""),"Will work for them")</f>
        <v>Will work for them</v>
      </c>
      <c r="J129" s="1">
        <f ca="1">IFERROR(__xludf.DUMMYFUNCTION("""COMPUTED_VALUE"""),3)</f>
        <v>3</v>
      </c>
      <c r="K129" s="1" t="str">
        <f ca="1">IFERROR(__xludf.DUMMYFUNCTION("""COMPUTED_VALUE"""),"Hybrid Working Environment with less than 15 days a month at office")</f>
        <v>Hybrid Working Environment with less than 15 days a month at office</v>
      </c>
      <c r="L129" s="1" t="str">
        <f ca="1">IFERROR(__xludf.DUMMYFUNCTION("""COMPUTED_VALUE"""),"Employer who pushes your limits by enabling an learning environment, and rewards you at the end")</f>
        <v>Employer who pushes your limits by enabling an learning environment, and rewards you at the end</v>
      </c>
      <c r="M129" s="1" t="str">
        <f ca="1">IFERROR(__xludf.DUMMYFUNCTION("""COMPUTED_VALUE"""),"Instructor or Expert Learning Programs, Trial and error by doing side projects within the company")</f>
        <v>Instructor or Expert Learning Programs, Trial and error by doing side projects within the company</v>
      </c>
      <c r="N129" s="1" t="str">
        <f ca="1">IFERROR(__xludf.DUMMYFUNCTION("""COMPUTED_VALUE"""),"Manage and drive End-to-End Projects or Products, Build and develop a Team, Work in a BPO setup for some well known client")</f>
        <v>Manage and drive End-to-End Projects or Products, Build and develop a Team, Work in a BPO setup for some well known client</v>
      </c>
      <c r="O129" s="1" t="str">
        <f ca="1">IFERROR(__xludf.DUMMYFUNCTION("""COMPUTED_VALUE"""),"Manager who explains what is expected, sets a goal and helps achieve it")</f>
        <v>Manager who explains what is expected, sets a goal and helps achieve it</v>
      </c>
      <c r="P129" s="1" t="str">
        <f ca="1">IFERROR(__xludf.DUMMYFUNCTION("""COMPUTED_VALUE"""),"Work with 7 to 10 or more people in my team")</f>
        <v>Work with 7 to 10 or more people in my team</v>
      </c>
      <c r="Q129" s="1"/>
    </row>
    <row r="130" spans="1:17" ht="13.2" x14ac:dyDescent="0.25">
      <c r="A130" s="2">
        <f ca="1">IFERROR(__xludf.DUMMYFUNCTION("""COMPUTED_VALUE"""),44912.8644211805)</f>
        <v>44912.8644211805</v>
      </c>
      <c r="B130" s="1" t="str">
        <f ca="1">IFERROR(__xludf.DUMMYFUNCTION("""COMPUTED_VALUE"""),"Germany")</f>
        <v>Germany</v>
      </c>
      <c r="C130" s="1">
        <f ca="1">IFERROR(__xludf.DUMMYFUNCTION("""COMPUTED_VALUE"""),81827)</f>
        <v>81827</v>
      </c>
      <c r="D130" s="3" t="str">
        <f ca="1">IFERROR(__xludf.DUMMYFUNCTION("""COMPUTED_VALUE"""),"Male")</f>
        <v>Male</v>
      </c>
      <c r="E130" s="1" t="str">
        <f ca="1">IFERROR(__xludf.DUMMYFUNCTION("""COMPUTED_VALUE"""),"People who have changed the world for better")</f>
        <v>People who have changed the world for better</v>
      </c>
      <c r="F130" s="1" t="str">
        <f ca="1">IFERROR(__xludf.DUMMYFUNCTION("""COMPUTED_VALUE"""),"Yes, I will earn and do that")</f>
        <v>Yes, I will earn and do that</v>
      </c>
      <c r="G130" s="1" t="str">
        <f ca="1">IFERROR(__xludf.DUMMYFUNCTION("""COMPUTED_VALUE"""),"Will work for 3 years or more")</f>
        <v>Will work for 3 years or more</v>
      </c>
      <c r="H130" s="1" t="str">
        <f ca="1">IFERROR(__xludf.DUMMYFUNCTION("""COMPUTED_VALUE"""),"Yes")</f>
        <v>Yes</v>
      </c>
      <c r="I130" s="1" t="str">
        <f ca="1">IFERROR(__xludf.DUMMYFUNCTION("""COMPUTED_VALUE"""),"Will work for them")</f>
        <v>Will work for them</v>
      </c>
      <c r="J130" s="1">
        <f ca="1">IFERROR(__xludf.DUMMYFUNCTION("""COMPUTED_VALUE"""),5)</f>
        <v>5</v>
      </c>
      <c r="K130" s="1" t="str">
        <f ca="1">IFERROR(__xludf.DUMMYFUNCTION("""COMPUTED_VALUE"""),"Fully Remote with Options to travel as and when needed")</f>
        <v>Fully Remote with Options to travel as and when needed</v>
      </c>
      <c r="L130" s="1" t="str">
        <f ca="1">IFERROR(__xludf.DUMMYFUNCTION("""COMPUTED_VALUE"""),"Employer who pushes your limits by enabling an learning environment, and rewards you at the end")</f>
        <v>Employer who pushes your limits by enabling an learning environment, and rewards you at the end</v>
      </c>
      <c r="M130" s="1" t="str">
        <f ca="1">IFERROR(__xludf.DUMMYFUNCTION("""COMPUTED_VALUE"""),"Self Paced Learning Portals, Instructor or Expert Learning Programs")</f>
        <v>Self Paced Learning Portals, Instructor or Expert Learning Programs</v>
      </c>
      <c r="N130"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30" s="1" t="str">
        <f ca="1">IFERROR(__xludf.DUMMYFUNCTION("""COMPUTED_VALUE"""),"Manager who clearly describes what she/he needs")</f>
        <v>Manager who clearly describes what she/he needs</v>
      </c>
      <c r="P130" s="1" t="str">
        <f ca="1">IFERROR(__xludf.DUMMYFUNCTION("""COMPUTED_VALUE"""),"Work alone, Work with 2 to 3 people in my team")</f>
        <v>Work alone, Work with 2 to 3 people in my team</v>
      </c>
      <c r="Q130" s="1"/>
    </row>
    <row r="131" spans="1:17" ht="13.2" x14ac:dyDescent="0.25">
      <c r="A131" s="2">
        <f ca="1">IFERROR(__xludf.DUMMYFUNCTION("""COMPUTED_VALUE"""),44912.8955257638)</f>
        <v>44912.895525763801</v>
      </c>
      <c r="B131" s="1" t="str">
        <f ca="1">IFERROR(__xludf.DUMMYFUNCTION("""COMPUTED_VALUE"""),"India")</f>
        <v>India</v>
      </c>
      <c r="C131" s="1">
        <f ca="1">IFERROR(__xludf.DUMMYFUNCTION("""COMPUTED_VALUE"""),121003)</f>
        <v>121003</v>
      </c>
      <c r="D131" s="3" t="str">
        <f ca="1">IFERROR(__xludf.DUMMYFUNCTION("""COMPUTED_VALUE"""),"Male")</f>
        <v>Male</v>
      </c>
      <c r="E131" s="1" t="str">
        <f ca="1">IFERROR(__xludf.DUMMYFUNCTION("""COMPUTED_VALUE"""),"People from my circle, but not family members")</f>
        <v>People from my circle, but not family members</v>
      </c>
      <c r="F131" s="1" t="str">
        <f ca="1">IFERROR(__xludf.DUMMYFUNCTION("""COMPUTED_VALUE"""),"No, But if someone could bare the cost I will")</f>
        <v>No, But if someone could bare the cost I will</v>
      </c>
      <c r="G131" s="1" t="str">
        <f ca="1">IFERROR(__xludf.DUMMYFUNCTION("""COMPUTED_VALUE"""),"This will be hard to do, but if it is the right company I would try")</f>
        <v>This will be hard to do, but if it is the right company I would try</v>
      </c>
      <c r="H131" s="1" t="str">
        <f ca="1">IFERROR(__xludf.DUMMYFUNCTION("""COMPUTED_VALUE"""),"No")</f>
        <v>No</v>
      </c>
      <c r="I131" s="1" t="str">
        <f ca="1">IFERROR(__xludf.DUMMYFUNCTION("""COMPUTED_VALUE"""),"Will NOT work for them")</f>
        <v>Will NOT work for them</v>
      </c>
      <c r="J131" s="1">
        <f ca="1">IFERROR(__xludf.DUMMYFUNCTION("""COMPUTED_VALUE"""),5)</f>
        <v>5</v>
      </c>
      <c r="K131" s="1" t="str">
        <f ca="1">IFERROR(__xludf.DUMMYFUNCTION("""COMPUTED_VALUE"""),"Hybrid Working Environment with less than 15 days a month at office")</f>
        <v>Hybrid Working Environment with less than 15 days a month at office</v>
      </c>
      <c r="L131" s="1" t="str">
        <f ca="1">IFERROR(__xludf.DUMMYFUNCTION("""COMPUTED_VALUE"""),"Employer who pushes your limits by enabling an learning environment, and rewards you at the end")</f>
        <v>Employer who pushes your limits by enabling an learning environment, and rewards you at the end</v>
      </c>
      <c r="M131" s="1" t="str">
        <f ca="1">IFERROR(__xludf.DUMMYFUNCTION("""COMPUTED_VALUE"""),"Self Paced Learning Portals, Learning by observing others")</f>
        <v>Self Paced Learning Portals, Learning by observing others</v>
      </c>
      <c r="N13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31" s="1" t="str">
        <f ca="1">IFERROR(__xludf.DUMMYFUNCTION("""COMPUTED_VALUE"""),"Manager who explains what is expected, sets a goal and helps achieve it")</f>
        <v>Manager who explains what is expected, sets a goal and helps achieve it</v>
      </c>
      <c r="P131" s="1" t="str">
        <f ca="1">IFERROR(__xludf.DUMMYFUNCTION("""COMPUTED_VALUE"""),"Work with 2 to 3 people in my team")</f>
        <v>Work with 2 to 3 people in my team</v>
      </c>
      <c r="Q131" s="1"/>
    </row>
    <row r="132" spans="1:17" ht="13.2" x14ac:dyDescent="0.25">
      <c r="A132" s="2">
        <f ca="1">IFERROR(__xludf.DUMMYFUNCTION("""COMPUTED_VALUE"""),44912.9253219907)</f>
        <v>44912.925321990697</v>
      </c>
      <c r="B132" s="1" t="str">
        <f ca="1">IFERROR(__xludf.DUMMYFUNCTION("""COMPUTED_VALUE"""),"India")</f>
        <v>India</v>
      </c>
      <c r="C132" s="1">
        <f ca="1">IFERROR(__xludf.DUMMYFUNCTION("""COMPUTED_VALUE"""),101201)</f>
        <v>101201</v>
      </c>
      <c r="D132" s="3" t="str">
        <f ca="1">IFERROR(__xludf.DUMMYFUNCTION("""COMPUTED_VALUE"""),"Male")</f>
        <v>Male</v>
      </c>
      <c r="E132" s="1" t="str">
        <f ca="1">IFERROR(__xludf.DUMMYFUNCTION("""COMPUTED_VALUE"""),"My Parents")</f>
        <v>My Parents</v>
      </c>
      <c r="F132" s="1" t="str">
        <f ca="1">IFERROR(__xludf.DUMMYFUNCTION("""COMPUTED_VALUE"""),"No I would not be pursuing Higher Education outside of India")</f>
        <v>No I would not be pursuing Higher Education outside of India</v>
      </c>
      <c r="G132" s="1" t="str">
        <f ca="1">IFERROR(__xludf.DUMMYFUNCTION("""COMPUTED_VALUE"""),"This will be hard to do, but if it is the right company I would try")</f>
        <v>This will be hard to do, but if it is the right company I would try</v>
      </c>
      <c r="H132" s="1" t="str">
        <f ca="1">IFERROR(__xludf.DUMMYFUNCTION("""COMPUTED_VALUE"""),"No")</f>
        <v>No</v>
      </c>
      <c r="I132" s="1" t="str">
        <f ca="1">IFERROR(__xludf.DUMMYFUNCTION("""COMPUTED_VALUE"""),"Will NOT work for them")</f>
        <v>Will NOT work for them</v>
      </c>
      <c r="J132" s="1">
        <f ca="1">IFERROR(__xludf.DUMMYFUNCTION("""COMPUTED_VALUE"""),2)</f>
        <v>2</v>
      </c>
      <c r="K132" s="1" t="str">
        <f ca="1">IFERROR(__xludf.DUMMYFUNCTION("""COMPUTED_VALUE"""),"Hybrid Working Environment with less than 3 days a month at office")</f>
        <v>Hybrid Working Environment with less than 3 days a month at office</v>
      </c>
      <c r="L132" s="1" t="str">
        <f ca="1">IFERROR(__xludf.DUMMYFUNCTION("""COMPUTED_VALUE"""),"Employer who pushes your limits by enabling an learning environment, and rewards you at the end")</f>
        <v>Employer who pushes your limits by enabling an learning environment, and rewards you at the end</v>
      </c>
      <c r="M132" s="1" t="str">
        <f ca="1">IFERROR(__xludf.DUMMYFUNCTION("""COMPUTED_VALUE"""),"Instructor or Expert Learning Programs, Learning by observing others")</f>
        <v>Instructor or Expert Learning Programs, Learning by observing others</v>
      </c>
      <c r="N132"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32" s="1" t="str">
        <f ca="1">IFERROR(__xludf.DUMMYFUNCTION("""COMPUTED_VALUE"""),"Manager who sets goal and helps me achieve it")</f>
        <v>Manager who sets goal and helps me achieve it</v>
      </c>
      <c r="P132" s="1" t="str">
        <f ca="1">IFERROR(__xludf.DUMMYFUNCTION("""COMPUTED_VALUE"""),"Work with 2 to 3 people in my team")</f>
        <v>Work with 2 to 3 people in my team</v>
      </c>
      <c r="Q132" s="1"/>
    </row>
    <row r="133" spans="1:17" ht="13.2" x14ac:dyDescent="0.25">
      <c r="A133" s="2">
        <f ca="1">IFERROR(__xludf.DUMMYFUNCTION("""COMPUTED_VALUE"""),44912.9299202662)</f>
        <v>44912.9299202662</v>
      </c>
      <c r="B133" s="1" t="str">
        <f ca="1">IFERROR(__xludf.DUMMYFUNCTION("""COMPUTED_VALUE"""),"India")</f>
        <v>India</v>
      </c>
      <c r="C133" s="1">
        <f ca="1">IFERROR(__xludf.DUMMYFUNCTION("""COMPUTED_VALUE"""),605401)</f>
        <v>605401</v>
      </c>
      <c r="D133" s="3" t="str">
        <f ca="1">IFERROR(__xludf.DUMMYFUNCTION("""COMPUTED_VALUE"""),"Male")</f>
        <v>Male</v>
      </c>
      <c r="E133" s="1" t="str">
        <f ca="1">IFERROR(__xludf.DUMMYFUNCTION("""COMPUTED_VALUE"""),"My Parents")</f>
        <v>My Parents</v>
      </c>
      <c r="F133" s="1" t="str">
        <f ca="1">IFERROR(__xludf.DUMMYFUNCTION("""COMPUTED_VALUE"""),"Yes, I will earn and do that")</f>
        <v>Yes, I will earn and do that</v>
      </c>
      <c r="G133" s="1" t="str">
        <f ca="1">IFERROR(__xludf.DUMMYFUNCTION("""COMPUTED_VALUE"""),"Will work for 3 years or more")</f>
        <v>Will work for 3 years or more</v>
      </c>
      <c r="H133" s="1" t="str">
        <f ca="1">IFERROR(__xludf.DUMMYFUNCTION("""COMPUTED_VALUE"""),"Yes")</f>
        <v>Yes</v>
      </c>
      <c r="I133" s="1" t="str">
        <f ca="1">IFERROR(__xludf.DUMMYFUNCTION("""COMPUTED_VALUE"""),"Will NOT work for them")</f>
        <v>Will NOT work for them</v>
      </c>
      <c r="J133" s="1">
        <f ca="1">IFERROR(__xludf.DUMMYFUNCTION("""COMPUTED_VALUE"""),7)</f>
        <v>7</v>
      </c>
      <c r="K133" s="1" t="str">
        <f ca="1">IFERROR(__xludf.DUMMYFUNCTION("""COMPUTED_VALUE"""),"Hybrid Working Environment with less than 10 days a month at office")</f>
        <v>Hybrid Working Environment with less than 10 days a month at office</v>
      </c>
      <c r="L133" s="1" t="str">
        <f ca="1">IFERROR(__xludf.DUMMYFUNCTION("""COMPUTED_VALUE"""),"Employer who appreciates learning and enables that environment")</f>
        <v>Employer who appreciates learning and enables that environment</v>
      </c>
      <c r="M133" s="1" t="str">
        <f ca="1">IFERROR(__xludf.DUMMYFUNCTION("""COMPUTED_VALUE"""),"Instructor or Expert Learning Programs, Trial and error by doing side projects within the company")</f>
        <v>Instructor or Expert Learning Programs, Trial and error by doing side projects within the company</v>
      </c>
      <c r="N133"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33" s="1" t="str">
        <f ca="1">IFERROR(__xludf.DUMMYFUNCTION("""COMPUTED_VALUE"""),"Manager who sets goal and helps me achieve it")</f>
        <v>Manager who sets goal and helps me achieve it</v>
      </c>
      <c r="P133" s="1" t="str">
        <f ca="1">IFERROR(__xludf.DUMMYFUNCTION("""COMPUTED_VALUE"""),"Work alone, Work with 2 to 3 people in my team, Work with 5 to 6 people in my team")</f>
        <v>Work alone, Work with 2 to 3 people in my team, Work with 5 to 6 people in my team</v>
      </c>
      <c r="Q133" s="1"/>
    </row>
    <row r="134" spans="1:17" ht="13.2" x14ac:dyDescent="0.25">
      <c r="A134" s="2">
        <f ca="1">IFERROR(__xludf.DUMMYFUNCTION("""COMPUTED_VALUE"""),44913.4007854976)</f>
        <v>44913.400785497601</v>
      </c>
      <c r="B134" s="1" t="str">
        <f ca="1">IFERROR(__xludf.DUMMYFUNCTION("""COMPUTED_VALUE"""),"India")</f>
        <v>India</v>
      </c>
      <c r="C134" s="1">
        <f ca="1">IFERROR(__xludf.DUMMYFUNCTION("""COMPUTED_VALUE"""),753003)</f>
        <v>753003</v>
      </c>
      <c r="D134" s="3" t="str">
        <f ca="1">IFERROR(__xludf.DUMMYFUNCTION("""COMPUTED_VALUE"""),"Male")</f>
        <v>Male</v>
      </c>
      <c r="E134" s="1" t="str">
        <f ca="1">IFERROR(__xludf.DUMMYFUNCTION("""COMPUTED_VALUE"""),"Influencers who had successful careers")</f>
        <v>Influencers who had successful careers</v>
      </c>
      <c r="F134" s="1" t="str">
        <f ca="1">IFERROR(__xludf.DUMMYFUNCTION("""COMPUTED_VALUE"""),"Yes, I will earn and do that")</f>
        <v>Yes, I will earn and do that</v>
      </c>
      <c r="G134" s="1" t="str">
        <f ca="1">IFERROR(__xludf.DUMMYFUNCTION("""COMPUTED_VALUE"""),"This will be hard to do, but if it is the right company I would try")</f>
        <v>This will be hard to do, but if it is the right company I would try</v>
      </c>
      <c r="H134" s="1" t="str">
        <f ca="1">IFERROR(__xludf.DUMMYFUNCTION("""COMPUTED_VALUE"""),"Yes")</f>
        <v>Yes</v>
      </c>
      <c r="I134" s="1" t="str">
        <f ca="1">IFERROR(__xludf.DUMMYFUNCTION("""COMPUTED_VALUE"""),"Will work for them")</f>
        <v>Will work for them</v>
      </c>
      <c r="J134" s="1">
        <f ca="1">IFERROR(__xludf.DUMMYFUNCTION("""COMPUTED_VALUE"""),7)</f>
        <v>7</v>
      </c>
      <c r="K134" s="1" t="str">
        <f ca="1">IFERROR(__xludf.DUMMYFUNCTION("""COMPUTED_VALUE"""),"Hybrid Working Environment with less than 15 days a month at office")</f>
        <v>Hybrid Working Environment with less than 15 days a month at office</v>
      </c>
      <c r="L134" s="1" t="str">
        <f ca="1">IFERROR(__xludf.DUMMYFUNCTION("""COMPUTED_VALUE"""),"Employer who appreciates learning and enables that environment")</f>
        <v>Employer who appreciates learning and enables that environment</v>
      </c>
      <c r="M134" s="1" t="str">
        <f ca="1">IFERROR(__xludf.DUMMYFUNCTION("""COMPUTED_VALUE"""),"Self Paced Learning Portals, Instructor or Expert Learning Programs")</f>
        <v>Self Paced Learning Portals, Instructor or Expert Learning Programs</v>
      </c>
      <c r="N134"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34" s="1" t="str">
        <f ca="1">IFERROR(__xludf.DUMMYFUNCTION("""COMPUTED_VALUE"""),"Manager who clearly describes what she/he needs")</f>
        <v>Manager who clearly describes what she/he needs</v>
      </c>
      <c r="P134" s="1" t="str">
        <f ca="1">IFERROR(__xludf.DUMMYFUNCTION("""COMPUTED_VALUE"""),"Work with 2 to 3 people in my team")</f>
        <v>Work with 2 to 3 people in my team</v>
      </c>
      <c r="Q134" s="1"/>
    </row>
    <row r="135" spans="1:17" ht="13.2" x14ac:dyDescent="0.25">
      <c r="A135" s="2">
        <f ca="1">IFERROR(__xludf.DUMMYFUNCTION("""COMPUTED_VALUE"""),44913.4711179861)</f>
        <v>44913.471117986097</v>
      </c>
      <c r="B135" s="1" t="str">
        <f ca="1">IFERROR(__xludf.DUMMYFUNCTION("""COMPUTED_VALUE"""),"India")</f>
        <v>India</v>
      </c>
      <c r="C135" s="1">
        <f ca="1">IFERROR(__xludf.DUMMYFUNCTION("""COMPUTED_VALUE"""),416509)</f>
        <v>416509</v>
      </c>
      <c r="D135" s="3" t="str">
        <f ca="1">IFERROR(__xludf.DUMMYFUNCTION("""COMPUTED_VALUE"""),"Male")</f>
        <v>Male</v>
      </c>
      <c r="E135" s="1" t="str">
        <f ca="1">IFERROR(__xludf.DUMMYFUNCTION("""COMPUTED_VALUE"""),"Social Media like LinkedIn")</f>
        <v>Social Media like LinkedIn</v>
      </c>
      <c r="F135" s="1" t="str">
        <f ca="1">IFERROR(__xludf.DUMMYFUNCTION("""COMPUTED_VALUE"""),"Yes, I will earn and do that")</f>
        <v>Yes, I will earn and do that</v>
      </c>
      <c r="G135" s="1" t="str">
        <f ca="1">IFERROR(__xludf.DUMMYFUNCTION("""COMPUTED_VALUE"""),"This will be hard to do, but if it is the right company I would try")</f>
        <v>This will be hard to do, but if it is the right company I would try</v>
      </c>
      <c r="H135" s="1" t="str">
        <f ca="1">IFERROR(__xludf.DUMMYFUNCTION("""COMPUTED_VALUE"""),"No")</f>
        <v>No</v>
      </c>
      <c r="I135" s="1" t="str">
        <f ca="1">IFERROR(__xludf.DUMMYFUNCTION("""COMPUTED_VALUE"""),"Will NOT work for them")</f>
        <v>Will NOT work for them</v>
      </c>
      <c r="J135" s="1">
        <f ca="1">IFERROR(__xludf.DUMMYFUNCTION("""COMPUTED_VALUE"""),7)</f>
        <v>7</v>
      </c>
      <c r="K135" s="1" t="str">
        <f ca="1">IFERROR(__xludf.DUMMYFUNCTION("""COMPUTED_VALUE"""),"Hybrid Working Environment with less than 15 days a month at office")</f>
        <v>Hybrid Working Environment with less than 15 days a month at office</v>
      </c>
      <c r="L135" s="1" t="str">
        <f ca="1">IFERROR(__xludf.DUMMYFUNCTION("""COMPUTED_VALUE"""),"Employer who appreciates learning and enables that environment")</f>
        <v>Employer who appreciates learning and enables that environment</v>
      </c>
      <c r="M135" s="1" t="str">
        <f ca="1">IFERROR(__xludf.DUMMYFUNCTION("""COMPUTED_VALUE"""),"Self Paced Learning Portals, Instructor or Expert Learning Programs")</f>
        <v>Self Paced Learning Portals, Instructor or Expert Learning Programs</v>
      </c>
      <c r="N13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35" s="1" t="str">
        <f ca="1">IFERROR(__xludf.DUMMYFUNCTION("""COMPUTED_VALUE"""),"Manager who sets goal and helps me achieve it")</f>
        <v>Manager who sets goal and helps me achieve it</v>
      </c>
      <c r="P135" s="1" t="str">
        <f ca="1">IFERROR(__xludf.DUMMYFUNCTION("""COMPUTED_VALUE"""),"Work with 5 to 6 people in my team")</f>
        <v>Work with 5 to 6 people in my team</v>
      </c>
      <c r="Q135" s="1"/>
    </row>
    <row r="136" spans="1:17" ht="13.2" x14ac:dyDescent="0.25">
      <c r="A136" s="2">
        <f ca="1">IFERROR(__xludf.DUMMYFUNCTION("""COMPUTED_VALUE"""),44913.4988530324)</f>
        <v>44913.498853032397</v>
      </c>
      <c r="B136" s="1" t="str">
        <f ca="1">IFERROR(__xludf.DUMMYFUNCTION("""COMPUTED_VALUE"""),"India")</f>
        <v>India</v>
      </c>
      <c r="C136" s="1">
        <f ca="1">IFERROR(__xludf.DUMMYFUNCTION("""COMPUTED_VALUE"""),400099)</f>
        <v>400099</v>
      </c>
      <c r="D136" s="3" t="str">
        <f ca="1">IFERROR(__xludf.DUMMYFUNCTION("""COMPUTED_VALUE"""),"Male")</f>
        <v>Male</v>
      </c>
      <c r="E136" s="1" t="str">
        <f ca="1">IFERROR(__xludf.DUMMYFUNCTION("""COMPUTED_VALUE"""),"People who have changed the world for better")</f>
        <v>People who have changed the world for better</v>
      </c>
      <c r="F136" s="1" t="str">
        <f ca="1">IFERROR(__xludf.DUMMYFUNCTION("""COMPUTED_VALUE"""),"No, But if someone could bare the cost I will")</f>
        <v>No, But if someone could bare the cost I will</v>
      </c>
      <c r="G136" s="1" t="str">
        <f ca="1">IFERROR(__xludf.DUMMYFUNCTION("""COMPUTED_VALUE"""),"This will be hard to do, but if it is the right company I would try")</f>
        <v>This will be hard to do, but if it is the right company I would try</v>
      </c>
      <c r="H136" s="1" t="str">
        <f ca="1">IFERROR(__xludf.DUMMYFUNCTION("""COMPUTED_VALUE"""),"No")</f>
        <v>No</v>
      </c>
      <c r="I136" s="1" t="str">
        <f ca="1">IFERROR(__xludf.DUMMYFUNCTION("""COMPUTED_VALUE"""),"Will NOT work for them")</f>
        <v>Will NOT work for them</v>
      </c>
      <c r="J136" s="1">
        <f ca="1">IFERROR(__xludf.DUMMYFUNCTION("""COMPUTED_VALUE"""),6)</f>
        <v>6</v>
      </c>
      <c r="K136" s="1" t="str">
        <f ca="1">IFERROR(__xludf.DUMMYFUNCTION("""COMPUTED_VALUE"""),"Hybrid Working Environment with less than 3 days a month at office")</f>
        <v>Hybrid Working Environment with less than 3 days a month at office</v>
      </c>
      <c r="L136" s="1" t="str">
        <f ca="1">IFERROR(__xludf.DUMMYFUNCTION("""COMPUTED_VALUE"""),"Employer who rewards learning and enables that environment")</f>
        <v>Employer who rewards learning and enables that environment</v>
      </c>
      <c r="M136" s="1" t="str">
        <f ca="1">IFERROR(__xludf.DUMMYFUNCTION("""COMPUTED_VALUE"""),"Self Paced Learning Portals, Learning by observing others")</f>
        <v>Self Paced Learning Portals, Learning by observing others</v>
      </c>
      <c r="N13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36" s="1" t="str">
        <f ca="1">IFERROR(__xludf.DUMMYFUNCTION("""COMPUTED_VALUE"""),"Manager who clearly describes what she/he needs")</f>
        <v>Manager who clearly describes what she/he needs</v>
      </c>
      <c r="P136" s="1" t="str">
        <f ca="1">IFERROR(__xludf.DUMMYFUNCTION("""COMPUTED_VALUE"""),"Work with 2 to 3 people in my team")</f>
        <v>Work with 2 to 3 people in my team</v>
      </c>
      <c r="Q136" s="1"/>
    </row>
    <row r="137" spans="1:17" ht="13.2" x14ac:dyDescent="0.25">
      <c r="A137" s="2">
        <f ca="1">IFERROR(__xludf.DUMMYFUNCTION("""COMPUTED_VALUE"""),44913.5584111226)</f>
        <v>44913.558411122598</v>
      </c>
      <c r="B137" s="1" t="str">
        <f ca="1">IFERROR(__xludf.DUMMYFUNCTION("""COMPUTED_VALUE"""),"India")</f>
        <v>India</v>
      </c>
      <c r="C137" s="1">
        <f ca="1">IFERROR(__xludf.DUMMYFUNCTION("""COMPUTED_VALUE"""),301001)</f>
        <v>301001</v>
      </c>
      <c r="D137" s="3" t="str">
        <f ca="1">IFERROR(__xludf.DUMMYFUNCTION("""COMPUTED_VALUE"""),"Male")</f>
        <v>Male</v>
      </c>
      <c r="E137" s="1" t="str">
        <f ca="1">IFERROR(__xludf.DUMMYFUNCTION("""COMPUTED_VALUE"""),"People who have changed the world for better")</f>
        <v>People who have changed the world for better</v>
      </c>
      <c r="F137" s="1" t="str">
        <f ca="1">IFERROR(__xludf.DUMMYFUNCTION("""COMPUTED_VALUE"""),"Yes, I will earn and do that")</f>
        <v>Yes, I will earn and do that</v>
      </c>
      <c r="G137" s="1" t="str">
        <f ca="1">IFERROR(__xludf.DUMMYFUNCTION("""COMPUTED_VALUE"""),"This will be hard to do, but if it is the right company I would try")</f>
        <v>This will be hard to do, but if it is the right company I would try</v>
      </c>
      <c r="H137" s="1" t="str">
        <f ca="1">IFERROR(__xludf.DUMMYFUNCTION("""COMPUTED_VALUE"""),"No")</f>
        <v>No</v>
      </c>
      <c r="I137" s="1" t="str">
        <f ca="1">IFERROR(__xludf.DUMMYFUNCTION("""COMPUTED_VALUE"""),"Will NOT work for them")</f>
        <v>Will NOT work for them</v>
      </c>
      <c r="J137" s="1">
        <f ca="1">IFERROR(__xludf.DUMMYFUNCTION("""COMPUTED_VALUE"""),4)</f>
        <v>4</v>
      </c>
      <c r="K137" s="1" t="str">
        <f ca="1">IFERROR(__xludf.DUMMYFUNCTION("""COMPUTED_VALUE"""),"Every Day Office Environment")</f>
        <v>Every Day Office Environment</v>
      </c>
      <c r="L137" s="1" t="str">
        <f ca="1">IFERROR(__xludf.DUMMYFUNCTION("""COMPUTED_VALUE"""),"Employer who appreciates learning and enables that environment")</f>
        <v>Employer who appreciates learning and enables that environment</v>
      </c>
      <c r="M137" s="1" t="str">
        <f ca="1">IFERROR(__xludf.DUMMYFUNCTION("""COMPUTED_VALUE"""),"Instructor or Expert Learning Programs, Trial and error by doing side projects within the company")</f>
        <v>Instructor or Expert Learning Programs, Trial and error by doing side projects within the company</v>
      </c>
      <c r="N1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37" s="1" t="str">
        <f ca="1">IFERROR(__xludf.DUMMYFUNCTION("""COMPUTED_VALUE"""),"Manager who explains what is expected, sets a goal and helps achieve it")</f>
        <v>Manager who explains what is expected, sets a goal and helps achieve it</v>
      </c>
      <c r="P137" s="1" t="str">
        <f ca="1">IFERROR(__xludf.DUMMYFUNCTION("""COMPUTED_VALUE"""),"Work with 5 to 6 people in my team")</f>
        <v>Work with 5 to 6 people in my team</v>
      </c>
      <c r="Q137" s="1"/>
    </row>
    <row r="138" spans="1:17" ht="13.2" x14ac:dyDescent="0.25">
      <c r="A138" s="2">
        <f ca="1">IFERROR(__xludf.DUMMYFUNCTION("""COMPUTED_VALUE"""),44913.6298225694)</f>
        <v>44913.629822569397</v>
      </c>
      <c r="B138" s="1" t="str">
        <f ca="1">IFERROR(__xludf.DUMMYFUNCTION("""COMPUTED_VALUE"""),"India")</f>
        <v>India</v>
      </c>
      <c r="C138" s="1">
        <f ca="1">IFERROR(__xludf.DUMMYFUNCTION("""COMPUTED_VALUE"""),302017)</f>
        <v>302017</v>
      </c>
      <c r="D138" s="3" t="str">
        <f ca="1">IFERROR(__xludf.DUMMYFUNCTION("""COMPUTED_VALUE"""),"Male")</f>
        <v>Male</v>
      </c>
      <c r="E138" s="1" t="str">
        <f ca="1">IFERROR(__xludf.DUMMYFUNCTION("""COMPUTED_VALUE"""),"My Parents")</f>
        <v>My Parents</v>
      </c>
      <c r="F138" s="1" t="str">
        <f ca="1">IFERROR(__xludf.DUMMYFUNCTION("""COMPUTED_VALUE"""),"No I would not be pursuing Higher Education outside of India")</f>
        <v>No I would not be pursuing Higher Education outside of India</v>
      </c>
      <c r="G138" s="1" t="str">
        <f ca="1">IFERROR(__xludf.DUMMYFUNCTION("""COMPUTED_VALUE"""),"Will work for 3 years or more")</f>
        <v>Will work for 3 years or more</v>
      </c>
      <c r="H138" s="1" t="str">
        <f ca="1">IFERROR(__xludf.DUMMYFUNCTION("""COMPUTED_VALUE"""),"Yes")</f>
        <v>Yes</v>
      </c>
      <c r="I138" s="1" t="str">
        <f ca="1">IFERROR(__xludf.DUMMYFUNCTION("""COMPUTED_VALUE"""),"Will NOT work for them")</f>
        <v>Will NOT work for them</v>
      </c>
      <c r="J138" s="1">
        <f ca="1">IFERROR(__xludf.DUMMYFUNCTION("""COMPUTED_VALUE"""),5)</f>
        <v>5</v>
      </c>
      <c r="K138" s="1" t="str">
        <f ca="1">IFERROR(__xludf.DUMMYFUNCTION("""COMPUTED_VALUE"""),"Hybrid Working Environment with less than 15 days a month at office")</f>
        <v>Hybrid Working Environment with less than 15 days a month at office</v>
      </c>
      <c r="L138" s="1" t="str">
        <f ca="1">IFERROR(__xludf.DUMMYFUNCTION("""COMPUTED_VALUE"""),"Employer who pushes your limits by enabling an learning environment, and rewards you at the end")</f>
        <v>Employer who pushes your limits by enabling an learning environment, and rewards you at the end</v>
      </c>
      <c r="M138" s="1" t="str">
        <f ca="1">IFERROR(__xludf.DUMMYFUNCTION("""COMPUTED_VALUE"""),"Instructor or Expert Learning Programs, Learning by observing others")</f>
        <v>Instructor or Expert Learning Programs, Learning by observing others</v>
      </c>
      <c r="N13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38" s="1" t="str">
        <f ca="1">IFERROR(__xludf.DUMMYFUNCTION("""COMPUTED_VALUE"""),"Manager who explains what is expected, sets a goal and helps achieve it")</f>
        <v>Manager who explains what is expected, sets a goal and helps achieve it</v>
      </c>
      <c r="P138" s="1" t="str">
        <f ca="1">IFERROR(__xludf.DUMMYFUNCTION("""COMPUTED_VALUE"""),"Work with 5 to 6 people in my team")</f>
        <v>Work with 5 to 6 people in my team</v>
      </c>
      <c r="Q138" s="1"/>
    </row>
    <row r="139" spans="1:17" ht="13.2" x14ac:dyDescent="0.25">
      <c r="A139" s="2">
        <f ca="1">IFERROR(__xludf.DUMMYFUNCTION("""COMPUTED_VALUE"""),44913.6537770138)</f>
        <v>44913.653777013802</v>
      </c>
      <c r="B139" s="1" t="str">
        <f ca="1">IFERROR(__xludf.DUMMYFUNCTION("""COMPUTED_VALUE"""),"India")</f>
        <v>India</v>
      </c>
      <c r="C139" s="1">
        <f ca="1">IFERROR(__xludf.DUMMYFUNCTION("""COMPUTED_VALUE"""),560096)</f>
        <v>560096</v>
      </c>
      <c r="D139" s="3" t="str">
        <f ca="1">IFERROR(__xludf.DUMMYFUNCTION("""COMPUTED_VALUE"""),"Female")</f>
        <v>Female</v>
      </c>
      <c r="E139" s="1" t="str">
        <f ca="1">IFERROR(__xludf.DUMMYFUNCTION("""COMPUTED_VALUE"""),"My Parents")</f>
        <v>My Parents</v>
      </c>
      <c r="F139" s="1" t="str">
        <f ca="1">IFERROR(__xludf.DUMMYFUNCTION("""COMPUTED_VALUE"""),"Yes, I will earn and do that")</f>
        <v>Yes, I will earn and do that</v>
      </c>
      <c r="G139" s="1" t="str">
        <f ca="1">IFERROR(__xludf.DUMMYFUNCTION("""COMPUTED_VALUE"""),"This will be hard to do, but if it is the right company I would try")</f>
        <v>This will be hard to do, but if it is the right company I would try</v>
      </c>
      <c r="H139" s="1" t="str">
        <f ca="1">IFERROR(__xludf.DUMMYFUNCTION("""COMPUTED_VALUE"""),"No")</f>
        <v>No</v>
      </c>
      <c r="I139" s="1" t="str">
        <f ca="1">IFERROR(__xludf.DUMMYFUNCTION("""COMPUTED_VALUE"""),"Will NOT work for them")</f>
        <v>Will NOT work for them</v>
      </c>
      <c r="J139" s="1">
        <f ca="1">IFERROR(__xludf.DUMMYFUNCTION("""COMPUTED_VALUE"""),2)</f>
        <v>2</v>
      </c>
      <c r="K139" s="1" t="str">
        <f ca="1">IFERROR(__xludf.DUMMYFUNCTION("""COMPUTED_VALUE"""),"Hybrid Working Environment with less than 10 days a month at office")</f>
        <v>Hybrid Working Environment with less than 10 days a month at office</v>
      </c>
      <c r="L139" s="1" t="str">
        <f ca="1">IFERROR(__xludf.DUMMYFUNCTION("""COMPUTED_VALUE"""),"Employer who pushes your limits by enabling an learning environment, and rewards you at the end")</f>
        <v>Employer who pushes your limits by enabling an learning environment, and rewards you at the end</v>
      </c>
      <c r="M139" s="1" t="str">
        <f ca="1">IFERROR(__xludf.DUMMYFUNCTION("""COMPUTED_VALUE"""),"Instructor or Expert Learning Programs, Trial and error by doing side projects within the company")</f>
        <v>Instructor or Expert Learning Programs, Trial and error by doing side projects within the company</v>
      </c>
      <c r="N139"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39" s="1" t="str">
        <f ca="1">IFERROR(__xludf.DUMMYFUNCTION("""COMPUTED_VALUE"""),"Manager who clearly describes what she/he needs")</f>
        <v>Manager who clearly describes what she/he needs</v>
      </c>
      <c r="P139" s="1" t="str">
        <f ca="1">IFERROR(__xludf.DUMMYFUNCTION("""COMPUTED_VALUE"""),"Work with 5 to 6 people in my team")</f>
        <v>Work with 5 to 6 people in my team</v>
      </c>
      <c r="Q139" s="1"/>
    </row>
    <row r="140" spans="1:17" ht="13.2" x14ac:dyDescent="0.25">
      <c r="A140" s="2">
        <f ca="1">IFERROR(__xludf.DUMMYFUNCTION("""COMPUTED_VALUE"""),44913.7305701504)</f>
        <v>44913.730570150401</v>
      </c>
      <c r="B140" s="1" t="str">
        <f ca="1">IFERROR(__xludf.DUMMYFUNCTION("""COMPUTED_VALUE"""),"India")</f>
        <v>India</v>
      </c>
      <c r="C140" s="1">
        <f ca="1">IFERROR(__xludf.DUMMYFUNCTION("""COMPUTED_VALUE"""),431005)</f>
        <v>431005</v>
      </c>
      <c r="D140" s="3" t="str">
        <f ca="1">IFERROR(__xludf.DUMMYFUNCTION("""COMPUTED_VALUE"""),"Male")</f>
        <v>Male</v>
      </c>
      <c r="E140" s="1" t="str">
        <f ca="1">IFERROR(__xludf.DUMMYFUNCTION("""COMPUTED_VALUE"""),"My Parents")</f>
        <v>My Parents</v>
      </c>
      <c r="F140" s="1" t="str">
        <f ca="1">IFERROR(__xludf.DUMMYFUNCTION("""COMPUTED_VALUE"""),"Yes, I will earn and do that")</f>
        <v>Yes, I will earn and do that</v>
      </c>
      <c r="G140" s="1" t="str">
        <f ca="1">IFERROR(__xludf.DUMMYFUNCTION("""COMPUTED_VALUE"""),"Will work for 3 years or more")</f>
        <v>Will work for 3 years or more</v>
      </c>
      <c r="H140" s="1" t="str">
        <f ca="1">IFERROR(__xludf.DUMMYFUNCTION("""COMPUTED_VALUE"""),"No")</f>
        <v>No</v>
      </c>
      <c r="I140" s="1" t="str">
        <f ca="1">IFERROR(__xludf.DUMMYFUNCTION("""COMPUTED_VALUE"""),"Will work for them")</f>
        <v>Will work for them</v>
      </c>
      <c r="J140" s="1">
        <f ca="1">IFERROR(__xludf.DUMMYFUNCTION("""COMPUTED_VALUE"""),1)</f>
        <v>1</v>
      </c>
      <c r="K140" s="1" t="str">
        <f ca="1">IFERROR(__xludf.DUMMYFUNCTION("""COMPUTED_VALUE"""),"Fully Remote with Options to travel as and when needed")</f>
        <v>Fully Remote with Options to travel as and when needed</v>
      </c>
      <c r="L140" s="1" t="str">
        <f ca="1">IFERROR(__xludf.DUMMYFUNCTION("""COMPUTED_VALUE"""),"Employer who pushes your limits by enabling an learning environment, and rewards you at the end")</f>
        <v>Employer who pushes your limits by enabling an learning environment, and rewards you at the end</v>
      </c>
      <c r="M140" s="1" t="str">
        <f ca="1">IFERROR(__xludf.DUMMYFUNCTION("""COMPUTED_VALUE"""),"Self Paced Learning Portals, Instructor or Expert Learning Programs")</f>
        <v>Self Paced Learning Portals, Instructor or Expert Learning Programs</v>
      </c>
      <c r="N140"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40" s="1" t="str">
        <f ca="1">IFERROR(__xludf.DUMMYFUNCTION("""COMPUTED_VALUE"""),"Manager who sets goal and helps me achieve it")</f>
        <v>Manager who sets goal and helps me achieve it</v>
      </c>
      <c r="P140" s="1" t="str">
        <f ca="1">IFERROR(__xludf.DUMMYFUNCTION("""COMPUTED_VALUE"""),"Work with 2 to 3 people in my team")</f>
        <v>Work with 2 to 3 people in my team</v>
      </c>
      <c r="Q140" s="1"/>
    </row>
    <row r="141" spans="1:17" ht="13.2" x14ac:dyDescent="0.25">
      <c r="A141" s="2">
        <f ca="1">IFERROR(__xludf.DUMMYFUNCTION("""COMPUTED_VALUE"""),44913.7358500231)</f>
        <v>44913.735850023098</v>
      </c>
      <c r="B141" s="1" t="str">
        <f ca="1">IFERROR(__xludf.DUMMYFUNCTION("""COMPUTED_VALUE"""),"India")</f>
        <v>India</v>
      </c>
      <c r="C141" s="1">
        <f ca="1">IFERROR(__xludf.DUMMYFUNCTION("""COMPUTED_VALUE"""),620005)</f>
        <v>620005</v>
      </c>
      <c r="D141" s="3" t="str">
        <f ca="1">IFERROR(__xludf.DUMMYFUNCTION("""COMPUTED_VALUE"""),"Male")</f>
        <v>Male</v>
      </c>
      <c r="E141" s="1" t="str">
        <f ca="1">IFERROR(__xludf.DUMMYFUNCTION("""COMPUTED_VALUE"""),"People from my circle, but not family members")</f>
        <v>People from my circle, but not family members</v>
      </c>
      <c r="F141" s="1" t="str">
        <f ca="1">IFERROR(__xludf.DUMMYFUNCTION("""COMPUTED_VALUE"""),"No I would not be pursuing Higher Education outside of India")</f>
        <v>No I would not be pursuing Higher Education outside of India</v>
      </c>
      <c r="G141" s="1" t="str">
        <f ca="1">IFERROR(__xludf.DUMMYFUNCTION("""COMPUTED_VALUE"""),"This will be hard to do, but if it is the right company I would try")</f>
        <v>This will be hard to do, but if it is the right company I would try</v>
      </c>
      <c r="H141" s="1" t="str">
        <f ca="1">IFERROR(__xludf.DUMMYFUNCTION("""COMPUTED_VALUE"""),"Yes")</f>
        <v>Yes</v>
      </c>
      <c r="I141" s="1" t="str">
        <f ca="1">IFERROR(__xludf.DUMMYFUNCTION("""COMPUTED_VALUE"""),"Will NOT work for them")</f>
        <v>Will NOT work for them</v>
      </c>
      <c r="J141" s="1">
        <f ca="1">IFERROR(__xludf.DUMMYFUNCTION("""COMPUTED_VALUE"""),3)</f>
        <v>3</v>
      </c>
      <c r="K141" s="1" t="str">
        <f ca="1">IFERROR(__xludf.DUMMYFUNCTION("""COMPUTED_VALUE"""),"Hybrid Working Environment with less than 15 days a month at office")</f>
        <v>Hybrid Working Environment with less than 15 days a month at office</v>
      </c>
      <c r="L141" s="1" t="str">
        <f ca="1">IFERROR(__xludf.DUMMYFUNCTION("""COMPUTED_VALUE"""),"Employer who pushes your limits by enabling an learning environment, and rewards you at the end")</f>
        <v>Employer who pushes your limits by enabling an learning environment, and rewards you at the end</v>
      </c>
      <c r="M141" s="1" t="str">
        <f ca="1">IFERROR(__xludf.DUMMYFUNCTION("""COMPUTED_VALUE"""),"Learning by observing others, Trial and error by doing side projects within the company")</f>
        <v>Learning by observing others, Trial and error by doing side projects within the company</v>
      </c>
      <c r="N14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41" s="1" t="str">
        <f ca="1">IFERROR(__xludf.DUMMYFUNCTION("""COMPUTED_VALUE"""),"Manager who explains what is expected, sets a goal and helps achieve it")</f>
        <v>Manager who explains what is expected, sets a goal and helps achieve it</v>
      </c>
      <c r="P141" s="1" t="str">
        <f ca="1">IFERROR(__xludf.DUMMYFUNCTION("""COMPUTED_VALUE"""),"Work with 5 to 6 people in my team")</f>
        <v>Work with 5 to 6 people in my team</v>
      </c>
      <c r="Q141" s="1"/>
    </row>
    <row r="142" spans="1:17" ht="13.2" x14ac:dyDescent="0.25">
      <c r="A142" s="2">
        <f ca="1">IFERROR(__xludf.DUMMYFUNCTION("""COMPUTED_VALUE"""),44913.7521120833)</f>
        <v>44913.752112083297</v>
      </c>
      <c r="B142" s="1" t="str">
        <f ca="1">IFERROR(__xludf.DUMMYFUNCTION("""COMPUTED_VALUE"""),"India")</f>
        <v>India</v>
      </c>
      <c r="C142" s="1">
        <f ca="1">IFERROR(__xludf.DUMMYFUNCTION("""COMPUTED_VALUE"""),786001)</f>
        <v>786001</v>
      </c>
      <c r="D142" s="3" t="str">
        <f ca="1">IFERROR(__xludf.DUMMYFUNCTION("""COMPUTED_VALUE"""),"Male")</f>
        <v>Male</v>
      </c>
      <c r="E142" s="1" t="str">
        <f ca="1">IFERROR(__xludf.DUMMYFUNCTION("""COMPUTED_VALUE"""),"My Parents")</f>
        <v>My Parents</v>
      </c>
      <c r="F142" s="1" t="str">
        <f ca="1">IFERROR(__xludf.DUMMYFUNCTION("""COMPUTED_VALUE"""),"Yes, I will earn and do that")</f>
        <v>Yes, I will earn and do that</v>
      </c>
      <c r="G142" s="1" t="str">
        <f ca="1">IFERROR(__xludf.DUMMYFUNCTION("""COMPUTED_VALUE"""),"This will be hard to do, but if it is the right company I would try")</f>
        <v>This will be hard to do, but if it is the right company I would try</v>
      </c>
      <c r="H142" s="1" t="str">
        <f ca="1">IFERROR(__xludf.DUMMYFUNCTION("""COMPUTED_VALUE"""),"No")</f>
        <v>No</v>
      </c>
      <c r="I142" s="1" t="str">
        <f ca="1">IFERROR(__xludf.DUMMYFUNCTION("""COMPUTED_VALUE"""),"Will NOT work for them")</f>
        <v>Will NOT work for them</v>
      </c>
      <c r="J142" s="1">
        <f ca="1">IFERROR(__xludf.DUMMYFUNCTION("""COMPUTED_VALUE"""),4)</f>
        <v>4</v>
      </c>
      <c r="K142" s="1" t="str">
        <f ca="1">IFERROR(__xludf.DUMMYFUNCTION("""COMPUTED_VALUE"""),"Every Day Office Environment")</f>
        <v>Every Day Office Environment</v>
      </c>
      <c r="L142" s="1" t="str">
        <f ca="1">IFERROR(__xludf.DUMMYFUNCTION("""COMPUTED_VALUE"""),"Employer who appreciates learning and enables that environment")</f>
        <v>Employer who appreciates learning and enables that environment</v>
      </c>
      <c r="M142" s="1" t="str">
        <f ca="1">IFERROR(__xludf.DUMMYFUNCTION("""COMPUTED_VALUE"""),"Instructor or Expert Learning Programs, Learning by observing others")</f>
        <v>Instructor or Expert Learning Programs, Learning by observing others</v>
      </c>
      <c r="N14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42" s="1" t="str">
        <f ca="1">IFERROR(__xludf.DUMMYFUNCTION("""COMPUTED_VALUE"""),"Manager who clearly describes what she/he needs")</f>
        <v>Manager who clearly describes what she/he needs</v>
      </c>
      <c r="P142" s="1" t="str">
        <f ca="1">IFERROR(__xludf.DUMMYFUNCTION("""COMPUTED_VALUE"""),"Work with 5 to 6 people in my team")</f>
        <v>Work with 5 to 6 people in my team</v>
      </c>
      <c r="Q142" s="1"/>
    </row>
    <row r="143" spans="1:17" ht="13.2" x14ac:dyDescent="0.25">
      <c r="A143" s="2">
        <f ca="1">IFERROR(__xludf.DUMMYFUNCTION("""COMPUTED_VALUE"""),44913.7640911342)</f>
        <v>44913.764091134202</v>
      </c>
      <c r="B143" s="1" t="str">
        <f ca="1">IFERROR(__xludf.DUMMYFUNCTION("""COMPUTED_VALUE"""),"India")</f>
        <v>India</v>
      </c>
      <c r="C143" s="1">
        <f ca="1">IFERROR(__xludf.DUMMYFUNCTION("""COMPUTED_VALUE"""),422010)</f>
        <v>422010</v>
      </c>
      <c r="D143" s="3" t="str">
        <f ca="1">IFERROR(__xludf.DUMMYFUNCTION("""COMPUTED_VALUE"""),"Female")</f>
        <v>Female</v>
      </c>
      <c r="E143" s="1" t="str">
        <f ca="1">IFERROR(__xludf.DUMMYFUNCTION("""COMPUTED_VALUE"""),"People who have changed the world for better")</f>
        <v>People who have changed the world for better</v>
      </c>
      <c r="F143" s="1" t="str">
        <f ca="1">IFERROR(__xludf.DUMMYFUNCTION("""COMPUTED_VALUE"""),"No I would not be pursuing Higher Education outside of India")</f>
        <v>No I would not be pursuing Higher Education outside of India</v>
      </c>
      <c r="G143" s="1" t="str">
        <f ca="1">IFERROR(__xludf.DUMMYFUNCTION("""COMPUTED_VALUE"""),"Will work for 3 years or more")</f>
        <v>Will work for 3 years or more</v>
      </c>
      <c r="H143" s="1" t="str">
        <f ca="1">IFERROR(__xludf.DUMMYFUNCTION("""COMPUTED_VALUE"""),"No")</f>
        <v>No</v>
      </c>
      <c r="I143" s="1" t="str">
        <f ca="1">IFERROR(__xludf.DUMMYFUNCTION("""COMPUTED_VALUE"""),"Will NOT work for them")</f>
        <v>Will NOT work for them</v>
      </c>
      <c r="J143" s="1">
        <f ca="1">IFERROR(__xludf.DUMMYFUNCTION("""COMPUTED_VALUE"""),2)</f>
        <v>2</v>
      </c>
      <c r="K143" s="1" t="str">
        <f ca="1">IFERROR(__xludf.DUMMYFUNCTION("""COMPUTED_VALUE"""),"Fully Remote with Options to travel as and when needed")</f>
        <v>Fully Remote with Options to travel as and when needed</v>
      </c>
      <c r="L143" s="1" t="str">
        <f ca="1">IFERROR(__xludf.DUMMYFUNCTION("""COMPUTED_VALUE"""),"Employer who rewards learning and enables that environment")</f>
        <v>Employer who rewards learning and enables that environment</v>
      </c>
      <c r="M143" s="1" t="str">
        <f ca="1">IFERROR(__xludf.DUMMYFUNCTION("""COMPUTED_VALUE"""),"Learning by observing others, Trial and error by doing side projects within the company")</f>
        <v>Learning by observing others, Trial and error by doing side projects within the company</v>
      </c>
      <c r="N143"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143" s="1" t="str">
        <f ca="1">IFERROR(__xludf.DUMMYFUNCTION("""COMPUTED_VALUE"""),"Manager who explains what is expected, sets a goal and helps achieve it")</f>
        <v>Manager who explains what is expected, sets a goal and helps achieve it</v>
      </c>
      <c r="P143"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43" s="1"/>
    </row>
    <row r="144" spans="1:17" ht="13.2" x14ac:dyDescent="0.25">
      <c r="A144" s="2">
        <f ca="1">IFERROR(__xludf.DUMMYFUNCTION("""COMPUTED_VALUE"""),44913.8593947685)</f>
        <v>44913.8593947685</v>
      </c>
      <c r="B144" s="1" t="str">
        <f ca="1">IFERROR(__xludf.DUMMYFUNCTION("""COMPUTED_VALUE"""),"India")</f>
        <v>India</v>
      </c>
      <c r="C144" s="1">
        <f ca="1">IFERROR(__xludf.DUMMYFUNCTION("""COMPUTED_VALUE"""),110044)</f>
        <v>110044</v>
      </c>
      <c r="D144" s="3" t="str">
        <f ca="1">IFERROR(__xludf.DUMMYFUNCTION("""COMPUTED_VALUE"""),"Male")</f>
        <v>Male</v>
      </c>
      <c r="E144" s="1" t="str">
        <f ca="1">IFERROR(__xludf.DUMMYFUNCTION("""COMPUTED_VALUE"""),"Influencers who had successful careers")</f>
        <v>Influencers who had successful careers</v>
      </c>
      <c r="F144" s="1" t="str">
        <f ca="1">IFERROR(__xludf.DUMMYFUNCTION("""COMPUTED_VALUE"""),"No, But if someone could bare the cost I will")</f>
        <v>No, But if someone could bare the cost I will</v>
      </c>
      <c r="G144" s="1" t="str">
        <f ca="1">IFERROR(__xludf.DUMMYFUNCTION("""COMPUTED_VALUE"""),"This will be hard to do, but if it is the right company I would try")</f>
        <v>This will be hard to do, but if it is the right company I would try</v>
      </c>
      <c r="H144" s="1" t="str">
        <f ca="1">IFERROR(__xludf.DUMMYFUNCTION("""COMPUTED_VALUE"""),"Yes")</f>
        <v>Yes</v>
      </c>
      <c r="I144" s="1" t="str">
        <f ca="1">IFERROR(__xludf.DUMMYFUNCTION("""COMPUTED_VALUE"""),"Will work for them")</f>
        <v>Will work for them</v>
      </c>
      <c r="J144" s="1">
        <f ca="1">IFERROR(__xludf.DUMMYFUNCTION("""COMPUTED_VALUE"""),7)</f>
        <v>7</v>
      </c>
      <c r="K144" s="1" t="str">
        <f ca="1">IFERROR(__xludf.DUMMYFUNCTION("""COMPUTED_VALUE"""),"Fully Remote with Options to travel as and when needed")</f>
        <v>Fully Remote with Options to travel as and when needed</v>
      </c>
      <c r="L144" s="1" t="str">
        <f ca="1">IFERROR(__xludf.DUMMYFUNCTION("""COMPUTED_VALUE"""),"Employer who rewards learning and enables that environment")</f>
        <v>Employer who rewards learning and enables that environment</v>
      </c>
      <c r="M144" s="1" t="str">
        <f ca="1">IFERROR(__xludf.DUMMYFUNCTION("""COMPUTED_VALUE"""),"Self Paced Learning Portals, Instructor or Expert Learning Programs")</f>
        <v>Self Paced Learning Portals, Instructor or Expert Learning Programs</v>
      </c>
      <c r="N1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44" s="1" t="str">
        <f ca="1">IFERROR(__xludf.DUMMYFUNCTION("""COMPUTED_VALUE"""),"Manager who explains what is expected, sets a goal and helps achieve it")</f>
        <v>Manager who explains what is expected, sets a goal and helps achieve it</v>
      </c>
      <c r="P144" s="1" t="str">
        <f ca="1">IFERROR(__xludf.DUMMYFUNCTION("""COMPUTED_VALUE"""),"Work alone, Work with 2 to 3 people in my team, Work with 5 to 6 people in my team")</f>
        <v>Work alone, Work with 2 to 3 people in my team, Work with 5 to 6 people in my team</v>
      </c>
      <c r="Q144" s="1"/>
    </row>
    <row r="145" spans="1:17" ht="13.2" x14ac:dyDescent="0.25">
      <c r="A145" s="2">
        <f ca="1">IFERROR(__xludf.DUMMYFUNCTION("""COMPUTED_VALUE"""),44913.8735975462)</f>
        <v>44913.873597546197</v>
      </c>
      <c r="B145" s="1" t="str">
        <f ca="1">IFERROR(__xludf.DUMMYFUNCTION("""COMPUTED_VALUE"""),"India")</f>
        <v>India</v>
      </c>
      <c r="C145" s="1">
        <f ca="1">IFERROR(__xludf.DUMMYFUNCTION("""COMPUTED_VALUE"""),700156)</f>
        <v>700156</v>
      </c>
      <c r="D145" s="3" t="str">
        <f ca="1">IFERROR(__xludf.DUMMYFUNCTION("""COMPUTED_VALUE"""),"Male")</f>
        <v>Male</v>
      </c>
      <c r="E145" s="1" t="str">
        <f ca="1">IFERROR(__xludf.DUMMYFUNCTION("""COMPUTED_VALUE"""),"People from my circle, but not family members")</f>
        <v>People from my circle, but not family members</v>
      </c>
      <c r="F145" s="1" t="str">
        <f ca="1">IFERROR(__xludf.DUMMYFUNCTION("""COMPUTED_VALUE"""),"No I would not be pursuing Higher Education outside of India")</f>
        <v>No I would not be pursuing Higher Education outside of India</v>
      </c>
      <c r="G145" s="1" t="str">
        <f ca="1">IFERROR(__xludf.DUMMYFUNCTION("""COMPUTED_VALUE"""),"Will work for 3 years or more")</f>
        <v>Will work for 3 years or more</v>
      </c>
      <c r="H145" s="1" t="str">
        <f ca="1">IFERROR(__xludf.DUMMYFUNCTION("""COMPUTED_VALUE"""),"No")</f>
        <v>No</v>
      </c>
      <c r="I145" s="1" t="str">
        <f ca="1">IFERROR(__xludf.DUMMYFUNCTION("""COMPUTED_VALUE"""),"Will NOT work for them")</f>
        <v>Will NOT work for them</v>
      </c>
      <c r="J145" s="1">
        <f ca="1">IFERROR(__xludf.DUMMYFUNCTION("""COMPUTED_VALUE"""),7)</f>
        <v>7</v>
      </c>
      <c r="K145" s="1" t="str">
        <f ca="1">IFERROR(__xludf.DUMMYFUNCTION("""COMPUTED_VALUE"""),"Hybrid Working Environment with less than 3 days a month at office")</f>
        <v>Hybrid Working Environment with less than 3 days a month at office</v>
      </c>
      <c r="L145" s="1" t="str">
        <f ca="1">IFERROR(__xludf.DUMMYFUNCTION("""COMPUTED_VALUE"""),"Employer who pushes your limits by enabling an learning environment, and rewards you at the end")</f>
        <v>Employer who pushes your limits by enabling an learning environment, and rewards you at the end</v>
      </c>
      <c r="M145" s="1" t="str">
        <f ca="1">IFERROR(__xludf.DUMMYFUNCTION("""COMPUTED_VALUE"""),"Instructor or Expert Learning Programs, Learning by observing others")</f>
        <v>Instructor or Expert Learning Programs, Learning by observing others</v>
      </c>
      <c r="N145"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145" s="1" t="str">
        <f ca="1">IFERROR(__xludf.DUMMYFUNCTION("""COMPUTED_VALUE"""),"Manager who explains what is expected, sets a goal and helps achieve it")</f>
        <v>Manager who explains what is expected, sets a goal and helps achieve it</v>
      </c>
      <c r="P145"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5" s="1"/>
    </row>
    <row r="146" spans="1:17" ht="13.2" x14ac:dyDescent="0.25">
      <c r="A146" s="2">
        <f ca="1">IFERROR(__xludf.DUMMYFUNCTION("""COMPUTED_VALUE"""),44913.9041031713)</f>
        <v>44913.904103171299</v>
      </c>
      <c r="B146" s="1" t="str">
        <f ca="1">IFERROR(__xludf.DUMMYFUNCTION("""COMPUTED_VALUE"""),"India")</f>
        <v>India</v>
      </c>
      <c r="C146" s="1">
        <f ca="1">IFERROR(__xludf.DUMMYFUNCTION("""COMPUTED_VALUE"""),824003)</f>
        <v>824003</v>
      </c>
      <c r="D146" s="3" t="str">
        <f ca="1">IFERROR(__xludf.DUMMYFUNCTION("""COMPUTED_VALUE"""),"Male")</f>
        <v>Male</v>
      </c>
      <c r="E146" s="1" t="str">
        <f ca="1">IFERROR(__xludf.DUMMYFUNCTION("""COMPUTED_VALUE"""),"People from my circle, but not family members")</f>
        <v>People from my circle, but not family members</v>
      </c>
      <c r="F146" s="1" t="str">
        <f ca="1">IFERROR(__xludf.DUMMYFUNCTION("""COMPUTED_VALUE"""),"Yes, I will earn and do that")</f>
        <v>Yes, I will earn and do that</v>
      </c>
      <c r="G146" s="1" t="str">
        <f ca="1">IFERROR(__xludf.DUMMYFUNCTION("""COMPUTED_VALUE"""),"This will be hard to do, but if it is the right company I would try")</f>
        <v>This will be hard to do, but if it is the right company I would try</v>
      </c>
      <c r="H146" s="1" t="str">
        <f ca="1">IFERROR(__xludf.DUMMYFUNCTION("""COMPUTED_VALUE"""),"No")</f>
        <v>No</v>
      </c>
      <c r="I146" s="1" t="str">
        <f ca="1">IFERROR(__xludf.DUMMYFUNCTION("""COMPUTED_VALUE"""),"Will NOT work for them")</f>
        <v>Will NOT work for them</v>
      </c>
      <c r="J146" s="1">
        <f ca="1">IFERROR(__xludf.DUMMYFUNCTION("""COMPUTED_VALUE"""),9)</f>
        <v>9</v>
      </c>
      <c r="K146" s="1" t="str">
        <f ca="1">IFERROR(__xludf.DUMMYFUNCTION("""COMPUTED_VALUE"""),"Hybrid Working Environment with less than 3 days a month at office")</f>
        <v>Hybrid Working Environment with less than 3 days a month at office</v>
      </c>
      <c r="L146" s="1" t="str">
        <f ca="1">IFERROR(__xludf.DUMMYFUNCTION("""COMPUTED_VALUE"""),"Employer who appreciates learning and enables that environment")</f>
        <v>Employer who appreciates learning and enables that environment</v>
      </c>
      <c r="M146" s="1" t="str">
        <f ca="1">IFERROR(__xludf.DUMMYFUNCTION("""COMPUTED_VALUE"""),"Learning by observing others, Trial and error by doing side projects within the company")</f>
        <v>Learning by observing others, Trial and error by doing side projects within the company</v>
      </c>
      <c r="N14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46" s="1" t="str">
        <f ca="1">IFERROR(__xludf.DUMMYFUNCTION("""COMPUTED_VALUE"""),"Manager who sets goal and helps me achieve it")</f>
        <v>Manager who sets goal and helps me achieve it</v>
      </c>
      <c r="P146" s="1" t="str">
        <f ca="1">IFERROR(__xludf.DUMMYFUNCTION("""COMPUTED_VALUE"""),"Work with 2 to 3 people in my team")</f>
        <v>Work with 2 to 3 people in my team</v>
      </c>
      <c r="Q146" s="1"/>
    </row>
    <row r="147" spans="1:17" ht="13.2" x14ac:dyDescent="0.25">
      <c r="A147" s="2">
        <f ca="1">IFERROR(__xludf.DUMMYFUNCTION("""COMPUTED_VALUE"""),44914.0026249537)</f>
        <v>44914.002624953697</v>
      </c>
      <c r="B147" s="1" t="str">
        <f ca="1">IFERROR(__xludf.DUMMYFUNCTION("""COMPUTED_VALUE"""),"India")</f>
        <v>India</v>
      </c>
      <c r="C147" s="1">
        <f ca="1">IFERROR(__xludf.DUMMYFUNCTION("""COMPUTED_VALUE"""),410505)</f>
        <v>410505</v>
      </c>
      <c r="D147" s="3" t="str">
        <f ca="1">IFERROR(__xludf.DUMMYFUNCTION("""COMPUTED_VALUE"""),"Male")</f>
        <v>Male</v>
      </c>
      <c r="E147" s="1" t="str">
        <f ca="1">IFERROR(__xludf.DUMMYFUNCTION("""COMPUTED_VALUE"""),"Social Media like LinkedIn")</f>
        <v>Social Media like LinkedIn</v>
      </c>
      <c r="F147" s="1" t="str">
        <f ca="1">IFERROR(__xludf.DUMMYFUNCTION("""COMPUTED_VALUE"""),"Yes, I will earn and do that")</f>
        <v>Yes, I will earn and do that</v>
      </c>
      <c r="G147" s="1" t="str">
        <f ca="1">IFERROR(__xludf.DUMMYFUNCTION("""COMPUTED_VALUE"""),"Will work for 3 years or more")</f>
        <v>Will work for 3 years or more</v>
      </c>
      <c r="H147" s="1" t="str">
        <f ca="1">IFERROR(__xludf.DUMMYFUNCTION("""COMPUTED_VALUE"""),"Yes")</f>
        <v>Yes</v>
      </c>
      <c r="I147" s="1" t="str">
        <f ca="1">IFERROR(__xludf.DUMMYFUNCTION("""COMPUTED_VALUE"""),"Will work for them")</f>
        <v>Will work for them</v>
      </c>
      <c r="J147" s="1">
        <f ca="1">IFERROR(__xludf.DUMMYFUNCTION("""COMPUTED_VALUE"""),3)</f>
        <v>3</v>
      </c>
      <c r="K147" s="1" t="str">
        <f ca="1">IFERROR(__xludf.DUMMYFUNCTION("""COMPUTED_VALUE"""),"Hybrid Working Environment with less than 3 days a month at office")</f>
        <v>Hybrid Working Environment with less than 3 days a month at office</v>
      </c>
      <c r="L147" s="1" t="str">
        <f ca="1">IFERROR(__xludf.DUMMYFUNCTION("""COMPUTED_VALUE"""),"Employer who appreciates learning and enables that environment")</f>
        <v>Employer who appreciates learning and enables that environment</v>
      </c>
      <c r="M147" s="1" t="str">
        <f ca="1">IFERROR(__xludf.DUMMYFUNCTION("""COMPUTED_VALUE"""),"Self Paced Learning Portals, Learning by observing others")</f>
        <v>Self Paced Learning Portals, Learning by observing others</v>
      </c>
      <c r="N147"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47" s="1" t="str">
        <f ca="1">IFERROR(__xludf.DUMMYFUNCTION("""COMPUTED_VALUE"""),"Manager who clearly describes what she/he needs")</f>
        <v>Manager who clearly describes what she/he needs</v>
      </c>
      <c r="P147" s="1" t="str">
        <f ca="1">IFERROR(__xludf.DUMMYFUNCTION("""COMPUTED_VALUE"""),"Work alone")</f>
        <v>Work alone</v>
      </c>
      <c r="Q147" s="1"/>
    </row>
    <row r="148" spans="1:17" ht="13.2" x14ac:dyDescent="0.25">
      <c r="A148" s="2">
        <f ca="1">IFERROR(__xludf.DUMMYFUNCTION("""COMPUTED_VALUE"""),44914.0155626851)</f>
        <v>44914.015562685097</v>
      </c>
      <c r="B148" s="1" t="str">
        <f ca="1">IFERROR(__xludf.DUMMYFUNCTION("""COMPUTED_VALUE"""),"India")</f>
        <v>India</v>
      </c>
      <c r="C148" s="1">
        <f ca="1">IFERROR(__xludf.DUMMYFUNCTION("""COMPUTED_VALUE"""),151110)</f>
        <v>151110</v>
      </c>
      <c r="D148" s="3" t="str">
        <f ca="1">IFERROR(__xludf.DUMMYFUNCTION("""COMPUTED_VALUE"""),"Female")</f>
        <v>Female</v>
      </c>
      <c r="E148" s="1" t="str">
        <f ca="1">IFERROR(__xludf.DUMMYFUNCTION("""COMPUTED_VALUE"""),"People who have changed the world for better")</f>
        <v>People who have changed the world for better</v>
      </c>
      <c r="F148" s="1" t="str">
        <f ca="1">IFERROR(__xludf.DUMMYFUNCTION("""COMPUTED_VALUE"""),"No I would not be pursuing Higher Education outside of India")</f>
        <v>No I would not be pursuing Higher Education outside of India</v>
      </c>
      <c r="G148" s="1" t="str">
        <f ca="1">IFERROR(__xludf.DUMMYFUNCTION("""COMPUTED_VALUE"""),"This will be hard to do, but if it is the right company I would try")</f>
        <v>This will be hard to do, but if it is the right company I would try</v>
      </c>
      <c r="H148" s="1" t="str">
        <f ca="1">IFERROR(__xludf.DUMMYFUNCTION("""COMPUTED_VALUE"""),"Yes")</f>
        <v>Yes</v>
      </c>
      <c r="I148" s="1" t="str">
        <f ca="1">IFERROR(__xludf.DUMMYFUNCTION("""COMPUTED_VALUE"""),"Will work for them")</f>
        <v>Will work for them</v>
      </c>
      <c r="J148" s="1">
        <f ca="1">IFERROR(__xludf.DUMMYFUNCTION("""COMPUTED_VALUE"""),10)</f>
        <v>10</v>
      </c>
      <c r="K148" s="1" t="str">
        <f ca="1">IFERROR(__xludf.DUMMYFUNCTION("""COMPUTED_VALUE"""),"Fully Remote with Options to travel as and when needed")</f>
        <v>Fully Remote with Options to travel as and when needed</v>
      </c>
      <c r="L148" s="1" t="str">
        <f ca="1">IFERROR(__xludf.DUMMYFUNCTION("""COMPUTED_VALUE"""),"Employer who pushes your limits by enabling an learning environment, and rewards you at the end")</f>
        <v>Employer who pushes your limits by enabling an learning environment, and rewards you at the end</v>
      </c>
      <c r="M148" s="1" t="str">
        <f ca="1">IFERROR(__xludf.DUMMYFUNCTION("""COMPUTED_VALUE"""),"Instructor or Expert Learning Programs, Trial and error by doing side projects within the company")</f>
        <v>Instructor or Expert Learning Programs, Trial and error by doing side projects within the company</v>
      </c>
      <c r="N148" s="1" t="str">
        <f ca="1">IFERROR(__xludf.DUMMYFUNCTION("""COMPUTED_VALUE"""),"Design and Creative strategy in any company, Manage and drive End-to-End Projects or Products, Work as a freelancer and do my thing my way")</f>
        <v>Design and Creative strategy in any company, Manage and drive End-to-End Projects or Products, Work as a freelancer and do my thing my way</v>
      </c>
      <c r="O148" s="1" t="str">
        <f ca="1">IFERROR(__xludf.DUMMYFUNCTION("""COMPUTED_VALUE"""),"Manager who explains what is expected, sets a goal and helps achieve it")</f>
        <v>Manager who explains what is expected, sets a goal and helps achieve it</v>
      </c>
      <c r="P148" s="1" t="str">
        <f ca="1">IFERROR(__xludf.DUMMYFUNCTION("""COMPUTED_VALUE"""),"Work with 2 to 3 people in my team, Work with 5 to 6 people in my team")</f>
        <v>Work with 2 to 3 people in my team, Work with 5 to 6 people in my team</v>
      </c>
      <c r="Q148" s="1"/>
    </row>
    <row r="149" spans="1:17" ht="13.2" x14ac:dyDescent="0.25">
      <c r="A149" s="2">
        <f ca="1">IFERROR(__xludf.DUMMYFUNCTION("""COMPUTED_VALUE"""),44914.0158162615)</f>
        <v>44914.015816261497</v>
      </c>
      <c r="B149" s="1" t="str">
        <f ca="1">IFERROR(__xludf.DUMMYFUNCTION("""COMPUTED_VALUE"""),"India")</f>
        <v>India</v>
      </c>
      <c r="C149" s="1">
        <f ca="1">IFERROR(__xludf.DUMMYFUNCTION("""COMPUTED_VALUE"""),410206)</f>
        <v>410206</v>
      </c>
      <c r="D149" s="3" t="str">
        <f ca="1">IFERROR(__xludf.DUMMYFUNCTION("""COMPUTED_VALUE"""),"Male")</f>
        <v>Male</v>
      </c>
      <c r="E149" s="1" t="str">
        <f ca="1">IFERROR(__xludf.DUMMYFUNCTION("""COMPUTED_VALUE"""),"People from my circle, but not family members")</f>
        <v>People from my circle, but not family members</v>
      </c>
      <c r="F149" s="1" t="str">
        <f ca="1">IFERROR(__xludf.DUMMYFUNCTION("""COMPUTED_VALUE"""),"No, But if someone could bare the cost I will")</f>
        <v>No, But if someone could bare the cost I will</v>
      </c>
      <c r="G149" s="1" t="str">
        <f ca="1">IFERROR(__xludf.DUMMYFUNCTION("""COMPUTED_VALUE"""),"This will be hard to do, but if it is the right company I would try")</f>
        <v>This will be hard to do, but if it is the right company I would try</v>
      </c>
      <c r="H149" s="1" t="str">
        <f ca="1">IFERROR(__xludf.DUMMYFUNCTION("""COMPUTED_VALUE"""),"No")</f>
        <v>No</v>
      </c>
      <c r="I149" s="1" t="str">
        <f ca="1">IFERROR(__xludf.DUMMYFUNCTION("""COMPUTED_VALUE"""),"Will NOT work for them")</f>
        <v>Will NOT work for them</v>
      </c>
      <c r="J149" s="1">
        <f ca="1">IFERROR(__xludf.DUMMYFUNCTION("""COMPUTED_VALUE"""),7)</f>
        <v>7</v>
      </c>
      <c r="K149" s="1" t="str">
        <f ca="1">IFERROR(__xludf.DUMMYFUNCTION("""COMPUTED_VALUE"""),"Hybrid Working Environment with less than 15 days a month at office")</f>
        <v>Hybrid Working Environment with less than 15 days a month at office</v>
      </c>
      <c r="L149" s="1" t="str">
        <f ca="1">IFERROR(__xludf.DUMMYFUNCTION("""COMPUTED_VALUE"""),"Employer who pushes your limits by enabling an learning environment, and rewards you at the end")</f>
        <v>Employer who pushes your limits by enabling an learning environment, and rewards you at the end</v>
      </c>
      <c r="M149" s="1" t="str">
        <f ca="1">IFERROR(__xludf.DUMMYFUNCTION("""COMPUTED_VALUE"""),"Instructor or Expert Learning Programs, Trial and error by doing side projects within the company")</f>
        <v>Instructor or Expert Learning Programs, Trial and error by doing side projects within the company</v>
      </c>
      <c r="N14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49" s="1" t="str">
        <f ca="1">IFERROR(__xludf.DUMMYFUNCTION("""COMPUTED_VALUE"""),"Manager who explains what is expected, sets a goal and helps achieve it")</f>
        <v>Manager who explains what is expected, sets a goal and helps achieve it</v>
      </c>
      <c r="P149" s="1" t="str">
        <f ca="1">IFERROR(__xludf.DUMMYFUNCTION("""COMPUTED_VALUE"""),"Work with 2 to 3 people in my team")</f>
        <v>Work with 2 to 3 people in my team</v>
      </c>
      <c r="Q149" s="1"/>
    </row>
    <row r="150" spans="1:17" ht="13.2" x14ac:dyDescent="0.25">
      <c r="A150" s="2">
        <f ca="1">IFERROR(__xludf.DUMMYFUNCTION("""COMPUTED_VALUE"""),44914.0296985185)</f>
        <v>44914.029698518498</v>
      </c>
      <c r="B150" s="1" t="str">
        <f ca="1">IFERROR(__xludf.DUMMYFUNCTION("""COMPUTED_VALUE"""),"India")</f>
        <v>India</v>
      </c>
      <c r="C150" s="1">
        <f ca="1">IFERROR(__xludf.DUMMYFUNCTION("""COMPUTED_VALUE"""),721445)</f>
        <v>721445</v>
      </c>
      <c r="D150" s="3" t="str">
        <f ca="1">IFERROR(__xludf.DUMMYFUNCTION("""COMPUTED_VALUE"""),"Male")</f>
        <v>Male</v>
      </c>
      <c r="E150" s="1" t="str">
        <f ca="1">IFERROR(__xludf.DUMMYFUNCTION("""COMPUTED_VALUE"""),"Influencers who had successful careers")</f>
        <v>Influencers who had successful careers</v>
      </c>
      <c r="F150" s="1" t="str">
        <f ca="1">IFERROR(__xludf.DUMMYFUNCTION("""COMPUTED_VALUE"""),"No, But if someone could bare the cost I will")</f>
        <v>No, But if someone could bare the cost I will</v>
      </c>
      <c r="G150" s="1" t="str">
        <f ca="1">IFERROR(__xludf.DUMMYFUNCTION("""COMPUTED_VALUE"""),"Will work for 3 years or more")</f>
        <v>Will work for 3 years or more</v>
      </c>
      <c r="H150" s="1" t="str">
        <f ca="1">IFERROR(__xludf.DUMMYFUNCTION("""COMPUTED_VALUE"""),"No")</f>
        <v>No</v>
      </c>
      <c r="I150" s="1" t="str">
        <f ca="1">IFERROR(__xludf.DUMMYFUNCTION("""COMPUTED_VALUE"""),"Will work for them")</f>
        <v>Will work for them</v>
      </c>
      <c r="J150" s="1">
        <f ca="1">IFERROR(__xludf.DUMMYFUNCTION("""COMPUTED_VALUE"""),7)</f>
        <v>7</v>
      </c>
      <c r="K150" s="1" t="str">
        <f ca="1">IFERROR(__xludf.DUMMYFUNCTION("""COMPUTED_VALUE"""),"Every Day Office Environment")</f>
        <v>Every Day Office Environment</v>
      </c>
      <c r="L150" s="1" t="str">
        <f ca="1">IFERROR(__xludf.DUMMYFUNCTION("""COMPUTED_VALUE"""),"Employer who appreciates learning and enables that environment")</f>
        <v>Employer who appreciates learning and enables that environment</v>
      </c>
      <c r="M150" s="1" t="str">
        <f ca="1">IFERROR(__xludf.DUMMYFUNCTION("""COMPUTED_VALUE"""),"Self Paced Learning Portals, Instructor or Expert Learning Programs")</f>
        <v>Self Paced Learning Portals, Instructor or Expert Learning Programs</v>
      </c>
      <c r="N150"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0" s="1" t="str">
        <f ca="1">IFERROR(__xludf.DUMMYFUNCTION("""COMPUTED_VALUE"""),"Manager who clearly describes what she/he needs")</f>
        <v>Manager who clearly describes what she/he needs</v>
      </c>
      <c r="P150" s="1" t="str">
        <f ca="1">IFERROR(__xludf.DUMMYFUNCTION("""COMPUTED_VALUE"""),"Work with 2 to 3 people in my team")</f>
        <v>Work with 2 to 3 people in my team</v>
      </c>
      <c r="Q150" s="1"/>
    </row>
    <row r="151" spans="1:17" ht="13.2" x14ac:dyDescent="0.25">
      <c r="A151" s="2">
        <f ca="1">IFERROR(__xludf.DUMMYFUNCTION("""COMPUTED_VALUE"""),44914.3522707638)</f>
        <v>44914.352270763797</v>
      </c>
      <c r="B151" s="1" t="str">
        <f ca="1">IFERROR(__xludf.DUMMYFUNCTION("""COMPUTED_VALUE"""),"India")</f>
        <v>India</v>
      </c>
      <c r="C151" s="1">
        <f ca="1">IFERROR(__xludf.DUMMYFUNCTION("""COMPUTED_VALUE"""),251309)</f>
        <v>251309</v>
      </c>
      <c r="D151" s="3" t="str">
        <f ca="1">IFERROR(__xludf.DUMMYFUNCTION("""COMPUTED_VALUE"""),"Female")</f>
        <v>Female</v>
      </c>
      <c r="E151" s="1" t="str">
        <f ca="1">IFERROR(__xludf.DUMMYFUNCTION("""COMPUTED_VALUE"""),"Social Media like LinkedIn")</f>
        <v>Social Media like LinkedIn</v>
      </c>
      <c r="F151" s="1" t="str">
        <f ca="1">IFERROR(__xludf.DUMMYFUNCTION("""COMPUTED_VALUE"""),"Yes, I will earn and do that")</f>
        <v>Yes, I will earn and do that</v>
      </c>
      <c r="G151" s="1" t="str">
        <f ca="1">IFERROR(__xludf.DUMMYFUNCTION("""COMPUTED_VALUE"""),"This will be hard to do, but if it is the right company I would try")</f>
        <v>This will be hard to do, but if it is the right company I would try</v>
      </c>
      <c r="H151" s="1" t="str">
        <f ca="1">IFERROR(__xludf.DUMMYFUNCTION("""COMPUTED_VALUE"""),"No")</f>
        <v>No</v>
      </c>
      <c r="I151" s="1" t="str">
        <f ca="1">IFERROR(__xludf.DUMMYFUNCTION("""COMPUTED_VALUE"""),"Will NOT work for them")</f>
        <v>Will NOT work for them</v>
      </c>
      <c r="J151" s="1">
        <f ca="1">IFERROR(__xludf.DUMMYFUNCTION("""COMPUTED_VALUE"""),5)</f>
        <v>5</v>
      </c>
      <c r="K151" s="1" t="str">
        <f ca="1">IFERROR(__xludf.DUMMYFUNCTION("""COMPUTED_VALUE"""),"Fully Remote with Options to travel as and when needed")</f>
        <v>Fully Remote with Options to travel as and when needed</v>
      </c>
      <c r="L151" s="1" t="str">
        <f ca="1">IFERROR(__xludf.DUMMYFUNCTION("""COMPUTED_VALUE"""),"Employer who appreciates learning and enables that environment")</f>
        <v>Employer who appreciates learning and enables that environment</v>
      </c>
      <c r="M151" s="1" t="str">
        <f ca="1">IFERROR(__xludf.DUMMYFUNCTION("""COMPUTED_VALUE"""),"Instructor or Expert Learning Programs, Trial and error by doing side projects within the company")</f>
        <v>Instructor or Expert Learning Programs, Trial and error by doing side projects within the company</v>
      </c>
      <c r="N151"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51" s="1" t="str">
        <f ca="1">IFERROR(__xludf.DUMMYFUNCTION("""COMPUTED_VALUE"""),"Manager who explains what is expected, sets a goal and helps achieve it")</f>
        <v>Manager who explains what is expected, sets a goal and helps achieve it</v>
      </c>
      <c r="P151" s="1" t="str">
        <f ca="1">IFERROR(__xludf.DUMMYFUNCTION("""COMPUTED_VALUE"""),"Work with 2 to 3 people in my team, Work with 5 to 6 people in my team")</f>
        <v>Work with 2 to 3 people in my team, Work with 5 to 6 people in my team</v>
      </c>
      <c r="Q151" s="1"/>
    </row>
    <row r="152" spans="1:17" ht="13.2" x14ac:dyDescent="0.25">
      <c r="A152" s="2">
        <f ca="1">IFERROR(__xludf.DUMMYFUNCTION("""COMPUTED_VALUE"""),44914.4065719444)</f>
        <v>44914.406571944397</v>
      </c>
      <c r="B152" s="1" t="str">
        <f ca="1">IFERROR(__xludf.DUMMYFUNCTION("""COMPUTED_VALUE"""),"India")</f>
        <v>India</v>
      </c>
      <c r="C152" s="1">
        <f ca="1">IFERROR(__xludf.DUMMYFUNCTION("""COMPUTED_VALUE"""),713216)</f>
        <v>713216</v>
      </c>
      <c r="D152" s="3" t="str">
        <f ca="1">IFERROR(__xludf.DUMMYFUNCTION("""COMPUTED_VALUE"""),"Female")</f>
        <v>Female</v>
      </c>
      <c r="E152" s="1" t="str">
        <f ca="1">IFERROR(__xludf.DUMMYFUNCTION("""COMPUTED_VALUE"""),"My Parents")</f>
        <v>My Parents</v>
      </c>
      <c r="F152" s="1" t="str">
        <f ca="1">IFERROR(__xludf.DUMMYFUNCTION("""COMPUTED_VALUE"""),"No I would not be pursuing Higher Education outside of India")</f>
        <v>No I would not be pursuing Higher Education outside of India</v>
      </c>
      <c r="G152" s="1" t="str">
        <f ca="1">IFERROR(__xludf.DUMMYFUNCTION("""COMPUTED_VALUE"""),"Will work for 3 years or more")</f>
        <v>Will work for 3 years or more</v>
      </c>
      <c r="H152" s="1" t="str">
        <f ca="1">IFERROR(__xludf.DUMMYFUNCTION("""COMPUTED_VALUE"""),"No")</f>
        <v>No</v>
      </c>
      <c r="I152" s="1" t="str">
        <f ca="1">IFERROR(__xludf.DUMMYFUNCTION("""COMPUTED_VALUE"""),"Will NOT work for them")</f>
        <v>Will NOT work for them</v>
      </c>
      <c r="J152" s="1">
        <f ca="1">IFERROR(__xludf.DUMMYFUNCTION("""COMPUTED_VALUE"""),6)</f>
        <v>6</v>
      </c>
      <c r="K152" s="1" t="str">
        <f ca="1">IFERROR(__xludf.DUMMYFUNCTION("""COMPUTED_VALUE"""),"Fully Remote with Options to travel as and when needed")</f>
        <v>Fully Remote with Options to travel as and when needed</v>
      </c>
      <c r="L152" s="1" t="str">
        <f ca="1">IFERROR(__xludf.DUMMYFUNCTION("""COMPUTED_VALUE"""),"Employer who pushes your limits by enabling an learning environment, and rewards you at the end")</f>
        <v>Employer who pushes your limits by enabling an learning environment, and rewards you at the end</v>
      </c>
      <c r="M152" s="1" t="str">
        <f ca="1">IFERROR(__xludf.DUMMYFUNCTION("""COMPUTED_VALUE"""),"Self Paced Learning Portals, Instructor or Expert Learning Programs")</f>
        <v>Self Paced Learning Portals, Instructor or Expert Learning Programs</v>
      </c>
      <c r="N15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52" s="1" t="str">
        <f ca="1">IFERROR(__xludf.DUMMYFUNCTION("""COMPUTED_VALUE"""),"Manager who explains what is expected, sets a goal and helps achieve it")</f>
        <v>Manager who explains what is expected, sets a goal and helps achieve it</v>
      </c>
      <c r="P152" s="1" t="str">
        <f ca="1">IFERROR(__xludf.DUMMYFUNCTION("""COMPUTED_VALUE"""),"Work with 5 to 6 people in my team")</f>
        <v>Work with 5 to 6 people in my team</v>
      </c>
      <c r="Q152" s="1"/>
    </row>
    <row r="153" spans="1:17" ht="13.2" x14ac:dyDescent="0.25">
      <c r="A153" s="2">
        <f ca="1">IFERROR(__xludf.DUMMYFUNCTION("""COMPUTED_VALUE"""),44914.4230697106)</f>
        <v>44914.423069710603</v>
      </c>
      <c r="B153" s="1" t="str">
        <f ca="1">IFERROR(__xludf.DUMMYFUNCTION("""COMPUTED_VALUE"""),"India")</f>
        <v>India</v>
      </c>
      <c r="C153" s="1">
        <f ca="1">IFERROR(__xludf.DUMMYFUNCTION("""COMPUTED_VALUE"""),670102)</f>
        <v>670102</v>
      </c>
      <c r="D153" s="3" t="str">
        <f ca="1">IFERROR(__xludf.DUMMYFUNCTION("""COMPUTED_VALUE"""),"Male")</f>
        <v>Male</v>
      </c>
      <c r="E153" s="1" t="str">
        <f ca="1">IFERROR(__xludf.DUMMYFUNCTION("""COMPUTED_VALUE"""),"My Parents")</f>
        <v>My Parents</v>
      </c>
      <c r="F153" s="1" t="str">
        <f ca="1">IFERROR(__xludf.DUMMYFUNCTION("""COMPUTED_VALUE"""),"No I would not be pursuing Higher Education outside of India")</f>
        <v>No I would not be pursuing Higher Education outside of India</v>
      </c>
      <c r="G153" s="1" t="str">
        <f ca="1">IFERROR(__xludf.DUMMYFUNCTION("""COMPUTED_VALUE"""),"This will be hard to do, but if it is the right company I would try")</f>
        <v>This will be hard to do, but if it is the right company I would try</v>
      </c>
      <c r="H153" s="1" t="str">
        <f ca="1">IFERROR(__xludf.DUMMYFUNCTION("""COMPUTED_VALUE"""),"Yes")</f>
        <v>Yes</v>
      </c>
      <c r="I153" s="1" t="str">
        <f ca="1">IFERROR(__xludf.DUMMYFUNCTION("""COMPUTED_VALUE"""),"Will work for them")</f>
        <v>Will work for them</v>
      </c>
      <c r="J153" s="1">
        <f ca="1">IFERROR(__xludf.DUMMYFUNCTION("""COMPUTED_VALUE"""),2)</f>
        <v>2</v>
      </c>
      <c r="K153" s="1" t="str">
        <f ca="1">IFERROR(__xludf.DUMMYFUNCTION("""COMPUTED_VALUE"""),"Hybrid Working Environment with less than 15 days a month at office")</f>
        <v>Hybrid Working Environment with less than 15 days a month at office</v>
      </c>
      <c r="L153" s="1" t="str">
        <f ca="1">IFERROR(__xludf.DUMMYFUNCTION("""COMPUTED_VALUE"""),"Employer who pushes your limits by enabling an learning environment, and rewards you at the end")</f>
        <v>Employer who pushes your limits by enabling an learning environment, and rewards you at the end</v>
      </c>
      <c r="M153" s="1" t="str">
        <f ca="1">IFERROR(__xludf.DUMMYFUNCTION("""COMPUTED_VALUE"""),"Instructor or Expert Learning Programs, Learning by observing others")</f>
        <v>Instructor or Expert Learning Programs, Learning by observing others</v>
      </c>
      <c r="N15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53" s="1" t="str">
        <f ca="1">IFERROR(__xludf.DUMMYFUNCTION("""COMPUTED_VALUE"""),"Manager who explains what is expected, sets a goal and helps achieve it")</f>
        <v>Manager who explains what is expected, sets a goal and helps achieve it</v>
      </c>
      <c r="P153" s="1" t="str">
        <f ca="1">IFERROR(__xludf.DUMMYFUNCTION("""COMPUTED_VALUE"""),"Work with 2 to 3 people in my team")</f>
        <v>Work with 2 to 3 people in my team</v>
      </c>
      <c r="Q153" s="1"/>
    </row>
    <row r="154" spans="1:17" ht="13.2" x14ac:dyDescent="0.25">
      <c r="A154" s="2">
        <f ca="1">IFERROR(__xludf.DUMMYFUNCTION("""COMPUTED_VALUE"""),44914.4232865277)</f>
        <v>44914.423286527701</v>
      </c>
      <c r="B154" s="1" t="str">
        <f ca="1">IFERROR(__xludf.DUMMYFUNCTION("""COMPUTED_VALUE"""),"India")</f>
        <v>India</v>
      </c>
      <c r="C154" s="1">
        <f ca="1">IFERROR(__xludf.DUMMYFUNCTION("""COMPUTED_VALUE"""),251309)</f>
        <v>251309</v>
      </c>
      <c r="D154" s="3" t="str">
        <f ca="1">IFERROR(__xludf.DUMMYFUNCTION("""COMPUTED_VALUE"""),"Female")</f>
        <v>Female</v>
      </c>
      <c r="E154" s="1" t="str">
        <f ca="1">IFERROR(__xludf.DUMMYFUNCTION("""COMPUTED_VALUE"""),"Social Media like LinkedIn")</f>
        <v>Social Media like LinkedIn</v>
      </c>
      <c r="F154" s="1" t="str">
        <f ca="1">IFERROR(__xludf.DUMMYFUNCTION("""COMPUTED_VALUE"""),"Yes, I will earn and do that")</f>
        <v>Yes, I will earn and do that</v>
      </c>
      <c r="G154" s="1" t="str">
        <f ca="1">IFERROR(__xludf.DUMMYFUNCTION("""COMPUTED_VALUE"""),"This will be hard to do, but if it is the right company I would try")</f>
        <v>This will be hard to do, but if it is the right company I would try</v>
      </c>
      <c r="H154" s="1" t="str">
        <f ca="1">IFERROR(__xludf.DUMMYFUNCTION("""COMPUTED_VALUE"""),"No")</f>
        <v>No</v>
      </c>
      <c r="I154" s="1" t="str">
        <f ca="1">IFERROR(__xludf.DUMMYFUNCTION("""COMPUTED_VALUE"""),"Will NOT work for them")</f>
        <v>Will NOT work for them</v>
      </c>
      <c r="J154" s="1">
        <f ca="1">IFERROR(__xludf.DUMMYFUNCTION("""COMPUTED_VALUE"""),5)</f>
        <v>5</v>
      </c>
      <c r="K154" s="1" t="str">
        <f ca="1">IFERROR(__xludf.DUMMYFUNCTION("""COMPUTED_VALUE"""),"Hybrid Working Environment with less than 3 days a month at office")</f>
        <v>Hybrid Working Environment with less than 3 days a month at office</v>
      </c>
      <c r="L154" s="1" t="str">
        <f ca="1">IFERROR(__xludf.DUMMYFUNCTION("""COMPUTED_VALUE"""),"Employer who appreciates learning and enables that environment")</f>
        <v>Employer who appreciates learning and enables that environment</v>
      </c>
      <c r="M154" s="1" t="str">
        <f ca="1">IFERROR(__xludf.DUMMYFUNCTION("""COMPUTED_VALUE"""),"Instructor or Expert Learning Programs, Learning by observing others")</f>
        <v>Instructor or Expert Learning Programs, Learning by observing others</v>
      </c>
      <c r="N154"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154" s="1" t="str">
        <f ca="1">IFERROR(__xludf.DUMMYFUNCTION("""COMPUTED_VALUE"""),"Manager who explains what is expected, sets a goal and helps achieve it")</f>
        <v>Manager who explains what is expected, sets a goal and helps achieve it</v>
      </c>
      <c r="P154"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54" s="1"/>
    </row>
    <row r="155" spans="1:17" ht="13.2" x14ac:dyDescent="0.25">
      <c r="A155" s="2">
        <f ca="1">IFERROR(__xludf.DUMMYFUNCTION("""COMPUTED_VALUE"""),44914.4602142245)</f>
        <v>44914.460214224498</v>
      </c>
      <c r="B155" s="1" t="str">
        <f ca="1">IFERROR(__xludf.DUMMYFUNCTION("""COMPUTED_VALUE"""),"India")</f>
        <v>India</v>
      </c>
      <c r="C155" s="1">
        <f ca="1">IFERROR(__xludf.DUMMYFUNCTION("""COMPUTED_VALUE"""),721302)</f>
        <v>721302</v>
      </c>
      <c r="D155" s="3" t="str">
        <f ca="1">IFERROR(__xludf.DUMMYFUNCTION("""COMPUTED_VALUE"""),"Male")</f>
        <v>Male</v>
      </c>
      <c r="E155" s="1" t="str">
        <f ca="1">IFERROR(__xludf.DUMMYFUNCTION("""COMPUTED_VALUE"""),"My Parents")</f>
        <v>My Parents</v>
      </c>
      <c r="F155" s="1" t="str">
        <f ca="1">IFERROR(__xludf.DUMMYFUNCTION("""COMPUTED_VALUE"""),"No, But if someone could bare the cost I will")</f>
        <v>No, But if someone could bare the cost I will</v>
      </c>
      <c r="G155" s="1" t="str">
        <f ca="1">IFERROR(__xludf.DUMMYFUNCTION("""COMPUTED_VALUE"""),"This will be hard to do, but if it is the right company I would try")</f>
        <v>This will be hard to do, but if it is the right company I would try</v>
      </c>
      <c r="H155" s="1" t="str">
        <f ca="1">IFERROR(__xludf.DUMMYFUNCTION("""COMPUTED_VALUE"""),"Yes")</f>
        <v>Yes</v>
      </c>
      <c r="I155" s="1" t="str">
        <f ca="1">IFERROR(__xludf.DUMMYFUNCTION("""COMPUTED_VALUE"""),"Will NOT work for them")</f>
        <v>Will NOT work for them</v>
      </c>
      <c r="J155" s="1">
        <f ca="1">IFERROR(__xludf.DUMMYFUNCTION("""COMPUTED_VALUE"""),3)</f>
        <v>3</v>
      </c>
      <c r="K155" s="1" t="str">
        <f ca="1">IFERROR(__xludf.DUMMYFUNCTION("""COMPUTED_VALUE"""),"Hybrid Working Environment with less than 10 days a month at office")</f>
        <v>Hybrid Working Environment with less than 10 days a month at office</v>
      </c>
      <c r="L155" s="1" t="str">
        <f ca="1">IFERROR(__xludf.DUMMYFUNCTION("""COMPUTED_VALUE"""),"Employer who pushes your limits by enabling an learning environment, and rewards you at the end")</f>
        <v>Employer who pushes your limits by enabling an learning environment, and rewards you at the end</v>
      </c>
      <c r="M155" s="1" t="str">
        <f ca="1">IFERROR(__xludf.DUMMYFUNCTION("""COMPUTED_VALUE"""),"Self Paced Learning Portals, Instructor or Expert Learning Programs")</f>
        <v>Self Paced Learning Portals, Instructor or Expert Learning Programs</v>
      </c>
      <c r="N15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155" s="1" t="str">
        <f ca="1">IFERROR(__xludf.DUMMYFUNCTION("""COMPUTED_VALUE"""),"Manager who explains what is expected, sets a goal and helps achieve it")</f>
        <v>Manager who explains what is expected, sets a goal and helps achieve it</v>
      </c>
      <c r="P155" s="1" t="str">
        <f ca="1">IFERROR(__xludf.DUMMYFUNCTION("""COMPUTED_VALUE"""),"Work with 2 to 3 people in my team")</f>
        <v>Work with 2 to 3 people in my team</v>
      </c>
      <c r="Q155" s="1"/>
    </row>
    <row r="156" spans="1:17" ht="13.2" x14ac:dyDescent="0.25">
      <c r="A156" s="2">
        <f ca="1">IFERROR(__xludf.DUMMYFUNCTION("""COMPUTED_VALUE"""),44914.510397037)</f>
        <v>44914.510397036996</v>
      </c>
      <c r="B156" s="1" t="str">
        <f ca="1">IFERROR(__xludf.DUMMYFUNCTION("""COMPUTED_VALUE"""),"India")</f>
        <v>India</v>
      </c>
      <c r="C156" s="1">
        <f ca="1">IFERROR(__xludf.DUMMYFUNCTION("""COMPUTED_VALUE"""),382421)</f>
        <v>382421</v>
      </c>
      <c r="D156" s="3" t="str">
        <f ca="1">IFERROR(__xludf.DUMMYFUNCTION("""COMPUTED_VALUE"""),"Female")</f>
        <v>Female</v>
      </c>
      <c r="E156" s="1" t="str">
        <f ca="1">IFERROR(__xludf.DUMMYFUNCTION("""COMPUTED_VALUE"""),"People who have changed the world for better")</f>
        <v>People who have changed the world for better</v>
      </c>
      <c r="F156" s="1" t="str">
        <f ca="1">IFERROR(__xludf.DUMMYFUNCTION("""COMPUTED_VALUE"""),"No I would not be pursuing Higher Education outside of India")</f>
        <v>No I would not be pursuing Higher Education outside of India</v>
      </c>
      <c r="G156" s="1" t="str">
        <f ca="1">IFERROR(__xludf.DUMMYFUNCTION("""COMPUTED_VALUE"""),"Will work for 3 years or more")</f>
        <v>Will work for 3 years or more</v>
      </c>
      <c r="H156" s="1" t="str">
        <f ca="1">IFERROR(__xludf.DUMMYFUNCTION("""COMPUTED_VALUE"""),"No")</f>
        <v>No</v>
      </c>
      <c r="I156" s="1" t="str">
        <f ca="1">IFERROR(__xludf.DUMMYFUNCTION("""COMPUTED_VALUE"""),"Will NOT work for them")</f>
        <v>Will NOT work for them</v>
      </c>
      <c r="J156" s="1">
        <f ca="1">IFERROR(__xludf.DUMMYFUNCTION("""COMPUTED_VALUE"""),1)</f>
        <v>1</v>
      </c>
      <c r="K156" s="1" t="str">
        <f ca="1">IFERROR(__xludf.DUMMYFUNCTION("""COMPUTED_VALUE"""),"Fully Remote with Options to travel as and when needed")</f>
        <v>Fully Remote with Options to travel as and when needed</v>
      </c>
      <c r="L156" s="1" t="str">
        <f ca="1">IFERROR(__xludf.DUMMYFUNCTION("""COMPUTED_VALUE"""),"Employer who pushes your limits by enabling an learning environment, and rewards you at the end")</f>
        <v>Employer who pushes your limits by enabling an learning environment, and rewards you at the end</v>
      </c>
      <c r="M156" s="1" t="str">
        <f ca="1">IFERROR(__xludf.DUMMYFUNCTION("""COMPUTED_VALUE"""),"Learning by observing others, Trial and error by doing side projects within the company")</f>
        <v>Learning by observing others, Trial and error by doing side projects within the company</v>
      </c>
      <c r="N156"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56" s="1" t="str">
        <f ca="1">IFERROR(__xludf.DUMMYFUNCTION("""COMPUTED_VALUE"""),"Manager who clearly describes what she/he needs")</f>
        <v>Manager who clearly describes what she/he needs</v>
      </c>
      <c r="P156" s="1" t="str">
        <f ca="1">IFERROR(__xludf.DUMMYFUNCTION("""COMPUTED_VALUE"""),"Work alone, Work with more than 10 people in my team")</f>
        <v>Work alone, Work with more than 10 people in my team</v>
      </c>
      <c r="Q156" s="1"/>
    </row>
    <row r="157" spans="1:17" ht="13.2" x14ac:dyDescent="0.25">
      <c r="A157" s="2">
        <f ca="1">IFERROR(__xludf.DUMMYFUNCTION("""COMPUTED_VALUE"""),44914.5436196412)</f>
        <v>44914.543619641197</v>
      </c>
      <c r="B157" s="1" t="str">
        <f ca="1">IFERROR(__xludf.DUMMYFUNCTION("""COMPUTED_VALUE"""),"India")</f>
        <v>India</v>
      </c>
      <c r="C157" s="1">
        <f ca="1">IFERROR(__xludf.DUMMYFUNCTION("""COMPUTED_VALUE"""),600016)</f>
        <v>600016</v>
      </c>
      <c r="D157" s="3" t="str">
        <f ca="1">IFERROR(__xludf.DUMMYFUNCTION("""COMPUTED_VALUE"""),"Male")</f>
        <v>Male</v>
      </c>
      <c r="E157" s="1" t="str">
        <f ca="1">IFERROR(__xludf.DUMMYFUNCTION("""COMPUTED_VALUE"""),"Influencers who had successful careers")</f>
        <v>Influencers who had successful careers</v>
      </c>
      <c r="F157" s="1" t="str">
        <f ca="1">IFERROR(__xludf.DUMMYFUNCTION("""COMPUTED_VALUE"""),"No I would not be pursuing Higher Education outside of India")</f>
        <v>No I would not be pursuing Higher Education outside of India</v>
      </c>
      <c r="G157" s="1" t="str">
        <f ca="1">IFERROR(__xludf.DUMMYFUNCTION("""COMPUTED_VALUE"""),"Will work for 3 years or more")</f>
        <v>Will work for 3 years or more</v>
      </c>
      <c r="H157" s="1" t="str">
        <f ca="1">IFERROR(__xludf.DUMMYFUNCTION("""COMPUTED_VALUE"""),"Yes")</f>
        <v>Yes</v>
      </c>
      <c r="I157" s="1" t="str">
        <f ca="1">IFERROR(__xludf.DUMMYFUNCTION("""COMPUTED_VALUE"""),"Will work for them")</f>
        <v>Will work for them</v>
      </c>
      <c r="J157" s="1">
        <f ca="1">IFERROR(__xludf.DUMMYFUNCTION("""COMPUTED_VALUE"""),3)</f>
        <v>3</v>
      </c>
      <c r="K157" s="1" t="str">
        <f ca="1">IFERROR(__xludf.DUMMYFUNCTION("""COMPUTED_VALUE"""),"Hybrid Working Environment with less than 10 days a month at office")</f>
        <v>Hybrid Working Environment with less than 10 days a month at office</v>
      </c>
      <c r="L157" s="1" t="str">
        <f ca="1">IFERROR(__xludf.DUMMYFUNCTION("""COMPUTED_VALUE"""),"Employer who pushes your limits by enabling an learning environment, and rewards you at the end")</f>
        <v>Employer who pushes your limits by enabling an learning environment, and rewards you at the end</v>
      </c>
      <c r="M157" s="1" t="str">
        <f ca="1">IFERROR(__xludf.DUMMYFUNCTION("""COMPUTED_VALUE"""),"Learning by observing others, Trial and error by doing side projects within the company")</f>
        <v>Learning by observing others, Trial and error by doing side projects within the company</v>
      </c>
      <c r="N15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7" s="1" t="str">
        <f ca="1">IFERROR(__xludf.DUMMYFUNCTION("""COMPUTED_VALUE"""),"Manager who sets targets and expects me to achieve it")</f>
        <v>Manager who sets targets and expects me to achieve it</v>
      </c>
      <c r="P15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57" s="1"/>
    </row>
    <row r="158" spans="1:17" ht="13.2" x14ac:dyDescent="0.25">
      <c r="A158" s="2">
        <f ca="1">IFERROR(__xludf.DUMMYFUNCTION("""COMPUTED_VALUE"""),44914.559505081)</f>
        <v>44914.559505081001</v>
      </c>
      <c r="B158" s="1" t="str">
        <f ca="1">IFERROR(__xludf.DUMMYFUNCTION("""COMPUTED_VALUE"""),"India")</f>
        <v>India</v>
      </c>
      <c r="C158" s="1">
        <f ca="1">IFERROR(__xludf.DUMMYFUNCTION("""COMPUTED_VALUE"""),560037)</f>
        <v>560037</v>
      </c>
      <c r="D158" s="3" t="str">
        <f ca="1">IFERROR(__xludf.DUMMYFUNCTION("""COMPUTED_VALUE"""),"Male")</f>
        <v>Male</v>
      </c>
      <c r="E158" s="1" t="str">
        <f ca="1">IFERROR(__xludf.DUMMYFUNCTION("""COMPUTED_VALUE"""),"Influencers who had successful careers")</f>
        <v>Influencers who had successful careers</v>
      </c>
      <c r="F158" s="1" t="str">
        <f ca="1">IFERROR(__xludf.DUMMYFUNCTION("""COMPUTED_VALUE"""),"No, But if someone could bare the cost I will")</f>
        <v>No, But if someone could bare the cost I will</v>
      </c>
      <c r="G158" s="1" t="str">
        <f ca="1">IFERROR(__xludf.DUMMYFUNCTION("""COMPUTED_VALUE"""),"This will be hard to do, but if it is the right company I would try")</f>
        <v>This will be hard to do, but if it is the right company I would try</v>
      </c>
      <c r="H158" s="1" t="str">
        <f ca="1">IFERROR(__xludf.DUMMYFUNCTION("""COMPUTED_VALUE"""),"No")</f>
        <v>No</v>
      </c>
      <c r="I158" s="1" t="str">
        <f ca="1">IFERROR(__xludf.DUMMYFUNCTION("""COMPUTED_VALUE"""),"Will NOT work for them")</f>
        <v>Will NOT work for them</v>
      </c>
      <c r="J158" s="1">
        <f ca="1">IFERROR(__xludf.DUMMYFUNCTION("""COMPUTED_VALUE"""),5)</f>
        <v>5</v>
      </c>
      <c r="K158" s="1" t="str">
        <f ca="1">IFERROR(__xludf.DUMMYFUNCTION("""COMPUTED_VALUE"""),"Fully Remote with Options to travel as and when needed")</f>
        <v>Fully Remote with Options to travel as and when needed</v>
      </c>
      <c r="L158" s="1" t="str">
        <f ca="1">IFERROR(__xludf.DUMMYFUNCTION("""COMPUTED_VALUE"""),"Employer who pushes your limits by enabling an learning environment, and rewards you at the end")</f>
        <v>Employer who pushes your limits by enabling an learning environment, and rewards you at the end</v>
      </c>
      <c r="M158" s="1" t="str">
        <f ca="1">IFERROR(__xludf.DUMMYFUNCTION("""COMPUTED_VALUE"""),"Self Paced Learning Portals, Trial and error by doing side projects within the company")</f>
        <v>Self Paced Learning Portals, Trial and error by doing side projects within the company</v>
      </c>
      <c r="N158"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58" s="1" t="str">
        <f ca="1">IFERROR(__xludf.DUMMYFUNCTION("""COMPUTED_VALUE"""),"Manager who explains what is expected, sets a goal and helps achieve it")</f>
        <v>Manager who explains what is expected, sets a goal and helps achieve it</v>
      </c>
      <c r="P158" s="1" t="str">
        <f ca="1">IFERROR(__xludf.DUMMYFUNCTION("""COMPUTED_VALUE"""),"Work with 2 to 3 people in my team")</f>
        <v>Work with 2 to 3 people in my team</v>
      </c>
      <c r="Q158" s="1"/>
    </row>
    <row r="159" spans="1:17" ht="13.2" x14ac:dyDescent="0.25">
      <c r="A159" s="2">
        <f ca="1">IFERROR(__xludf.DUMMYFUNCTION("""COMPUTED_VALUE"""),44914.6061718634)</f>
        <v>44914.606171863401</v>
      </c>
      <c r="B159" s="1" t="str">
        <f ca="1">IFERROR(__xludf.DUMMYFUNCTION("""COMPUTED_VALUE"""),"India")</f>
        <v>India</v>
      </c>
      <c r="C159" s="1">
        <f ca="1">IFERROR(__xludf.DUMMYFUNCTION("""COMPUTED_VALUE"""),122011)</f>
        <v>122011</v>
      </c>
      <c r="D159" s="3" t="str">
        <f ca="1">IFERROR(__xludf.DUMMYFUNCTION("""COMPUTED_VALUE"""),"Male")</f>
        <v>Male</v>
      </c>
      <c r="E159" s="1" t="str">
        <f ca="1">IFERROR(__xludf.DUMMYFUNCTION("""COMPUTED_VALUE"""),"Social Media like LinkedIn")</f>
        <v>Social Media like LinkedIn</v>
      </c>
      <c r="F159" s="1" t="str">
        <f ca="1">IFERROR(__xludf.DUMMYFUNCTION("""COMPUTED_VALUE"""),"No, But if someone could bare the cost I will")</f>
        <v>No, But if someone could bare the cost I will</v>
      </c>
      <c r="G159" s="1" t="str">
        <f ca="1">IFERROR(__xludf.DUMMYFUNCTION("""COMPUTED_VALUE"""),"This will be hard to do, but if it is the right company I would try")</f>
        <v>This will be hard to do, but if it is the right company I would try</v>
      </c>
      <c r="H159" s="1" t="str">
        <f ca="1">IFERROR(__xludf.DUMMYFUNCTION("""COMPUTED_VALUE"""),"No")</f>
        <v>No</v>
      </c>
      <c r="I159" s="1" t="str">
        <f ca="1">IFERROR(__xludf.DUMMYFUNCTION("""COMPUTED_VALUE"""),"Will NOT work for them")</f>
        <v>Will NOT work for them</v>
      </c>
      <c r="J159" s="1">
        <f ca="1">IFERROR(__xludf.DUMMYFUNCTION("""COMPUTED_VALUE"""),8)</f>
        <v>8</v>
      </c>
      <c r="K159" s="1" t="str">
        <f ca="1">IFERROR(__xludf.DUMMYFUNCTION("""COMPUTED_VALUE"""),"Every Day Office Environment")</f>
        <v>Every Day Office Environment</v>
      </c>
      <c r="L159" s="1" t="str">
        <f ca="1">IFERROR(__xludf.DUMMYFUNCTION("""COMPUTED_VALUE"""),"Employer who pushes your limits by enabling an learning environment, and rewards you at the end")</f>
        <v>Employer who pushes your limits by enabling an learning environment, and rewards you at the end</v>
      </c>
      <c r="M159" s="1" t="str">
        <f ca="1">IFERROR(__xludf.DUMMYFUNCTION("""COMPUTED_VALUE"""),"Instructor or Expert Learning Programs, Learning by observing others")</f>
        <v>Instructor or Expert Learning Programs, Learning by observing others</v>
      </c>
      <c r="N159"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59" s="1" t="str">
        <f ca="1">IFERROR(__xludf.DUMMYFUNCTION("""COMPUTED_VALUE"""),"Manager who explains what is expected, sets a goal and helps achieve it")</f>
        <v>Manager who explains what is expected, sets a goal and helps achieve it</v>
      </c>
      <c r="P159" s="1" t="str">
        <f ca="1">IFERROR(__xludf.DUMMYFUNCTION("""COMPUTED_VALUE"""),"Work with 5 to 6 people in my team")</f>
        <v>Work with 5 to 6 people in my team</v>
      </c>
      <c r="Q159" s="1"/>
    </row>
    <row r="160" spans="1:17" ht="13.2" x14ac:dyDescent="0.25">
      <c r="A160" s="2">
        <f ca="1">IFERROR(__xludf.DUMMYFUNCTION("""COMPUTED_VALUE"""),44914.6994043287)</f>
        <v>44914.699404328698</v>
      </c>
      <c r="B160" s="1" t="str">
        <f ca="1">IFERROR(__xludf.DUMMYFUNCTION("""COMPUTED_VALUE"""),"India")</f>
        <v>India</v>
      </c>
      <c r="C160" s="1">
        <f ca="1">IFERROR(__xludf.DUMMYFUNCTION("""COMPUTED_VALUE"""),123106)</f>
        <v>123106</v>
      </c>
      <c r="D160" s="3" t="str">
        <f ca="1">IFERROR(__xludf.DUMMYFUNCTION("""COMPUTED_VALUE"""),"Female")</f>
        <v>Female</v>
      </c>
      <c r="E160" s="1" t="str">
        <f ca="1">IFERROR(__xludf.DUMMYFUNCTION("""COMPUTED_VALUE"""),"Influencers who had successful careers")</f>
        <v>Influencers who had successful careers</v>
      </c>
      <c r="F160" s="1" t="str">
        <f ca="1">IFERROR(__xludf.DUMMYFUNCTION("""COMPUTED_VALUE"""),"Yes, I will earn and do that")</f>
        <v>Yes, I will earn and do that</v>
      </c>
      <c r="G160" s="1" t="str">
        <f ca="1">IFERROR(__xludf.DUMMYFUNCTION("""COMPUTED_VALUE"""),"This will be hard to do, but if it is the right company I would try")</f>
        <v>This will be hard to do, but if it is the right company I would try</v>
      </c>
      <c r="H160" s="1" t="str">
        <f ca="1">IFERROR(__xludf.DUMMYFUNCTION("""COMPUTED_VALUE"""),"No")</f>
        <v>No</v>
      </c>
      <c r="I160" s="1" t="str">
        <f ca="1">IFERROR(__xludf.DUMMYFUNCTION("""COMPUTED_VALUE"""),"Will NOT work for them")</f>
        <v>Will NOT work for them</v>
      </c>
      <c r="J160" s="1">
        <f ca="1">IFERROR(__xludf.DUMMYFUNCTION("""COMPUTED_VALUE"""),7)</f>
        <v>7</v>
      </c>
      <c r="K160" s="1" t="str">
        <f ca="1">IFERROR(__xludf.DUMMYFUNCTION("""COMPUTED_VALUE"""),"Fully Remote with Options to travel as and when needed")</f>
        <v>Fully Remote with Options to travel as and when needed</v>
      </c>
      <c r="L160" s="1" t="str">
        <f ca="1">IFERROR(__xludf.DUMMYFUNCTION("""COMPUTED_VALUE"""),"Employer who appreciates learning and enables that environment")</f>
        <v>Employer who appreciates learning and enables that environment</v>
      </c>
      <c r="M160" s="1" t="str">
        <f ca="1">IFERROR(__xludf.DUMMYFUNCTION("""COMPUTED_VALUE"""),"Self Paced Learning Portals, Instructor or Expert Learning Programs")</f>
        <v>Self Paced Learning Portals, Instructor or Expert Learning Programs</v>
      </c>
      <c r="N160"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60" s="1" t="str">
        <f ca="1">IFERROR(__xludf.DUMMYFUNCTION("""COMPUTED_VALUE"""),"Manager who explains what is expected, sets a goal and helps achieve it")</f>
        <v>Manager who explains what is expected, sets a goal and helps achieve it</v>
      </c>
      <c r="P160" s="1" t="str">
        <f ca="1">IFERROR(__xludf.DUMMYFUNCTION("""COMPUTED_VALUE"""),"Work with 5 to 6 people in my team")</f>
        <v>Work with 5 to 6 people in my team</v>
      </c>
      <c r="Q160" s="1"/>
    </row>
    <row r="161" spans="1:17" ht="13.2" x14ac:dyDescent="0.25">
      <c r="A161" s="2">
        <f ca="1">IFERROR(__xludf.DUMMYFUNCTION("""COMPUTED_VALUE"""),44914.7154116319)</f>
        <v>44914.7154116319</v>
      </c>
      <c r="B161" s="1" t="str">
        <f ca="1">IFERROR(__xludf.DUMMYFUNCTION("""COMPUTED_VALUE"""),"India")</f>
        <v>India</v>
      </c>
      <c r="C161" s="1">
        <f ca="1">IFERROR(__xludf.DUMMYFUNCTION("""COMPUTED_VALUE"""),121001)</f>
        <v>121001</v>
      </c>
      <c r="D161" s="3" t="str">
        <f ca="1">IFERROR(__xludf.DUMMYFUNCTION("""COMPUTED_VALUE"""),"Female")</f>
        <v>Female</v>
      </c>
      <c r="E161" s="1" t="str">
        <f ca="1">IFERROR(__xludf.DUMMYFUNCTION("""COMPUTED_VALUE"""),"My Parents")</f>
        <v>My Parents</v>
      </c>
      <c r="F161" s="1" t="str">
        <f ca="1">IFERROR(__xludf.DUMMYFUNCTION("""COMPUTED_VALUE"""),"Yes, I will earn and do that")</f>
        <v>Yes, I will earn and do that</v>
      </c>
      <c r="G161" s="1" t="str">
        <f ca="1">IFERROR(__xludf.DUMMYFUNCTION("""COMPUTED_VALUE"""),"Will work for 3 years or more")</f>
        <v>Will work for 3 years or more</v>
      </c>
      <c r="H161" s="1" t="str">
        <f ca="1">IFERROR(__xludf.DUMMYFUNCTION("""COMPUTED_VALUE"""),"No")</f>
        <v>No</v>
      </c>
      <c r="I161" s="1" t="str">
        <f ca="1">IFERROR(__xludf.DUMMYFUNCTION("""COMPUTED_VALUE"""),"Will NOT work for them")</f>
        <v>Will NOT work for them</v>
      </c>
      <c r="J161" s="1">
        <f ca="1">IFERROR(__xludf.DUMMYFUNCTION("""COMPUTED_VALUE"""),5)</f>
        <v>5</v>
      </c>
      <c r="K161" s="1" t="str">
        <f ca="1">IFERROR(__xludf.DUMMYFUNCTION("""COMPUTED_VALUE"""),"Hybrid Working Environment with less than 3 days a month at office")</f>
        <v>Hybrid Working Environment with less than 3 days a month at office</v>
      </c>
      <c r="L161" s="1" t="str">
        <f ca="1">IFERROR(__xludf.DUMMYFUNCTION("""COMPUTED_VALUE"""),"Employer who appreciates learning and enables that environment")</f>
        <v>Employer who appreciates learning and enables that environment</v>
      </c>
      <c r="M161" s="1" t="str">
        <f ca="1">IFERROR(__xludf.DUMMYFUNCTION("""COMPUTED_VALUE"""),"Instructor or Expert Learning Programs, Trial and error by doing side projects within the company")</f>
        <v>Instructor or Expert Learning Programs, Trial and error by doing side projects within the company</v>
      </c>
      <c r="N16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61" s="1" t="str">
        <f ca="1">IFERROR(__xludf.DUMMYFUNCTION("""COMPUTED_VALUE"""),"Manager who explains what is expected, sets a goal and helps achieve it")</f>
        <v>Manager who explains what is expected, sets a goal and helps achieve it</v>
      </c>
      <c r="P161" s="1" t="str">
        <f ca="1">IFERROR(__xludf.DUMMYFUNCTION("""COMPUTED_VALUE"""),"Work with 7 to 10 or more people in my team")</f>
        <v>Work with 7 to 10 or more people in my team</v>
      </c>
      <c r="Q161" s="1"/>
    </row>
    <row r="162" spans="1:17" ht="13.2" x14ac:dyDescent="0.25">
      <c r="A162" s="2">
        <f ca="1">IFERROR(__xludf.DUMMYFUNCTION("""COMPUTED_VALUE"""),44914.7398211805)</f>
        <v>44914.739821180498</v>
      </c>
      <c r="B162" s="1" t="str">
        <f ca="1">IFERROR(__xludf.DUMMYFUNCTION("""COMPUTED_VALUE"""),"India")</f>
        <v>India</v>
      </c>
      <c r="C162" s="1">
        <f ca="1">IFERROR(__xludf.DUMMYFUNCTION("""COMPUTED_VALUE"""),363310)</f>
        <v>363310</v>
      </c>
      <c r="D162" s="3" t="str">
        <f ca="1">IFERROR(__xludf.DUMMYFUNCTION("""COMPUTED_VALUE"""),"Male")</f>
        <v>Male</v>
      </c>
      <c r="E162" s="1" t="str">
        <f ca="1">IFERROR(__xludf.DUMMYFUNCTION("""COMPUTED_VALUE"""),"People who have changed the world for better")</f>
        <v>People who have changed the world for better</v>
      </c>
      <c r="F162" s="1" t="str">
        <f ca="1">IFERROR(__xludf.DUMMYFUNCTION("""COMPUTED_VALUE"""),"No I would not be pursuing Higher Education outside of India")</f>
        <v>No I would not be pursuing Higher Education outside of India</v>
      </c>
      <c r="G162" s="1" t="str">
        <f ca="1">IFERROR(__xludf.DUMMYFUNCTION("""COMPUTED_VALUE"""),"This will be hard to do, but if it is the right company I would try")</f>
        <v>This will be hard to do, but if it is the right company I would try</v>
      </c>
      <c r="H162" s="1" t="str">
        <f ca="1">IFERROR(__xludf.DUMMYFUNCTION("""COMPUTED_VALUE"""),"No")</f>
        <v>No</v>
      </c>
      <c r="I162" s="1" t="str">
        <f ca="1">IFERROR(__xludf.DUMMYFUNCTION("""COMPUTED_VALUE"""),"Will NOT work for them")</f>
        <v>Will NOT work for them</v>
      </c>
      <c r="J162" s="1">
        <f ca="1">IFERROR(__xludf.DUMMYFUNCTION("""COMPUTED_VALUE"""),9)</f>
        <v>9</v>
      </c>
      <c r="K162" s="1" t="str">
        <f ca="1">IFERROR(__xludf.DUMMYFUNCTION("""COMPUTED_VALUE"""),"Hybrid Working Environment with less than 15 days a month at office")</f>
        <v>Hybrid Working Environment with less than 15 days a month at office</v>
      </c>
      <c r="L162" s="1" t="str">
        <f ca="1">IFERROR(__xludf.DUMMYFUNCTION("""COMPUTED_VALUE"""),"Employer who pushes your limits and doesn't enables learning environment and never rewards you")</f>
        <v>Employer who pushes your limits and doesn't enables learning environment and never rewards you</v>
      </c>
      <c r="M162" s="1" t="str">
        <f ca="1">IFERROR(__xludf.DUMMYFUNCTION("""COMPUTED_VALUE"""),"Self Paced Learning Portals, Learning by observing others")</f>
        <v>Self Paced Learning Portals, Learning by observing others</v>
      </c>
      <c r="N16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62" s="1" t="str">
        <f ca="1">IFERROR(__xludf.DUMMYFUNCTION("""COMPUTED_VALUE"""),"Manager who explains what is expected, sets a goal and helps achieve it")</f>
        <v>Manager who explains what is expected, sets a goal and helps achieve it</v>
      </c>
      <c r="P162" s="1" t="str">
        <f ca="1">IFERROR(__xludf.DUMMYFUNCTION("""COMPUTED_VALUE"""),"Work with 5 to 6 people in my team")</f>
        <v>Work with 5 to 6 people in my team</v>
      </c>
      <c r="Q162" s="1"/>
    </row>
    <row r="163" spans="1:17" ht="13.2" x14ac:dyDescent="0.25">
      <c r="A163" s="2">
        <f ca="1">IFERROR(__xludf.DUMMYFUNCTION("""COMPUTED_VALUE"""),44914.8156590856)</f>
        <v>44914.815659085602</v>
      </c>
      <c r="B163" s="1" t="str">
        <f ca="1">IFERROR(__xludf.DUMMYFUNCTION("""COMPUTED_VALUE"""),"India")</f>
        <v>India</v>
      </c>
      <c r="C163" s="1">
        <f ca="1">IFERROR(__xludf.DUMMYFUNCTION("""COMPUTED_VALUE"""),382010)</f>
        <v>382010</v>
      </c>
      <c r="D163" s="3" t="str">
        <f ca="1">IFERROR(__xludf.DUMMYFUNCTION("""COMPUTED_VALUE"""),"Female")</f>
        <v>Female</v>
      </c>
      <c r="E163" s="1" t="str">
        <f ca="1">IFERROR(__xludf.DUMMYFUNCTION("""COMPUTED_VALUE"""),"People who have changed the world for better")</f>
        <v>People who have changed the world for better</v>
      </c>
      <c r="F163" s="1" t="str">
        <f ca="1">IFERROR(__xludf.DUMMYFUNCTION("""COMPUTED_VALUE"""),"Yes, I will earn and do that")</f>
        <v>Yes, I will earn and do that</v>
      </c>
      <c r="G163" s="1" t="str">
        <f ca="1">IFERROR(__xludf.DUMMYFUNCTION("""COMPUTED_VALUE"""),"This will be hard to do, but if it is the right company I would try")</f>
        <v>This will be hard to do, but if it is the right company I would try</v>
      </c>
      <c r="H163" s="1" t="str">
        <f ca="1">IFERROR(__xludf.DUMMYFUNCTION("""COMPUTED_VALUE"""),"No")</f>
        <v>No</v>
      </c>
      <c r="I163" s="1" t="str">
        <f ca="1">IFERROR(__xludf.DUMMYFUNCTION("""COMPUTED_VALUE"""),"Will NOT work for them")</f>
        <v>Will NOT work for them</v>
      </c>
      <c r="J163" s="1">
        <f ca="1">IFERROR(__xludf.DUMMYFUNCTION("""COMPUTED_VALUE"""),8)</f>
        <v>8</v>
      </c>
      <c r="K163" s="1" t="str">
        <f ca="1">IFERROR(__xludf.DUMMYFUNCTION("""COMPUTED_VALUE"""),"Fully Remote with Options to travel as and when needed")</f>
        <v>Fully Remote with Options to travel as and when needed</v>
      </c>
      <c r="L163" s="1" t="str">
        <f ca="1">IFERROR(__xludf.DUMMYFUNCTION("""COMPUTED_VALUE"""),"Employer who rewards learning and enables that environment")</f>
        <v>Employer who rewards learning and enables that environment</v>
      </c>
      <c r="M163" s="1" t="str">
        <f ca="1">IFERROR(__xludf.DUMMYFUNCTION("""COMPUTED_VALUE"""),"Self Paced Learning Portals, Instructor or Expert Learning Programs")</f>
        <v>Self Paced Learning Portals, Instructor or Expert Learning Programs</v>
      </c>
      <c r="N163"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63" s="1" t="str">
        <f ca="1">IFERROR(__xludf.DUMMYFUNCTION("""COMPUTED_VALUE"""),"Manager who sets targets and expects me to achieve it")</f>
        <v>Manager who sets targets and expects me to achieve it</v>
      </c>
      <c r="P163" s="1" t="str">
        <f ca="1">IFERROR(__xludf.DUMMYFUNCTION("""COMPUTED_VALUE"""),"Work with 2 to 3 people in my team")</f>
        <v>Work with 2 to 3 people in my team</v>
      </c>
      <c r="Q163" s="1"/>
    </row>
    <row r="164" spans="1:17" ht="13.2" x14ac:dyDescent="0.25">
      <c r="A164" s="2">
        <f ca="1">IFERROR(__xludf.DUMMYFUNCTION("""COMPUTED_VALUE"""),44914.8177716319)</f>
        <v>44914.817771631897</v>
      </c>
      <c r="B164" s="1" t="str">
        <f ca="1">IFERROR(__xludf.DUMMYFUNCTION("""COMPUTED_VALUE"""),"India")</f>
        <v>India</v>
      </c>
      <c r="C164" s="1">
        <f ca="1">IFERROR(__xludf.DUMMYFUNCTION("""COMPUTED_VALUE"""),394210)</f>
        <v>394210</v>
      </c>
      <c r="D164" s="3" t="str">
        <f ca="1">IFERROR(__xludf.DUMMYFUNCTION("""COMPUTED_VALUE"""),"Male")</f>
        <v>Male</v>
      </c>
      <c r="E164" s="1" t="str">
        <f ca="1">IFERROR(__xludf.DUMMYFUNCTION("""COMPUTED_VALUE"""),"My Parents")</f>
        <v>My Parents</v>
      </c>
      <c r="F164" s="1" t="str">
        <f ca="1">IFERROR(__xludf.DUMMYFUNCTION("""COMPUTED_VALUE"""),"No I would not be pursuing Higher Education outside of India")</f>
        <v>No I would not be pursuing Higher Education outside of India</v>
      </c>
      <c r="G164" s="1" t="str">
        <f ca="1">IFERROR(__xludf.DUMMYFUNCTION("""COMPUTED_VALUE"""),"No way, 3 years with one employer is crazy")</f>
        <v>No way, 3 years with one employer is crazy</v>
      </c>
      <c r="H164" s="1" t="str">
        <f ca="1">IFERROR(__xludf.DUMMYFUNCTION("""COMPUTED_VALUE"""),"No")</f>
        <v>No</v>
      </c>
      <c r="I164" s="1" t="str">
        <f ca="1">IFERROR(__xludf.DUMMYFUNCTION("""COMPUTED_VALUE"""),"Will NOT work for them")</f>
        <v>Will NOT work for them</v>
      </c>
      <c r="J164" s="1">
        <f ca="1">IFERROR(__xludf.DUMMYFUNCTION("""COMPUTED_VALUE"""),6)</f>
        <v>6</v>
      </c>
      <c r="K164" s="1" t="str">
        <f ca="1">IFERROR(__xludf.DUMMYFUNCTION("""COMPUTED_VALUE"""),"Hybrid Working Environment with less than 3 days a month at office")</f>
        <v>Hybrid Working Environment with less than 3 days a month at office</v>
      </c>
      <c r="L164" s="1" t="str">
        <f ca="1">IFERROR(__xludf.DUMMYFUNCTION("""COMPUTED_VALUE"""),"Employer who pushes your limits by enabling an learning environment, and rewards you at the end")</f>
        <v>Employer who pushes your limits by enabling an learning environment, and rewards you at the end</v>
      </c>
      <c r="M164" s="1" t="str">
        <f ca="1">IFERROR(__xludf.DUMMYFUNCTION("""COMPUTED_VALUE"""),"Self Paced Learning Portals, Trial and error by doing side projects within the company")</f>
        <v>Self Paced Learning Portals, Trial and error by doing side projects within the company</v>
      </c>
      <c r="N164"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64" s="1" t="str">
        <f ca="1">IFERROR(__xludf.DUMMYFUNCTION("""COMPUTED_VALUE"""),"Manager who sets goal and helps me achieve it")</f>
        <v>Manager who sets goal and helps me achieve it</v>
      </c>
      <c r="P164" s="1" t="str">
        <f ca="1">IFERROR(__xludf.DUMMYFUNCTION("""COMPUTED_VALUE"""),"Work with 2 to 3 people in my team")</f>
        <v>Work with 2 to 3 people in my team</v>
      </c>
      <c r="Q164" s="1"/>
    </row>
    <row r="165" spans="1:17" ht="13.2" x14ac:dyDescent="0.25">
      <c r="A165" s="2">
        <f ca="1">IFERROR(__xludf.DUMMYFUNCTION("""COMPUTED_VALUE"""),44914.8510455787)</f>
        <v>44914.851045578704</v>
      </c>
      <c r="B165" s="1" t="str">
        <f ca="1">IFERROR(__xludf.DUMMYFUNCTION("""COMPUTED_VALUE"""),"India")</f>
        <v>India</v>
      </c>
      <c r="C165" s="1">
        <f ca="1">IFERROR(__xludf.DUMMYFUNCTION("""COMPUTED_VALUE"""),382024)</f>
        <v>382024</v>
      </c>
      <c r="D165" s="3" t="str">
        <f ca="1">IFERROR(__xludf.DUMMYFUNCTION("""COMPUTED_VALUE"""),"Male")</f>
        <v>Male</v>
      </c>
      <c r="E165" s="1" t="str">
        <f ca="1">IFERROR(__xludf.DUMMYFUNCTION("""COMPUTED_VALUE"""),"My Parents")</f>
        <v>My Parents</v>
      </c>
      <c r="F165" s="1" t="str">
        <f ca="1">IFERROR(__xludf.DUMMYFUNCTION("""COMPUTED_VALUE"""),"Yes, I will earn and do that")</f>
        <v>Yes, I will earn and do that</v>
      </c>
      <c r="G165" s="1" t="str">
        <f ca="1">IFERROR(__xludf.DUMMYFUNCTION("""COMPUTED_VALUE"""),"This will be hard to do, but if it is the right company I would try")</f>
        <v>This will be hard to do, but if it is the right company I would try</v>
      </c>
      <c r="H165" s="1" t="str">
        <f ca="1">IFERROR(__xludf.DUMMYFUNCTION("""COMPUTED_VALUE"""),"No")</f>
        <v>No</v>
      </c>
      <c r="I165" s="1" t="str">
        <f ca="1">IFERROR(__xludf.DUMMYFUNCTION("""COMPUTED_VALUE"""),"Will work for them")</f>
        <v>Will work for them</v>
      </c>
      <c r="J165" s="1">
        <f ca="1">IFERROR(__xludf.DUMMYFUNCTION("""COMPUTED_VALUE"""),4)</f>
        <v>4</v>
      </c>
      <c r="K165" s="1" t="str">
        <f ca="1">IFERROR(__xludf.DUMMYFUNCTION("""COMPUTED_VALUE"""),"Every Day Office Environment")</f>
        <v>Every Day Office Environment</v>
      </c>
      <c r="L165" s="1" t="str">
        <f ca="1">IFERROR(__xludf.DUMMYFUNCTION("""COMPUTED_VALUE"""),"Employer who appreciates learning and enables that environment")</f>
        <v>Employer who appreciates learning and enables that environment</v>
      </c>
      <c r="M165" s="1" t="str">
        <f ca="1">IFERROR(__xludf.DUMMYFUNCTION("""COMPUTED_VALUE"""),"Learning by observing others, Trial and error by doing side projects within the company")</f>
        <v>Learning by observing others, Trial and error by doing side projects within the company</v>
      </c>
      <c r="N165" s="1" t="str">
        <f ca="1">IFERROR(__xludf.DUMMYFUNCTION("""COMPUTED_VALUE"""),"Teaching in any of the institutes/online or Offline, Build and develop a Team, Design and Develop amazing software")</f>
        <v>Teaching in any of the institutes/online or Offline, Build and develop a Team, Design and Develop amazing software</v>
      </c>
      <c r="O165" s="1" t="str">
        <f ca="1">IFERROR(__xludf.DUMMYFUNCTION("""COMPUTED_VALUE"""),"Manager who clearly describes what she/he needs")</f>
        <v>Manager who clearly describes what she/he needs</v>
      </c>
      <c r="P165" s="1" t="str">
        <f ca="1">IFERROR(__xludf.DUMMYFUNCTION("""COMPUTED_VALUE"""),"Work with 5 to 6 people in my team")</f>
        <v>Work with 5 to 6 people in my team</v>
      </c>
      <c r="Q165" s="1"/>
    </row>
    <row r="166" spans="1:17" ht="13.2" x14ac:dyDescent="0.25">
      <c r="A166" s="2">
        <f ca="1">IFERROR(__xludf.DUMMYFUNCTION("""COMPUTED_VALUE"""),44914.8974539467)</f>
        <v>44914.897453946702</v>
      </c>
      <c r="B166" s="1" t="str">
        <f ca="1">IFERROR(__xludf.DUMMYFUNCTION("""COMPUTED_VALUE"""),"India")</f>
        <v>India</v>
      </c>
      <c r="C166" s="1">
        <f ca="1">IFERROR(__xludf.DUMMYFUNCTION("""COMPUTED_VALUE"""),721101)</f>
        <v>721101</v>
      </c>
      <c r="D166" s="3" t="str">
        <f ca="1">IFERROR(__xludf.DUMMYFUNCTION("""COMPUTED_VALUE"""),"Male")</f>
        <v>Male</v>
      </c>
      <c r="E166" s="1" t="str">
        <f ca="1">IFERROR(__xludf.DUMMYFUNCTION("""COMPUTED_VALUE"""),"People from my circle, but not family members")</f>
        <v>People from my circle, but not family members</v>
      </c>
      <c r="F166" s="1" t="str">
        <f ca="1">IFERROR(__xludf.DUMMYFUNCTION("""COMPUTED_VALUE"""),"No, But if someone could bare the cost I will")</f>
        <v>No, But if someone could bare the cost I will</v>
      </c>
      <c r="G166" s="1" t="str">
        <f ca="1">IFERROR(__xludf.DUMMYFUNCTION("""COMPUTED_VALUE"""),"No way, 3 years with one employer is crazy")</f>
        <v>No way, 3 years with one employer is crazy</v>
      </c>
      <c r="H166" s="1" t="str">
        <f ca="1">IFERROR(__xludf.DUMMYFUNCTION("""COMPUTED_VALUE"""),"No")</f>
        <v>No</v>
      </c>
      <c r="I166" s="1" t="str">
        <f ca="1">IFERROR(__xludf.DUMMYFUNCTION("""COMPUTED_VALUE"""),"Will NOT work for them")</f>
        <v>Will NOT work for them</v>
      </c>
      <c r="J166" s="1">
        <f ca="1">IFERROR(__xludf.DUMMYFUNCTION("""COMPUTED_VALUE"""),9)</f>
        <v>9</v>
      </c>
      <c r="K166" s="1" t="str">
        <f ca="1">IFERROR(__xludf.DUMMYFUNCTION("""COMPUTED_VALUE"""),"Hybrid Working Environment with less than 15 days a month at office")</f>
        <v>Hybrid Working Environment with less than 15 days a month at office</v>
      </c>
      <c r="L166" s="1" t="str">
        <f ca="1">IFERROR(__xludf.DUMMYFUNCTION("""COMPUTED_VALUE"""),"Employers who appreciates learning but doesn't enables an learning environment")</f>
        <v>Employers who appreciates learning but doesn't enables an learning environment</v>
      </c>
      <c r="M166" s="1" t="str">
        <f ca="1">IFERROR(__xludf.DUMMYFUNCTION("""COMPUTED_VALUE"""),"Instructor or Expert Learning Programs, Trial and error by doing side projects within the company")</f>
        <v>Instructor or Expert Learning Programs, Trial and error by doing side projects within the company</v>
      </c>
      <c r="N166" s="1" t="str">
        <f ca="1">IFERROR(__xludf.DUMMYFUNCTION("""COMPUTED_VALUE"""),"Design and Develop amazing software, Look deeply into Data and generate insights, Become a content Creator in some platform")</f>
        <v>Design and Develop amazing software, Look deeply into Data and generate insights, Become a content Creator in some platform</v>
      </c>
      <c r="O166" s="1" t="str">
        <f ca="1">IFERROR(__xludf.DUMMYFUNCTION("""COMPUTED_VALUE"""),"Manager who clearly describes what she/he needs")</f>
        <v>Manager who clearly describes what she/he needs</v>
      </c>
      <c r="P166" s="1" t="str">
        <f ca="1">IFERROR(__xludf.DUMMYFUNCTION("""COMPUTED_VALUE"""),"Work with more than 10 people in my team")</f>
        <v>Work with more than 10 people in my team</v>
      </c>
      <c r="Q166" s="1"/>
    </row>
    <row r="167" spans="1:17" ht="13.2" x14ac:dyDescent="0.25">
      <c r="A167" s="2">
        <f ca="1">IFERROR(__xludf.DUMMYFUNCTION("""COMPUTED_VALUE"""),44914.925777037)</f>
        <v>44914.925777037002</v>
      </c>
      <c r="B167" s="1" t="str">
        <f ca="1">IFERROR(__xludf.DUMMYFUNCTION("""COMPUTED_VALUE"""),"India")</f>
        <v>India</v>
      </c>
      <c r="C167" s="1">
        <f ca="1">IFERROR(__xludf.DUMMYFUNCTION("""COMPUTED_VALUE"""),503175)</f>
        <v>503175</v>
      </c>
      <c r="D167" s="3" t="str">
        <f ca="1">IFERROR(__xludf.DUMMYFUNCTION("""COMPUTED_VALUE"""),"Male")</f>
        <v>Male</v>
      </c>
      <c r="E167" s="1" t="str">
        <f ca="1">IFERROR(__xludf.DUMMYFUNCTION("""COMPUTED_VALUE"""),"My Parents")</f>
        <v>My Parents</v>
      </c>
      <c r="F167" s="1" t="str">
        <f ca="1">IFERROR(__xludf.DUMMYFUNCTION("""COMPUTED_VALUE"""),"Yes, I will earn and do that")</f>
        <v>Yes, I will earn and do that</v>
      </c>
      <c r="G167" s="1" t="str">
        <f ca="1">IFERROR(__xludf.DUMMYFUNCTION("""COMPUTED_VALUE"""),"Will work for 3 years or more")</f>
        <v>Will work for 3 years or more</v>
      </c>
      <c r="H167" s="1" t="str">
        <f ca="1">IFERROR(__xludf.DUMMYFUNCTION("""COMPUTED_VALUE"""),"No")</f>
        <v>No</v>
      </c>
      <c r="I167" s="1" t="str">
        <f ca="1">IFERROR(__xludf.DUMMYFUNCTION("""COMPUTED_VALUE"""),"Will NOT work for them")</f>
        <v>Will NOT work for them</v>
      </c>
      <c r="J167" s="1">
        <f ca="1">IFERROR(__xludf.DUMMYFUNCTION("""COMPUTED_VALUE"""),5)</f>
        <v>5</v>
      </c>
      <c r="K167" s="1" t="str">
        <f ca="1">IFERROR(__xludf.DUMMYFUNCTION("""COMPUTED_VALUE"""),"Fully Remote with No option to visit offices")</f>
        <v>Fully Remote with No option to visit offices</v>
      </c>
      <c r="L167" s="1" t="str">
        <f ca="1">IFERROR(__xludf.DUMMYFUNCTION("""COMPUTED_VALUE"""),"Employer who pushes your limits and doesn't enables learning environment and never rewards you")</f>
        <v>Employer who pushes your limits and doesn't enables learning environment and never rewards you</v>
      </c>
      <c r="M167" s="1" t="str">
        <f ca="1">IFERROR(__xludf.DUMMYFUNCTION("""COMPUTED_VALUE"""),"Self Paced Learning Portals, Learning by observing others")</f>
        <v>Self Paced Learning Portals, Learning by observing others</v>
      </c>
      <c r="N167"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67" s="1" t="str">
        <f ca="1">IFERROR(__xludf.DUMMYFUNCTION("""COMPUTED_VALUE"""),"Manager who sets targets and expects me to achieve it")</f>
        <v>Manager who sets targets and expects me to achieve it</v>
      </c>
      <c r="P167" s="1" t="str">
        <f ca="1">IFERROR(__xludf.DUMMYFUNCTION("""COMPUTED_VALUE"""),"Work alone")</f>
        <v>Work alone</v>
      </c>
      <c r="Q167" s="1"/>
    </row>
    <row r="168" spans="1:17" ht="13.2" x14ac:dyDescent="0.25">
      <c r="A168" s="2">
        <f ca="1">IFERROR(__xludf.DUMMYFUNCTION("""COMPUTED_VALUE"""),44914.9315464814)</f>
        <v>44914.931546481399</v>
      </c>
      <c r="B168" s="1" t="str">
        <f ca="1">IFERROR(__xludf.DUMMYFUNCTION("""COMPUTED_VALUE"""),"India")</f>
        <v>India</v>
      </c>
      <c r="C168" s="1">
        <f ca="1">IFERROR(__xludf.DUMMYFUNCTION("""COMPUTED_VALUE"""),533103)</f>
        <v>533103</v>
      </c>
      <c r="D168" s="3" t="str">
        <f ca="1">IFERROR(__xludf.DUMMYFUNCTION("""COMPUTED_VALUE"""),"Male")</f>
        <v>Male</v>
      </c>
      <c r="E168" s="1" t="str">
        <f ca="1">IFERROR(__xludf.DUMMYFUNCTION("""COMPUTED_VALUE"""),"My Parents")</f>
        <v>My Parents</v>
      </c>
      <c r="F168" s="1" t="str">
        <f ca="1">IFERROR(__xludf.DUMMYFUNCTION("""COMPUTED_VALUE"""),"Yes, I will earn and do that")</f>
        <v>Yes, I will earn and do that</v>
      </c>
      <c r="G168" s="1" t="str">
        <f ca="1">IFERROR(__xludf.DUMMYFUNCTION("""COMPUTED_VALUE"""),"This will be hard to do, but if it is the right company I would try")</f>
        <v>This will be hard to do, but if it is the right company I would try</v>
      </c>
      <c r="H168" s="1" t="str">
        <f ca="1">IFERROR(__xludf.DUMMYFUNCTION("""COMPUTED_VALUE"""),"Yes")</f>
        <v>Yes</v>
      </c>
      <c r="I168" s="1" t="str">
        <f ca="1">IFERROR(__xludf.DUMMYFUNCTION("""COMPUTED_VALUE"""),"Will work for them")</f>
        <v>Will work for them</v>
      </c>
      <c r="J168" s="1">
        <f ca="1">IFERROR(__xludf.DUMMYFUNCTION("""COMPUTED_VALUE"""),8)</f>
        <v>8</v>
      </c>
      <c r="K168" s="1" t="str">
        <f ca="1">IFERROR(__xludf.DUMMYFUNCTION("""COMPUTED_VALUE"""),"Hybrid Working Environment with less than 3 days a month at office")</f>
        <v>Hybrid Working Environment with less than 3 days a month at office</v>
      </c>
      <c r="L168" s="1" t="str">
        <f ca="1">IFERROR(__xludf.DUMMYFUNCTION("""COMPUTED_VALUE"""),"Employer who pushes your limits by enabling an learning environment, and rewards you at the end")</f>
        <v>Employer who pushes your limits by enabling an learning environment, and rewards you at the end</v>
      </c>
      <c r="M168" s="1" t="str">
        <f ca="1">IFERROR(__xludf.DUMMYFUNCTION("""COMPUTED_VALUE"""),"Self Paced Learning Portals, Instructor or Expert Learning Programs")</f>
        <v>Self Paced Learning Portals, Instructor or Expert Learning Programs</v>
      </c>
      <c r="N168"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68" s="1" t="str">
        <f ca="1">IFERROR(__xludf.DUMMYFUNCTION("""COMPUTED_VALUE"""),"Manager who explains what is expected, sets a goal and helps achieve it")</f>
        <v>Manager who explains what is expected, sets a goal and helps achieve it</v>
      </c>
      <c r="P16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8" s="1"/>
    </row>
    <row r="169" spans="1:17" ht="13.2" x14ac:dyDescent="0.25">
      <c r="A169" s="2">
        <f ca="1">IFERROR(__xludf.DUMMYFUNCTION("""COMPUTED_VALUE"""),44915.4097427777)</f>
        <v>44915.409742777701</v>
      </c>
      <c r="B169" s="1" t="str">
        <f ca="1">IFERROR(__xludf.DUMMYFUNCTION("""COMPUTED_VALUE"""),"India")</f>
        <v>India</v>
      </c>
      <c r="C169" s="1">
        <f ca="1">IFERROR(__xludf.DUMMYFUNCTION("""COMPUTED_VALUE"""),382042)</f>
        <v>382042</v>
      </c>
      <c r="D169" s="3" t="str">
        <f ca="1">IFERROR(__xludf.DUMMYFUNCTION("""COMPUTED_VALUE"""),"Female")</f>
        <v>Female</v>
      </c>
      <c r="E169" s="1" t="str">
        <f ca="1">IFERROR(__xludf.DUMMYFUNCTION("""COMPUTED_VALUE"""),"People from my circle, but not family members")</f>
        <v>People from my circle, but not family members</v>
      </c>
      <c r="F169" s="1" t="str">
        <f ca="1">IFERROR(__xludf.DUMMYFUNCTION("""COMPUTED_VALUE"""),"No, But if someone could bare the cost I will")</f>
        <v>No, But if someone could bare the cost I will</v>
      </c>
      <c r="G169" s="1" t="str">
        <f ca="1">IFERROR(__xludf.DUMMYFUNCTION("""COMPUTED_VALUE"""),"Will work for 3 years or more")</f>
        <v>Will work for 3 years or more</v>
      </c>
      <c r="H169" s="1" t="str">
        <f ca="1">IFERROR(__xludf.DUMMYFUNCTION("""COMPUTED_VALUE"""),"No")</f>
        <v>No</v>
      </c>
      <c r="I169" s="1" t="str">
        <f ca="1">IFERROR(__xludf.DUMMYFUNCTION("""COMPUTED_VALUE"""),"Will NOT work for them")</f>
        <v>Will NOT work for them</v>
      </c>
      <c r="J169" s="1">
        <f ca="1">IFERROR(__xludf.DUMMYFUNCTION("""COMPUTED_VALUE"""),1)</f>
        <v>1</v>
      </c>
      <c r="K169" s="1" t="str">
        <f ca="1">IFERROR(__xludf.DUMMYFUNCTION("""COMPUTED_VALUE"""),"Every Day Office Environment")</f>
        <v>Every Day Office Environment</v>
      </c>
      <c r="L169" s="1" t="str">
        <f ca="1">IFERROR(__xludf.DUMMYFUNCTION("""COMPUTED_VALUE"""),"Employer who appreciates learning and enables that environment")</f>
        <v>Employer who appreciates learning and enables that environment</v>
      </c>
      <c r="M169" s="1" t="str">
        <f ca="1">IFERROR(__xludf.DUMMYFUNCTION("""COMPUTED_VALUE"""),"Self Paced Learning Portals, Instructor or Expert Learning Programs")</f>
        <v>Self Paced Learning Portals, Instructor or Expert Learning Programs</v>
      </c>
      <c r="N169"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169" s="1" t="str">
        <f ca="1">IFERROR(__xludf.DUMMYFUNCTION("""COMPUTED_VALUE"""),"Manager who clearly describes what she/he needs")</f>
        <v>Manager who clearly describes what she/he needs</v>
      </c>
      <c r="P169" s="1" t="str">
        <f ca="1">IFERROR(__xludf.DUMMYFUNCTION("""COMPUTED_VALUE"""),"Work with 2 to 3 people in my team")</f>
        <v>Work with 2 to 3 people in my team</v>
      </c>
      <c r="Q169" s="1"/>
    </row>
    <row r="170" spans="1:17" ht="13.2" x14ac:dyDescent="0.25">
      <c r="A170" s="2">
        <f ca="1">IFERROR(__xludf.DUMMYFUNCTION("""COMPUTED_VALUE"""),44915.5154813657)</f>
        <v>44915.515481365699</v>
      </c>
      <c r="B170" s="1" t="str">
        <f ca="1">IFERROR(__xludf.DUMMYFUNCTION("""COMPUTED_VALUE"""),"India")</f>
        <v>India</v>
      </c>
      <c r="C170" s="1">
        <f ca="1">IFERROR(__xludf.DUMMYFUNCTION("""COMPUTED_VALUE"""),600036)</f>
        <v>600036</v>
      </c>
      <c r="D170" s="3" t="str">
        <f ca="1">IFERROR(__xludf.DUMMYFUNCTION("""COMPUTED_VALUE"""),"Female")</f>
        <v>Female</v>
      </c>
      <c r="E170" s="1" t="str">
        <f ca="1">IFERROR(__xludf.DUMMYFUNCTION("""COMPUTED_VALUE"""),"Influencers who had successful careers")</f>
        <v>Influencers who had successful careers</v>
      </c>
      <c r="F170" s="1" t="str">
        <f ca="1">IFERROR(__xludf.DUMMYFUNCTION("""COMPUTED_VALUE"""),"No I would not be pursuing Higher Education outside of India")</f>
        <v>No I would not be pursuing Higher Education outside of India</v>
      </c>
      <c r="G170" s="1" t="str">
        <f ca="1">IFERROR(__xludf.DUMMYFUNCTION("""COMPUTED_VALUE"""),"This will be hard to do, but if it is the right company I would try")</f>
        <v>This will be hard to do, but if it is the right company I would try</v>
      </c>
      <c r="H170" s="1" t="str">
        <f ca="1">IFERROR(__xludf.DUMMYFUNCTION("""COMPUTED_VALUE"""),"No")</f>
        <v>No</v>
      </c>
      <c r="I170" s="1" t="str">
        <f ca="1">IFERROR(__xludf.DUMMYFUNCTION("""COMPUTED_VALUE"""),"Will NOT work for them")</f>
        <v>Will NOT work for them</v>
      </c>
      <c r="J170" s="1">
        <f ca="1">IFERROR(__xludf.DUMMYFUNCTION("""COMPUTED_VALUE"""),2)</f>
        <v>2</v>
      </c>
      <c r="K170" s="1" t="str">
        <f ca="1">IFERROR(__xludf.DUMMYFUNCTION("""COMPUTED_VALUE"""),"Hybrid Working Environment with less than 3 days a month at office")</f>
        <v>Hybrid Working Environment with less than 3 days a month at office</v>
      </c>
      <c r="L170" s="1" t="str">
        <f ca="1">IFERROR(__xludf.DUMMYFUNCTION("""COMPUTED_VALUE"""),"Employer who appreciates learning and enables that environment")</f>
        <v>Employer who appreciates learning and enables that environment</v>
      </c>
      <c r="M170" s="1" t="str">
        <f ca="1">IFERROR(__xludf.DUMMYFUNCTION("""COMPUTED_VALUE"""),"Self Paced Learning Portals, Learning by observing others")</f>
        <v>Self Paced Learning Portals, Learning by observing others</v>
      </c>
      <c r="N170"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70" s="1" t="str">
        <f ca="1">IFERROR(__xludf.DUMMYFUNCTION("""COMPUTED_VALUE"""),"Manager who explains what is expected, sets a goal and helps achieve it")</f>
        <v>Manager who explains what is expected, sets a goal and helps achieve it</v>
      </c>
      <c r="P170" s="1" t="str">
        <f ca="1">IFERROR(__xludf.DUMMYFUNCTION("""COMPUTED_VALUE"""),"Work with 2 to 3 people in my team")</f>
        <v>Work with 2 to 3 people in my team</v>
      </c>
      <c r="Q170" s="1"/>
    </row>
    <row r="171" spans="1:17" ht="13.2" x14ac:dyDescent="0.25">
      <c r="A171" s="2">
        <f ca="1">IFERROR(__xludf.DUMMYFUNCTION("""COMPUTED_VALUE"""),44915.6647387037)</f>
        <v>44915.664738703701</v>
      </c>
      <c r="B171" s="1" t="str">
        <f ca="1">IFERROR(__xludf.DUMMYFUNCTION("""COMPUTED_VALUE"""),"India")</f>
        <v>India</v>
      </c>
      <c r="C171" s="1">
        <f ca="1">IFERROR(__xludf.DUMMYFUNCTION("""COMPUTED_VALUE"""),605110)</f>
        <v>605110</v>
      </c>
      <c r="D171" s="3" t="str">
        <f ca="1">IFERROR(__xludf.DUMMYFUNCTION("""COMPUTED_VALUE"""),"Male")</f>
        <v>Male</v>
      </c>
      <c r="E171" s="1" t="str">
        <f ca="1">IFERROR(__xludf.DUMMYFUNCTION("""COMPUTED_VALUE"""),"Influencers who had successful careers")</f>
        <v>Influencers who had successful careers</v>
      </c>
      <c r="F171" s="1" t="str">
        <f ca="1">IFERROR(__xludf.DUMMYFUNCTION("""COMPUTED_VALUE"""),"No, But if someone could bare the cost I will")</f>
        <v>No, But if someone could bare the cost I will</v>
      </c>
      <c r="G171" s="1" t="str">
        <f ca="1">IFERROR(__xludf.DUMMYFUNCTION("""COMPUTED_VALUE"""),"Will work for 3 years or more")</f>
        <v>Will work for 3 years or more</v>
      </c>
      <c r="H171" s="1" t="str">
        <f ca="1">IFERROR(__xludf.DUMMYFUNCTION("""COMPUTED_VALUE"""),"No")</f>
        <v>No</v>
      </c>
      <c r="I171" s="1" t="str">
        <f ca="1">IFERROR(__xludf.DUMMYFUNCTION("""COMPUTED_VALUE"""),"Will NOT work for them")</f>
        <v>Will NOT work for them</v>
      </c>
      <c r="J171" s="1">
        <f ca="1">IFERROR(__xludf.DUMMYFUNCTION("""COMPUTED_VALUE"""),6)</f>
        <v>6</v>
      </c>
      <c r="K171" s="1" t="str">
        <f ca="1">IFERROR(__xludf.DUMMYFUNCTION("""COMPUTED_VALUE"""),"Fully Remote with Options to travel as and when needed")</f>
        <v>Fully Remote with Options to travel as and when needed</v>
      </c>
      <c r="L171" s="1" t="str">
        <f ca="1">IFERROR(__xludf.DUMMYFUNCTION("""COMPUTED_VALUE"""),"Employer who pushes your limits by enabling an learning environment, and rewards you at the end")</f>
        <v>Employer who pushes your limits by enabling an learning environment, and rewards you at the end</v>
      </c>
      <c r="M171" s="1" t="str">
        <f ca="1">IFERROR(__xludf.DUMMYFUNCTION("""COMPUTED_VALUE"""),"Self Paced Learning Portals, Trial and error by doing side projects within the company")</f>
        <v>Self Paced Learning Portals, Trial and error by doing side projects within the company</v>
      </c>
      <c r="N171"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71" s="1" t="str">
        <f ca="1">IFERROR(__xludf.DUMMYFUNCTION("""COMPUTED_VALUE"""),"Manager who explains what is expected, sets a goal and helps achieve it")</f>
        <v>Manager who explains what is expected, sets a goal and helps achieve it</v>
      </c>
      <c r="P171" s="1" t="str">
        <f ca="1">IFERROR(__xludf.DUMMYFUNCTION("""COMPUTED_VALUE"""),"Work alone, Work with 2 to 3 people in my team")</f>
        <v>Work alone, Work with 2 to 3 people in my team</v>
      </c>
      <c r="Q171" s="1"/>
    </row>
    <row r="172" spans="1:17" ht="13.2" x14ac:dyDescent="0.25">
      <c r="A172" s="2">
        <f ca="1">IFERROR(__xludf.DUMMYFUNCTION("""COMPUTED_VALUE"""),44915.6680855208)</f>
        <v>44915.668085520803</v>
      </c>
      <c r="B172" s="1" t="str">
        <f ca="1">IFERROR(__xludf.DUMMYFUNCTION("""COMPUTED_VALUE"""),"India")</f>
        <v>India</v>
      </c>
      <c r="C172" s="1">
        <f ca="1">IFERROR(__xludf.DUMMYFUNCTION("""COMPUTED_VALUE"""),800009)</f>
        <v>800009</v>
      </c>
      <c r="D172" s="3" t="str">
        <f ca="1">IFERROR(__xludf.DUMMYFUNCTION("""COMPUTED_VALUE"""),"Female")</f>
        <v>Female</v>
      </c>
      <c r="E172" s="1" t="str">
        <f ca="1">IFERROR(__xludf.DUMMYFUNCTION("""COMPUTED_VALUE"""),"People who have changed the world for better")</f>
        <v>People who have changed the world for better</v>
      </c>
      <c r="F172" s="1" t="str">
        <f ca="1">IFERROR(__xludf.DUMMYFUNCTION("""COMPUTED_VALUE"""),"No I would not be pursuing Higher Education outside of India")</f>
        <v>No I would not be pursuing Higher Education outside of India</v>
      </c>
      <c r="G172" s="1" t="str">
        <f ca="1">IFERROR(__xludf.DUMMYFUNCTION("""COMPUTED_VALUE"""),"This will be hard to do, but if it is the right company I would try")</f>
        <v>This will be hard to do, but if it is the right company I would try</v>
      </c>
      <c r="H172" s="1" t="str">
        <f ca="1">IFERROR(__xludf.DUMMYFUNCTION("""COMPUTED_VALUE"""),"Yes")</f>
        <v>Yes</v>
      </c>
      <c r="I172" s="1" t="str">
        <f ca="1">IFERROR(__xludf.DUMMYFUNCTION("""COMPUTED_VALUE"""),"Will work for them")</f>
        <v>Will work for them</v>
      </c>
      <c r="J172" s="1">
        <f ca="1">IFERROR(__xludf.DUMMYFUNCTION("""COMPUTED_VALUE"""),7)</f>
        <v>7</v>
      </c>
      <c r="K172" s="1" t="str">
        <f ca="1">IFERROR(__xludf.DUMMYFUNCTION("""COMPUTED_VALUE"""),"Hybrid Working Environment with less than 15 days a month at office")</f>
        <v>Hybrid Working Environment with less than 15 days a month at office</v>
      </c>
      <c r="L172" s="1" t="str">
        <f ca="1">IFERROR(__xludf.DUMMYFUNCTION("""COMPUTED_VALUE"""),"Employer who pushes your limits by enabling an learning environment, and rewards you at the end")</f>
        <v>Employer who pushes your limits by enabling an learning environment, and rewards you at the end</v>
      </c>
      <c r="M172" s="1" t="str">
        <f ca="1">IFERROR(__xludf.DUMMYFUNCTION("""COMPUTED_VALUE"""),"Instructor or Expert Learning Programs, Trial and error by doing side projects within the company")</f>
        <v>Instructor or Expert Learning Programs, Trial and error by doing side projects within the company</v>
      </c>
      <c r="N1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72" s="1" t="str">
        <f ca="1">IFERROR(__xludf.DUMMYFUNCTION("""COMPUTED_VALUE"""),"Manager who explains what is expected, sets a goal and helps achieve it")</f>
        <v>Manager who explains what is expected, sets a goal and helps achieve it</v>
      </c>
      <c r="P172" s="1" t="str">
        <f ca="1">IFERROR(__xludf.DUMMYFUNCTION("""COMPUTED_VALUE"""),"Work with 5 to 6 people in my team")</f>
        <v>Work with 5 to 6 people in my team</v>
      </c>
      <c r="Q172" s="1"/>
    </row>
    <row r="173" spans="1:17" ht="13.2" x14ac:dyDescent="0.25">
      <c r="A173" s="2">
        <f ca="1">IFERROR(__xludf.DUMMYFUNCTION("""COMPUTED_VALUE"""),44915.6751296064)</f>
        <v>44915.675129606403</v>
      </c>
      <c r="B173" s="1" t="str">
        <f ca="1">IFERROR(__xludf.DUMMYFUNCTION("""COMPUTED_VALUE"""),"India")</f>
        <v>India</v>
      </c>
      <c r="C173" s="1">
        <f ca="1">IFERROR(__xludf.DUMMYFUNCTION("""COMPUTED_VALUE"""),248002)</f>
        <v>248002</v>
      </c>
      <c r="D173" s="3" t="str">
        <f ca="1">IFERROR(__xludf.DUMMYFUNCTION("""COMPUTED_VALUE"""),"Female")</f>
        <v>Female</v>
      </c>
      <c r="E173" s="1" t="str">
        <f ca="1">IFERROR(__xludf.DUMMYFUNCTION("""COMPUTED_VALUE"""),"People who have changed the world for better")</f>
        <v>People who have changed the world for better</v>
      </c>
      <c r="F173" s="1" t="str">
        <f ca="1">IFERROR(__xludf.DUMMYFUNCTION("""COMPUTED_VALUE"""),"No, But if someone could bare the cost I will")</f>
        <v>No, But if someone could bare the cost I will</v>
      </c>
      <c r="G173" s="1" t="str">
        <f ca="1">IFERROR(__xludf.DUMMYFUNCTION("""COMPUTED_VALUE"""),"No way, 3 years with one employer is crazy")</f>
        <v>No way, 3 years with one employer is crazy</v>
      </c>
      <c r="H173" s="1" t="str">
        <f ca="1">IFERROR(__xludf.DUMMYFUNCTION("""COMPUTED_VALUE"""),"No")</f>
        <v>No</v>
      </c>
      <c r="I173" s="1" t="str">
        <f ca="1">IFERROR(__xludf.DUMMYFUNCTION("""COMPUTED_VALUE"""),"Will work for them")</f>
        <v>Will work for them</v>
      </c>
      <c r="J173" s="1">
        <f ca="1">IFERROR(__xludf.DUMMYFUNCTION("""COMPUTED_VALUE"""),4)</f>
        <v>4</v>
      </c>
      <c r="K173" s="1" t="str">
        <f ca="1">IFERROR(__xludf.DUMMYFUNCTION("""COMPUTED_VALUE"""),"Hybrid Working Environment with less than 3 days a month at office")</f>
        <v>Hybrid Working Environment with less than 3 days a month at office</v>
      </c>
      <c r="L173" s="1" t="str">
        <f ca="1">IFERROR(__xludf.DUMMYFUNCTION("""COMPUTED_VALUE"""),"Employer who rewards learning and enables that environment")</f>
        <v>Employer who rewards learning and enables that environment</v>
      </c>
      <c r="M173" s="1" t="str">
        <f ca="1">IFERROR(__xludf.DUMMYFUNCTION("""COMPUTED_VALUE"""),"Self Paced Learning Portals, Trial and error by doing side projects within the company")</f>
        <v>Self Paced Learning Portals, Trial and error by doing side projects within the company</v>
      </c>
      <c r="N173"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173" s="1" t="str">
        <f ca="1">IFERROR(__xludf.DUMMYFUNCTION("""COMPUTED_VALUE"""),"Manager who sets goal and helps me achieve it")</f>
        <v>Manager who sets goal and helps me achieve it</v>
      </c>
      <c r="P173" s="1" t="str">
        <f ca="1">IFERROR(__xludf.DUMMYFUNCTION("""COMPUTED_VALUE"""),"Work with 2 to 3 people in my team, Work with 7 to 10 or more people in my team, Work with more than 10 people in my team")</f>
        <v>Work with 2 to 3 people in my team, Work with 7 to 10 or more people in my team, Work with more than 10 people in my team</v>
      </c>
      <c r="Q173" s="1"/>
    </row>
    <row r="174" spans="1:17" ht="13.2" x14ac:dyDescent="0.25">
      <c r="A174" s="2">
        <f ca="1">IFERROR(__xludf.DUMMYFUNCTION("""COMPUTED_VALUE"""),44915.6854918518)</f>
        <v>44915.6854918518</v>
      </c>
      <c r="B174" s="1" t="str">
        <f ca="1">IFERROR(__xludf.DUMMYFUNCTION("""COMPUTED_VALUE"""),"India")</f>
        <v>India</v>
      </c>
      <c r="C174" s="1">
        <f ca="1">IFERROR(__xludf.DUMMYFUNCTION("""COMPUTED_VALUE"""),845438)</f>
        <v>845438</v>
      </c>
      <c r="D174" s="3" t="str">
        <f ca="1">IFERROR(__xludf.DUMMYFUNCTION("""COMPUTED_VALUE"""),"Female")</f>
        <v>Female</v>
      </c>
      <c r="E174" s="1" t="str">
        <f ca="1">IFERROR(__xludf.DUMMYFUNCTION("""COMPUTED_VALUE"""),"Influencers who had successful careers")</f>
        <v>Influencers who had successful careers</v>
      </c>
      <c r="F174" s="1" t="str">
        <f ca="1">IFERROR(__xludf.DUMMYFUNCTION("""COMPUTED_VALUE"""),"Yes, I will earn and do that")</f>
        <v>Yes, I will earn and do that</v>
      </c>
      <c r="G174" s="1" t="str">
        <f ca="1">IFERROR(__xludf.DUMMYFUNCTION("""COMPUTED_VALUE"""),"This will be hard to do, but if it is the right company I would try")</f>
        <v>This will be hard to do, but if it is the right company I would try</v>
      </c>
      <c r="H174" s="1" t="str">
        <f ca="1">IFERROR(__xludf.DUMMYFUNCTION("""COMPUTED_VALUE"""),"No")</f>
        <v>No</v>
      </c>
      <c r="I174" s="1" t="str">
        <f ca="1">IFERROR(__xludf.DUMMYFUNCTION("""COMPUTED_VALUE"""),"Will NOT work for them")</f>
        <v>Will NOT work for them</v>
      </c>
      <c r="J174" s="1">
        <f ca="1">IFERROR(__xludf.DUMMYFUNCTION("""COMPUTED_VALUE"""),5)</f>
        <v>5</v>
      </c>
      <c r="K174" s="1" t="str">
        <f ca="1">IFERROR(__xludf.DUMMYFUNCTION("""COMPUTED_VALUE"""),"Every Day Office Environment")</f>
        <v>Every Day Office Environment</v>
      </c>
      <c r="L174" s="1" t="str">
        <f ca="1">IFERROR(__xludf.DUMMYFUNCTION("""COMPUTED_VALUE"""),"Employers who appreciates learning but doesn't enables an learning environment")</f>
        <v>Employers who appreciates learning but doesn't enables an learning environment</v>
      </c>
      <c r="M174" s="1" t="str">
        <f ca="1">IFERROR(__xludf.DUMMYFUNCTION("""COMPUTED_VALUE"""),"Self Paced Learning Portals, Instructor or Expert Learning Programs")</f>
        <v>Self Paced Learning Portals, Instructor or Expert Learning Programs</v>
      </c>
      <c r="N17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74" s="1" t="str">
        <f ca="1">IFERROR(__xludf.DUMMYFUNCTION("""COMPUTED_VALUE"""),"Manager who sets goal and helps me achieve it")</f>
        <v>Manager who sets goal and helps me achieve it</v>
      </c>
      <c r="P174" s="1" t="str">
        <f ca="1">IFERROR(__xludf.DUMMYFUNCTION("""COMPUTED_VALUE"""),"Work with 5 to 6 people in my team")</f>
        <v>Work with 5 to 6 people in my team</v>
      </c>
      <c r="Q174" s="1"/>
    </row>
    <row r="175" spans="1:17" ht="13.2" x14ac:dyDescent="0.25">
      <c r="A175" s="2">
        <f ca="1">IFERROR(__xludf.DUMMYFUNCTION("""COMPUTED_VALUE"""),44915.6934281018)</f>
        <v>44915.693428101797</v>
      </c>
      <c r="B175" s="1" t="str">
        <f ca="1">IFERROR(__xludf.DUMMYFUNCTION("""COMPUTED_VALUE"""),"India")</f>
        <v>India</v>
      </c>
      <c r="C175" s="1">
        <f ca="1">IFERROR(__xludf.DUMMYFUNCTION("""COMPUTED_VALUE"""),800006)</f>
        <v>800006</v>
      </c>
      <c r="D175" s="3" t="str">
        <f ca="1">IFERROR(__xludf.DUMMYFUNCTION("""COMPUTED_VALUE"""),"Male")</f>
        <v>Male</v>
      </c>
      <c r="E175" s="1" t="str">
        <f ca="1">IFERROR(__xludf.DUMMYFUNCTION("""COMPUTED_VALUE"""),"My Parents")</f>
        <v>My Parents</v>
      </c>
      <c r="F175" s="1" t="str">
        <f ca="1">IFERROR(__xludf.DUMMYFUNCTION("""COMPUTED_VALUE"""),"No I would not be pursuing Higher Education outside of India")</f>
        <v>No I would not be pursuing Higher Education outside of India</v>
      </c>
      <c r="G175" s="1" t="str">
        <f ca="1">IFERROR(__xludf.DUMMYFUNCTION("""COMPUTED_VALUE"""),"This will be hard to do, but if it is the right company I would try")</f>
        <v>This will be hard to do, but if it is the right company I would try</v>
      </c>
      <c r="H175" s="1" t="str">
        <f ca="1">IFERROR(__xludf.DUMMYFUNCTION("""COMPUTED_VALUE"""),"Yes")</f>
        <v>Yes</v>
      </c>
      <c r="I175" s="1" t="str">
        <f ca="1">IFERROR(__xludf.DUMMYFUNCTION("""COMPUTED_VALUE"""),"Will work for them")</f>
        <v>Will work for them</v>
      </c>
      <c r="J175" s="1">
        <f ca="1">IFERROR(__xludf.DUMMYFUNCTION("""COMPUTED_VALUE"""),6)</f>
        <v>6</v>
      </c>
      <c r="K175" s="1" t="str">
        <f ca="1">IFERROR(__xludf.DUMMYFUNCTION("""COMPUTED_VALUE"""),"Every Day Office Environment")</f>
        <v>Every Day Office Environment</v>
      </c>
      <c r="L175" s="1" t="str">
        <f ca="1">IFERROR(__xludf.DUMMYFUNCTION("""COMPUTED_VALUE"""),"Employer who pushes your limits by enabling an learning environment, and rewards you at the end")</f>
        <v>Employer who pushes your limits by enabling an learning environment, and rewards you at the end</v>
      </c>
      <c r="M175" s="1" t="str">
        <f ca="1">IFERROR(__xludf.DUMMYFUNCTION("""COMPUTED_VALUE"""),"Self Paced Learning Portals, Instructor or Expert Learning Programs")</f>
        <v>Self Paced Learning Portals, Instructor or Expert Learning Programs</v>
      </c>
      <c r="N17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75" s="1" t="str">
        <f ca="1">IFERROR(__xludf.DUMMYFUNCTION("""COMPUTED_VALUE"""),"Manager who explains what is expected, sets a goal and helps achieve it")</f>
        <v>Manager who explains what is expected, sets a goal and helps achieve it</v>
      </c>
      <c r="P175" s="1" t="str">
        <f ca="1">IFERROR(__xludf.DUMMYFUNCTION("""COMPUTED_VALUE"""),"Work with 2 to 3 people in my team")</f>
        <v>Work with 2 to 3 people in my team</v>
      </c>
      <c r="Q175" s="1"/>
    </row>
    <row r="176" spans="1:17" ht="13.2" x14ac:dyDescent="0.25">
      <c r="A176" s="2">
        <f ca="1">IFERROR(__xludf.DUMMYFUNCTION("""COMPUTED_VALUE"""),44915.6987148263)</f>
        <v>44915.6987148263</v>
      </c>
      <c r="B176" s="1" t="str">
        <f ca="1">IFERROR(__xludf.DUMMYFUNCTION("""COMPUTED_VALUE"""),"India")</f>
        <v>India</v>
      </c>
      <c r="C176" s="1">
        <f ca="1">IFERROR(__xludf.DUMMYFUNCTION("""COMPUTED_VALUE"""),800024)</f>
        <v>800024</v>
      </c>
      <c r="D176" s="3" t="str">
        <f ca="1">IFERROR(__xludf.DUMMYFUNCTION("""COMPUTED_VALUE"""),"Male")</f>
        <v>Male</v>
      </c>
      <c r="E176" s="1" t="str">
        <f ca="1">IFERROR(__xludf.DUMMYFUNCTION("""COMPUTED_VALUE"""),"My Parents")</f>
        <v>My Parents</v>
      </c>
      <c r="F176" s="1" t="str">
        <f ca="1">IFERROR(__xludf.DUMMYFUNCTION("""COMPUTED_VALUE"""),"No, But if someone could bare the cost I will")</f>
        <v>No, But if someone could bare the cost I will</v>
      </c>
      <c r="G176" s="1" t="str">
        <f ca="1">IFERROR(__xludf.DUMMYFUNCTION("""COMPUTED_VALUE"""),"This will be hard to do, but if it is the right company I would try")</f>
        <v>This will be hard to do, but if it is the right company I would try</v>
      </c>
      <c r="H176" s="1" t="str">
        <f ca="1">IFERROR(__xludf.DUMMYFUNCTION("""COMPUTED_VALUE"""),"No")</f>
        <v>No</v>
      </c>
      <c r="I176" s="1" t="str">
        <f ca="1">IFERROR(__xludf.DUMMYFUNCTION("""COMPUTED_VALUE"""),"Will NOT work for them")</f>
        <v>Will NOT work for them</v>
      </c>
      <c r="J176" s="1">
        <f ca="1">IFERROR(__xludf.DUMMYFUNCTION("""COMPUTED_VALUE"""),4)</f>
        <v>4</v>
      </c>
      <c r="K176" s="1" t="str">
        <f ca="1">IFERROR(__xludf.DUMMYFUNCTION("""COMPUTED_VALUE"""),"Hybrid Working Environment with less than 15 days a month at office")</f>
        <v>Hybrid Working Environment with less than 15 days a month at office</v>
      </c>
      <c r="L176" s="1" t="str">
        <f ca="1">IFERROR(__xludf.DUMMYFUNCTION("""COMPUTED_VALUE"""),"Employer who pushes your limits by enabling an learning environment, and rewards you at the end")</f>
        <v>Employer who pushes your limits by enabling an learning environment, and rewards you at the end</v>
      </c>
      <c r="M176" s="1" t="str">
        <f ca="1">IFERROR(__xludf.DUMMYFUNCTION("""COMPUTED_VALUE"""),"Learning by observing others, Trial and error by doing side projects within the company")</f>
        <v>Learning by observing others, Trial and error by doing side projects within the company</v>
      </c>
      <c r="N17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76" s="1" t="str">
        <f ca="1">IFERROR(__xludf.DUMMYFUNCTION("""COMPUTED_VALUE"""),"Manager who explains what is expected, sets a goal and helps achieve it")</f>
        <v>Manager who explains what is expected, sets a goal and helps achieve it</v>
      </c>
      <c r="P176" s="1" t="str">
        <f ca="1">IFERROR(__xludf.DUMMYFUNCTION("""COMPUTED_VALUE"""),"Work with 5 to 6 people in my team")</f>
        <v>Work with 5 to 6 people in my team</v>
      </c>
      <c r="Q176" s="1"/>
    </row>
    <row r="177" spans="1:17" ht="13.2" x14ac:dyDescent="0.25">
      <c r="A177" s="2">
        <f ca="1">IFERROR(__xludf.DUMMYFUNCTION("""COMPUTED_VALUE"""),44915.6991829398)</f>
        <v>44915.699182939803</v>
      </c>
      <c r="B177" s="1" t="str">
        <f ca="1">IFERROR(__xludf.DUMMYFUNCTION("""COMPUTED_VALUE"""),"India")</f>
        <v>India</v>
      </c>
      <c r="C177" s="1">
        <f ca="1">IFERROR(__xludf.DUMMYFUNCTION("""COMPUTED_VALUE"""),248002)</f>
        <v>248002</v>
      </c>
      <c r="D177" s="3" t="str">
        <f ca="1">IFERROR(__xludf.DUMMYFUNCTION("""COMPUTED_VALUE"""),"Female")</f>
        <v>Female</v>
      </c>
      <c r="E177" s="1" t="str">
        <f ca="1">IFERROR(__xludf.DUMMYFUNCTION("""COMPUTED_VALUE"""),"My Parents")</f>
        <v>My Parents</v>
      </c>
      <c r="F177" s="1" t="str">
        <f ca="1">IFERROR(__xludf.DUMMYFUNCTION("""COMPUTED_VALUE"""),"Yes, I will earn and do that")</f>
        <v>Yes, I will earn and do that</v>
      </c>
      <c r="G177" s="1" t="str">
        <f ca="1">IFERROR(__xludf.DUMMYFUNCTION("""COMPUTED_VALUE"""),"Will work for 3 years or more")</f>
        <v>Will work for 3 years or more</v>
      </c>
      <c r="H177" s="1" t="str">
        <f ca="1">IFERROR(__xludf.DUMMYFUNCTION("""COMPUTED_VALUE"""),"No")</f>
        <v>No</v>
      </c>
      <c r="I177" s="1" t="str">
        <f ca="1">IFERROR(__xludf.DUMMYFUNCTION("""COMPUTED_VALUE"""),"Will NOT work for them")</f>
        <v>Will NOT work for them</v>
      </c>
      <c r="J177" s="1">
        <f ca="1">IFERROR(__xludf.DUMMYFUNCTION("""COMPUTED_VALUE"""),7)</f>
        <v>7</v>
      </c>
      <c r="K177" s="1" t="str">
        <f ca="1">IFERROR(__xludf.DUMMYFUNCTION("""COMPUTED_VALUE"""),"Every Day Office Environment")</f>
        <v>Every Day Office Environment</v>
      </c>
      <c r="L177" s="1" t="str">
        <f ca="1">IFERROR(__xludf.DUMMYFUNCTION("""COMPUTED_VALUE"""),"Employer who pushes your limits by enabling an learning environment, and rewards you at the end")</f>
        <v>Employer who pushes your limits by enabling an learning environment, and rewards you at the end</v>
      </c>
      <c r="M177" s="1" t="str">
        <f ca="1">IFERROR(__xludf.DUMMYFUNCTION("""COMPUTED_VALUE"""),"Instructor or Expert Learning Programs, Learning by observing others")</f>
        <v>Instructor or Expert Learning Programs, Learning by observing others</v>
      </c>
      <c r="N177"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177" s="1" t="str">
        <f ca="1">IFERROR(__xludf.DUMMYFUNCTION("""COMPUTED_VALUE"""),"Manager who explains what is expected, sets a goal and helps achieve it")</f>
        <v>Manager who explains what is expected, sets a goal and helps achieve it</v>
      </c>
      <c r="P177" s="1" t="str">
        <f ca="1">IFERROR(__xludf.DUMMYFUNCTION("""COMPUTED_VALUE"""),"Work with 5 to 6 people in my team")</f>
        <v>Work with 5 to 6 people in my team</v>
      </c>
      <c r="Q177" s="1"/>
    </row>
    <row r="178" spans="1:17" ht="13.2" x14ac:dyDescent="0.25">
      <c r="A178" s="2">
        <f ca="1">IFERROR(__xludf.DUMMYFUNCTION("""COMPUTED_VALUE"""),44915.7121176735)</f>
        <v>44915.712117673502</v>
      </c>
      <c r="B178" s="1" t="str">
        <f ca="1">IFERROR(__xludf.DUMMYFUNCTION("""COMPUTED_VALUE"""),"India")</f>
        <v>India</v>
      </c>
      <c r="C178" s="1">
        <f ca="1">IFERROR(__xludf.DUMMYFUNCTION("""COMPUTED_VALUE"""),502285)</f>
        <v>502285</v>
      </c>
      <c r="D178" s="3" t="str">
        <f ca="1">IFERROR(__xludf.DUMMYFUNCTION("""COMPUTED_VALUE"""),"Male")</f>
        <v>Male</v>
      </c>
      <c r="E178" s="1" t="str">
        <f ca="1">IFERROR(__xludf.DUMMYFUNCTION("""COMPUTED_VALUE"""),"My Parents")</f>
        <v>My Parents</v>
      </c>
      <c r="F178" s="1" t="str">
        <f ca="1">IFERROR(__xludf.DUMMYFUNCTION("""COMPUTED_VALUE"""),"No I would not be pursuing Higher Education outside of India")</f>
        <v>No I would not be pursuing Higher Education outside of India</v>
      </c>
      <c r="G178" s="1" t="str">
        <f ca="1">IFERROR(__xludf.DUMMYFUNCTION("""COMPUTED_VALUE"""),"This will be hard to do, but if it is the right company I would try")</f>
        <v>This will be hard to do, but if it is the right company I would try</v>
      </c>
      <c r="H178" s="1" t="str">
        <f ca="1">IFERROR(__xludf.DUMMYFUNCTION("""COMPUTED_VALUE"""),"Yes")</f>
        <v>Yes</v>
      </c>
      <c r="I178" s="1" t="str">
        <f ca="1">IFERROR(__xludf.DUMMYFUNCTION("""COMPUTED_VALUE"""),"Will work for them")</f>
        <v>Will work for them</v>
      </c>
      <c r="J178" s="1">
        <f ca="1">IFERROR(__xludf.DUMMYFUNCTION("""COMPUTED_VALUE"""),8)</f>
        <v>8</v>
      </c>
      <c r="K178" s="1" t="str">
        <f ca="1">IFERROR(__xludf.DUMMYFUNCTION("""COMPUTED_VALUE"""),"Every Day Office Environment")</f>
        <v>Every Day Office Environment</v>
      </c>
      <c r="L178" s="1" t="str">
        <f ca="1">IFERROR(__xludf.DUMMYFUNCTION("""COMPUTED_VALUE"""),"Employer who rewards learning and enables that environment")</f>
        <v>Employer who rewards learning and enables that environment</v>
      </c>
      <c r="M178" s="1" t="str">
        <f ca="1">IFERROR(__xludf.DUMMYFUNCTION("""COMPUTED_VALUE"""),"Self Paced Learning Portals, Instructor or Expert Learning Programs")</f>
        <v>Self Paced Learning Portals, Instructor or Expert Learning Programs</v>
      </c>
      <c r="N17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78" s="1" t="str">
        <f ca="1">IFERROR(__xludf.DUMMYFUNCTION("""COMPUTED_VALUE"""),"Manager who sets goal and helps me achieve it")</f>
        <v>Manager who sets goal and helps me achieve it</v>
      </c>
      <c r="P178" s="1" t="str">
        <f ca="1">IFERROR(__xludf.DUMMYFUNCTION("""COMPUTED_VALUE"""),"Work with 5 to 6 people in my team")</f>
        <v>Work with 5 to 6 people in my team</v>
      </c>
      <c r="Q178" s="1"/>
    </row>
    <row r="179" spans="1:17" ht="13.2" x14ac:dyDescent="0.25">
      <c r="A179" s="2">
        <f ca="1">IFERROR(__xludf.DUMMYFUNCTION("""COMPUTED_VALUE"""),44915.7211283101)</f>
        <v>44915.721128310099</v>
      </c>
      <c r="B179" s="1" t="str">
        <f ca="1">IFERROR(__xludf.DUMMYFUNCTION("""COMPUTED_VALUE"""),"India")</f>
        <v>India</v>
      </c>
      <c r="C179" s="1">
        <f ca="1">IFERROR(__xludf.DUMMYFUNCTION("""COMPUTED_VALUE"""),123106)</f>
        <v>123106</v>
      </c>
      <c r="D179" s="3" t="str">
        <f ca="1">IFERROR(__xludf.DUMMYFUNCTION("""COMPUTED_VALUE"""),"Male")</f>
        <v>Male</v>
      </c>
      <c r="E179" s="1" t="str">
        <f ca="1">IFERROR(__xludf.DUMMYFUNCTION("""COMPUTED_VALUE"""),"Influencers who had successful careers")</f>
        <v>Influencers who had successful careers</v>
      </c>
      <c r="F179" s="1" t="str">
        <f ca="1">IFERROR(__xludf.DUMMYFUNCTION("""COMPUTED_VALUE"""),"No, But if someone could bare the cost I will")</f>
        <v>No, But if someone could bare the cost I will</v>
      </c>
      <c r="G179" s="1" t="str">
        <f ca="1">IFERROR(__xludf.DUMMYFUNCTION("""COMPUTED_VALUE"""),"Will work for 3 years or more")</f>
        <v>Will work for 3 years or more</v>
      </c>
      <c r="H179" s="1" t="str">
        <f ca="1">IFERROR(__xludf.DUMMYFUNCTION("""COMPUTED_VALUE"""),"No")</f>
        <v>No</v>
      </c>
      <c r="I179" s="1" t="str">
        <f ca="1">IFERROR(__xludf.DUMMYFUNCTION("""COMPUTED_VALUE"""),"Will NOT work for them")</f>
        <v>Will NOT work for them</v>
      </c>
      <c r="J179" s="1">
        <f ca="1">IFERROR(__xludf.DUMMYFUNCTION("""COMPUTED_VALUE"""),3)</f>
        <v>3</v>
      </c>
      <c r="K179" s="1" t="str">
        <f ca="1">IFERROR(__xludf.DUMMYFUNCTION("""COMPUTED_VALUE"""),"Hybrid Working Environment with less than 15 days a month at office")</f>
        <v>Hybrid Working Environment with less than 15 days a month at office</v>
      </c>
      <c r="L179" s="1" t="str">
        <f ca="1">IFERROR(__xludf.DUMMYFUNCTION("""COMPUTED_VALUE"""),"Employer who pushes your limits by enabling an learning environment, and rewards you at the end")</f>
        <v>Employer who pushes your limits by enabling an learning environment, and rewards you at the end</v>
      </c>
      <c r="M179" s="1" t="str">
        <f ca="1">IFERROR(__xludf.DUMMYFUNCTION("""COMPUTED_VALUE"""),"Self Paced Learning Portals, Learning by observing others")</f>
        <v>Self Paced Learning Portals, Learning by observing others</v>
      </c>
      <c r="N179"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179" s="1" t="str">
        <f ca="1">IFERROR(__xludf.DUMMYFUNCTION("""COMPUTED_VALUE"""),"Manager who explains what is expected, sets a goal and helps achieve it")</f>
        <v>Manager who explains what is expected, sets a goal and helps achieve it</v>
      </c>
      <c r="P179" s="1" t="str">
        <f ca="1">IFERROR(__xludf.DUMMYFUNCTION("""COMPUTED_VALUE"""),"Work with 5 to 6 people in my team")</f>
        <v>Work with 5 to 6 people in my team</v>
      </c>
      <c r="Q179" s="1"/>
    </row>
    <row r="180" spans="1:17" ht="13.2" x14ac:dyDescent="0.25">
      <c r="A180" s="2">
        <f ca="1">IFERROR(__xludf.DUMMYFUNCTION("""COMPUTED_VALUE"""),44915.7309124074)</f>
        <v>44915.730912407402</v>
      </c>
      <c r="B180" s="1" t="str">
        <f ca="1">IFERROR(__xludf.DUMMYFUNCTION("""COMPUTED_VALUE"""),"India")</f>
        <v>India</v>
      </c>
      <c r="C180" s="1">
        <f ca="1">IFERROR(__xludf.DUMMYFUNCTION("""COMPUTED_VALUE"""),365541)</f>
        <v>365541</v>
      </c>
      <c r="D180" s="3" t="str">
        <f ca="1">IFERROR(__xludf.DUMMYFUNCTION("""COMPUTED_VALUE"""),"Female")</f>
        <v>Female</v>
      </c>
      <c r="E180" s="1" t="str">
        <f ca="1">IFERROR(__xludf.DUMMYFUNCTION("""COMPUTED_VALUE"""),"Social Media like LinkedIn")</f>
        <v>Social Media like LinkedIn</v>
      </c>
      <c r="F180" s="1" t="str">
        <f ca="1">IFERROR(__xludf.DUMMYFUNCTION("""COMPUTED_VALUE"""),"Yes, I will earn and do that")</f>
        <v>Yes, I will earn and do that</v>
      </c>
      <c r="G180" s="1" t="str">
        <f ca="1">IFERROR(__xludf.DUMMYFUNCTION("""COMPUTED_VALUE"""),"Will work for 3 years or more")</f>
        <v>Will work for 3 years or more</v>
      </c>
      <c r="H180" s="1" t="str">
        <f ca="1">IFERROR(__xludf.DUMMYFUNCTION("""COMPUTED_VALUE"""),"No")</f>
        <v>No</v>
      </c>
      <c r="I180" s="1" t="str">
        <f ca="1">IFERROR(__xludf.DUMMYFUNCTION("""COMPUTED_VALUE"""),"Will NOT work for them")</f>
        <v>Will NOT work for them</v>
      </c>
      <c r="J180" s="1">
        <f ca="1">IFERROR(__xludf.DUMMYFUNCTION("""COMPUTED_VALUE"""),5)</f>
        <v>5</v>
      </c>
      <c r="K180" s="1" t="str">
        <f ca="1">IFERROR(__xludf.DUMMYFUNCTION("""COMPUTED_VALUE"""),"Fully Remote with Options to travel as and when needed")</f>
        <v>Fully Remote with Options to travel as and when needed</v>
      </c>
      <c r="L180" s="1" t="str">
        <f ca="1">IFERROR(__xludf.DUMMYFUNCTION("""COMPUTED_VALUE"""),"Employer who appreciates learning and enables that environment")</f>
        <v>Employer who appreciates learning and enables that environment</v>
      </c>
      <c r="M180" s="1" t="str">
        <f ca="1">IFERROR(__xludf.DUMMYFUNCTION("""COMPUTED_VALUE"""),"Self Paced Learning Portals, Trial and error by doing side projects within the company")</f>
        <v>Self Paced Learning Portals, Trial and error by doing side projects within the company</v>
      </c>
      <c r="N180"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80" s="1" t="str">
        <f ca="1">IFERROR(__xludf.DUMMYFUNCTION("""COMPUTED_VALUE"""),"Manager who clearly describes what she/he needs")</f>
        <v>Manager who clearly describes what she/he needs</v>
      </c>
      <c r="P180" s="1" t="str">
        <f ca="1">IFERROR(__xludf.DUMMYFUNCTION("""COMPUTED_VALUE"""),"Work alone")</f>
        <v>Work alone</v>
      </c>
      <c r="Q180" s="1"/>
    </row>
    <row r="181" spans="1:17" ht="13.2" x14ac:dyDescent="0.25">
      <c r="A181" s="2">
        <f ca="1">IFERROR(__xludf.DUMMYFUNCTION("""COMPUTED_VALUE"""),44915.7437567361)</f>
        <v>44915.743756736098</v>
      </c>
      <c r="B181" s="1" t="str">
        <f ca="1">IFERROR(__xludf.DUMMYFUNCTION("""COMPUTED_VALUE"""),"India")</f>
        <v>India</v>
      </c>
      <c r="C181" s="1">
        <f ca="1">IFERROR(__xludf.DUMMYFUNCTION("""COMPUTED_VALUE"""),425001)</f>
        <v>425001</v>
      </c>
      <c r="D181" s="3" t="str">
        <f ca="1">IFERROR(__xludf.DUMMYFUNCTION("""COMPUTED_VALUE"""),"Male")</f>
        <v>Male</v>
      </c>
      <c r="E181" s="1" t="str">
        <f ca="1">IFERROR(__xludf.DUMMYFUNCTION("""COMPUTED_VALUE"""),"People who have changed the world for better")</f>
        <v>People who have changed the world for better</v>
      </c>
      <c r="F181" s="1" t="str">
        <f ca="1">IFERROR(__xludf.DUMMYFUNCTION("""COMPUTED_VALUE"""),"Yes, I will earn and do that")</f>
        <v>Yes, I will earn and do that</v>
      </c>
      <c r="G181" s="1" t="str">
        <f ca="1">IFERROR(__xludf.DUMMYFUNCTION("""COMPUTED_VALUE"""),"This will be hard to do, but if it is the right company I would try")</f>
        <v>This will be hard to do, but if it is the right company I would try</v>
      </c>
      <c r="H181" s="1" t="str">
        <f ca="1">IFERROR(__xludf.DUMMYFUNCTION("""COMPUTED_VALUE"""),"No")</f>
        <v>No</v>
      </c>
      <c r="I181" s="1" t="str">
        <f ca="1">IFERROR(__xludf.DUMMYFUNCTION("""COMPUTED_VALUE"""),"Will NOT work for them")</f>
        <v>Will NOT work for them</v>
      </c>
      <c r="J181" s="1">
        <f ca="1">IFERROR(__xludf.DUMMYFUNCTION("""COMPUTED_VALUE"""),4)</f>
        <v>4</v>
      </c>
      <c r="K181" s="1" t="str">
        <f ca="1">IFERROR(__xludf.DUMMYFUNCTION("""COMPUTED_VALUE"""),"Hybrid Working Environment with less than 15 days a month at office")</f>
        <v>Hybrid Working Environment with less than 15 days a month at office</v>
      </c>
      <c r="L181" s="1" t="str">
        <f ca="1">IFERROR(__xludf.DUMMYFUNCTION("""COMPUTED_VALUE"""),"Employer who rewards learning and enables that environment")</f>
        <v>Employer who rewards learning and enables that environment</v>
      </c>
      <c r="M181" s="1" t="str">
        <f ca="1">IFERROR(__xludf.DUMMYFUNCTION("""COMPUTED_VALUE"""),"Instructor or Expert Learning Programs, Learning by observing others")</f>
        <v>Instructor or Expert Learning Programs, Learning by observing others</v>
      </c>
      <c r="N18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1" s="1" t="str">
        <f ca="1">IFERROR(__xludf.DUMMYFUNCTION("""COMPUTED_VALUE"""),"Manager who sets targets and expects me to achieve it")</f>
        <v>Manager who sets targets and expects me to achieve it</v>
      </c>
      <c r="P181" s="1" t="str">
        <f ca="1">IFERROR(__xludf.DUMMYFUNCTION("""COMPUTED_VALUE"""),"Work with 7 to 10 or more people in my team")</f>
        <v>Work with 7 to 10 or more people in my team</v>
      </c>
      <c r="Q181" s="1"/>
    </row>
    <row r="182" spans="1:17" ht="13.2" x14ac:dyDescent="0.25">
      <c r="A182" s="2">
        <f ca="1">IFERROR(__xludf.DUMMYFUNCTION("""COMPUTED_VALUE"""),44915.7467836111)</f>
        <v>44915.746783611103</v>
      </c>
      <c r="B182" s="1" t="str">
        <f ca="1">IFERROR(__xludf.DUMMYFUNCTION("""COMPUTED_VALUE"""),"India")</f>
        <v>India</v>
      </c>
      <c r="C182" s="1">
        <f ca="1">IFERROR(__xludf.DUMMYFUNCTION("""COMPUTED_VALUE"""),425001)</f>
        <v>425001</v>
      </c>
      <c r="D182" s="3" t="str">
        <f ca="1">IFERROR(__xludf.DUMMYFUNCTION("""COMPUTED_VALUE"""),"Male")</f>
        <v>Male</v>
      </c>
      <c r="E182" s="1" t="str">
        <f ca="1">IFERROR(__xludf.DUMMYFUNCTION("""COMPUTED_VALUE"""),"My Parents")</f>
        <v>My Parents</v>
      </c>
      <c r="F182" s="1" t="str">
        <f ca="1">IFERROR(__xludf.DUMMYFUNCTION("""COMPUTED_VALUE"""),"Yes, I will earn and do that")</f>
        <v>Yes, I will earn and do that</v>
      </c>
      <c r="G182" s="1" t="str">
        <f ca="1">IFERROR(__xludf.DUMMYFUNCTION("""COMPUTED_VALUE"""),"This will be hard to do, but if it is the right company I would try")</f>
        <v>This will be hard to do, but if it is the right company I would try</v>
      </c>
      <c r="H182" s="1" t="str">
        <f ca="1">IFERROR(__xludf.DUMMYFUNCTION("""COMPUTED_VALUE"""),"No")</f>
        <v>No</v>
      </c>
      <c r="I182" s="1" t="str">
        <f ca="1">IFERROR(__xludf.DUMMYFUNCTION("""COMPUTED_VALUE"""),"Will NOT work for them")</f>
        <v>Will NOT work for them</v>
      </c>
      <c r="J182" s="1">
        <f ca="1">IFERROR(__xludf.DUMMYFUNCTION("""COMPUTED_VALUE"""),3)</f>
        <v>3</v>
      </c>
      <c r="K182" s="1" t="str">
        <f ca="1">IFERROR(__xludf.DUMMYFUNCTION("""COMPUTED_VALUE"""),"Fully Remote with Options to travel as and when needed")</f>
        <v>Fully Remote with Options to travel as and when needed</v>
      </c>
      <c r="L182" s="1" t="str">
        <f ca="1">IFERROR(__xludf.DUMMYFUNCTION("""COMPUTED_VALUE"""),"Employer who appreciates learning and enables that environment")</f>
        <v>Employer who appreciates learning and enables that environment</v>
      </c>
      <c r="M182" s="1" t="str">
        <f ca="1">IFERROR(__xludf.DUMMYFUNCTION("""COMPUTED_VALUE"""),"Self Paced Learning Portals, Learning by observing others")</f>
        <v>Self Paced Learning Portals, Learning by observing others</v>
      </c>
      <c r="N182"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82" s="1" t="str">
        <f ca="1">IFERROR(__xludf.DUMMYFUNCTION("""COMPUTED_VALUE"""),"Manager who sets goal and helps me achieve it")</f>
        <v>Manager who sets goal and helps me achieve it</v>
      </c>
      <c r="P182" s="1" t="str">
        <f ca="1">IFERROR(__xludf.DUMMYFUNCTION("""COMPUTED_VALUE"""),"Work alone")</f>
        <v>Work alone</v>
      </c>
      <c r="Q182" s="1"/>
    </row>
    <row r="183" spans="1:17" ht="13.2" x14ac:dyDescent="0.25">
      <c r="A183" s="2">
        <f ca="1">IFERROR(__xludf.DUMMYFUNCTION("""COMPUTED_VALUE"""),44915.7472612268)</f>
        <v>44915.747261226803</v>
      </c>
      <c r="B183" s="1" t="str">
        <f ca="1">IFERROR(__xludf.DUMMYFUNCTION("""COMPUTED_VALUE"""),"India")</f>
        <v>India</v>
      </c>
      <c r="C183" s="1">
        <f ca="1">IFERROR(__xludf.DUMMYFUNCTION("""COMPUTED_VALUE"""),424206)</f>
        <v>424206</v>
      </c>
      <c r="D183" s="3" t="str">
        <f ca="1">IFERROR(__xludf.DUMMYFUNCTION("""COMPUTED_VALUE"""),"Male")</f>
        <v>Male</v>
      </c>
      <c r="E183" s="1" t="str">
        <f ca="1">IFERROR(__xludf.DUMMYFUNCTION("""COMPUTED_VALUE"""),"My Parents")</f>
        <v>My Parents</v>
      </c>
      <c r="F183" s="1" t="str">
        <f ca="1">IFERROR(__xludf.DUMMYFUNCTION("""COMPUTED_VALUE"""),"No I would not be pursuing Higher Education outside of India")</f>
        <v>No I would not be pursuing Higher Education outside of India</v>
      </c>
      <c r="G183" s="1" t="str">
        <f ca="1">IFERROR(__xludf.DUMMYFUNCTION("""COMPUTED_VALUE"""),"Will work for 3 years or more")</f>
        <v>Will work for 3 years or more</v>
      </c>
      <c r="H183" s="1" t="str">
        <f ca="1">IFERROR(__xludf.DUMMYFUNCTION("""COMPUTED_VALUE"""),"No")</f>
        <v>No</v>
      </c>
      <c r="I183" s="1" t="str">
        <f ca="1">IFERROR(__xludf.DUMMYFUNCTION("""COMPUTED_VALUE"""),"Will NOT work for them")</f>
        <v>Will NOT work for them</v>
      </c>
      <c r="J183" s="1">
        <f ca="1">IFERROR(__xludf.DUMMYFUNCTION("""COMPUTED_VALUE"""),7)</f>
        <v>7</v>
      </c>
      <c r="K183" s="1" t="str">
        <f ca="1">IFERROR(__xludf.DUMMYFUNCTION("""COMPUTED_VALUE"""),"Fully Remote with Options to travel as and when needed")</f>
        <v>Fully Remote with Options to travel as and when needed</v>
      </c>
      <c r="L183" s="1" t="str">
        <f ca="1">IFERROR(__xludf.DUMMYFUNCTION("""COMPUTED_VALUE"""),"Employer who pushes your limits by enabling an learning environment, and rewards you at the end")</f>
        <v>Employer who pushes your limits by enabling an learning environment, and rewards you at the end</v>
      </c>
      <c r="M183" s="1" t="str">
        <f ca="1">IFERROR(__xludf.DUMMYFUNCTION("""COMPUTED_VALUE"""),"Self Paced Learning Portals, Trial and error by doing side projects within the company")</f>
        <v>Self Paced Learning Portals, Trial and error by doing side projects within the company</v>
      </c>
      <c r="N183"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83" s="1" t="str">
        <f ca="1">IFERROR(__xludf.DUMMYFUNCTION("""COMPUTED_VALUE"""),"Manager who explains what is expected, sets a goal and helps achieve it")</f>
        <v>Manager who explains what is expected, sets a goal and helps achieve it</v>
      </c>
      <c r="P183" s="1" t="str">
        <f ca="1">IFERROR(__xludf.DUMMYFUNCTION("""COMPUTED_VALUE"""),"Work with more than 10 people in my team")</f>
        <v>Work with more than 10 people in my team</v>
      </c>
      <c r="Q183" s="1"/>
    </row>
    <row r="184" spans="1:17" ht="13.2" x14ac:dyDescent="0.25">
      <c r="A184" s="2">
        <f ca="1">IFERROR(__xludf.DUMMYFUNCTION("""COMPUTED_VALUE"""),44915.7488130324)</f>
        <v>44915.748813032398</v>
      </c>
      <c r="B184" s="1" t="str">
        <f ca="1">IFERROR(__xludf.DUMMYFUNCTION("""COMPUTED_VALUE"""),"India")</f>
        <v>India</v>
      </c>
      <c r="C184" s="1">
        <f ca="1">IFERROR(__xludf.DUMMYFUNCTION("""COMPUTED_VALUE"""),122004)</f>
        <v>122004</v>
      </c>
      <c r="D184" s="3" t="str">
        <f ca="1">IFERROR(__xludf.DUMMYFUNCTION("""COMPUTED_VALUE"""),"Male")</f>
        <v>Male</v>
      </c>
      <c r="E184" s="1" t="str">
        <f ca="1">IFERROR(__xludf.DUMMYFUNCTION("""COMPUTED_VALUE"""),"Social Media like LinkedIn")</f>
        <v>Social Media like LinkedIn</v>
      </c>
      <c r="F184" s="1" t="str">
        <f ca="1">IFERROR(__xludf.DUMMYFUNCTION("""COMPUTED_VALUE"""),"No, But if someone could bare the cost I will")</f>
        <v>No, But if someone could bare the cost I will</v>
      </c>
      <c r="G184" s="1" t="str">
        <f ca="1">IFERROR(__xludf.DUMMYFUNCTION("""COMPUTED_VALUE"""),"This will be hard to do, but if it is the right company I would try")</f>
        <v>This will be hard to do, but if it is the right company I would try</v>
      </c>
      <c r="H184" s="1" t="str">
        <f ca="1">IFERROR(__xludf.DUMMYFUNCTION("""COMPUTED_VALUE"""),"Yes")</f>
        <v>Yes</v>
      </c>
      <c r="I184" s="1" t="str">
        <f ca="1">IFERROR(__xludf.DUMMYFUNCTION("""COMPUTED_VALUE"""),"Will NOT work for them")</f>
        <v>Will NOT work for them</v>
      </c>
      <c r="J184" s="1">
        <f ca="1">IFERROR(__xludf.DUMMYFUNCTION("""COMPUTED_VALUE"""),3)</f>
        <v>3</v>
      </c>
      <c r="K184" s="1" t="str">
        <f ca="1">IFERROR(__xludf.DUMMYFUNCTION("""COMPUTED_VALUE"""),"Hybrid Working Environment with less than 15 days a month at office")</f>
        <v>Hybrid Working Environment with less than 15 days a month at office</v>
      </c>
      <c r="L184" s="1" t="str">
        <f ca="1">IFERROR(__xludf.DUMMYFUNCTION("""COMPUTED_VALUE"""),"Employer who pushes your limits by enabling an learning environment, and rewards you at the end")</f>
        <v>Employer who pushes your limits by enabling an learning environment, and rewards you at the end</v>
      </c>
      <c r="M184" s="1" t="str">
        <f ca="1">IFERROR(__xludf.DUMMYFUNCTION("""COMPUTED_VALUE"""),"Instructor or Expert Learning Programs, Trial and error by doing side projects within the company")</f>
        <v>Instructor or Expert Learning Programs, Trial and error by doing side projects within the company</v>
      </c>
      <c r="N184"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184" s="1" t="str">
        <f ca="1">IFERROR(__xludf.DUMMYFUNCTION("""COMPUTED_VALUE"""),"Manager who explains what is expected, sets a goal and helps achieve it")</f>
        <v>Manager who explains what is expected, sets a goal and helps achieve it</v>
      </c>
      <c r="P184" s="1" t="str">
        <f ca="1">IFERROR(__xludf.DUMMYFUNCTION("""COMPUTED_VALUE"""),"Work alone, Work with 2 to 3 people in my team, Work with 5 to 6 people in my team")</f>
        <v>Work alone, Work with 2 to 3 people in my team, Work with 5 to 6 people in my team</v>
      </c>
      <c r="Q184" s="1"/>
    </row>
    <row r="185" spans="1:17" ht="13.2" x14ac:dyDescent="0.25">
      <c r="A185" s="2">
        <f ca="1">IFERROR(__xludf.DUMMYFUNCTION("""COMPUTED_VALUE"""),44915.7590478935)</f>
        <v>44915.759047893502</v>
      </c>
      <c r="B185" s="1" t="str">
        <f ca="1">IFERROR(__xludf.DUMMYFUNCTION("""COMPUTED_VALUE"""),"India")</f>
        <v>India</v>
      </c>
      <c r="C185" s="1">
        <f ca="1">IFERROR(__xludf.DUMMYFUNCTION("""COMPUTED_VALUE"""),246701)</f>
        <v>246701</v>
      </c>
      <c r="D185" s="3" t="str">
        <f ca="1">IFERROR(__xludf.DUMMYFUNCTION("""COMPUTED_VALUE"""),"Female")</f>
        <v>Female</v>
      </c>
      <c r="E185" s="1" t="str">
        <f ca="1">IFERROR(__xludf.DUMMYFUNCTION("""COMPUTED_VALUE"""),"My Parents")</f>
        <v>My Parents</v>
      </c>
      <c r="F185" s="1" t="str">
        <f ca="1">IFERROR(__xludf.DUMMYFUNCTION("""COMPUTED_VALUE"""),"Yes, I will earn and do that")</f>
        <v>Yes, I will earn and do that</v>
      </c>
      <c r="G185" s="1" t="str">
        <f ca="1">IFERROR(__xludf.DUMMYFUNCTION("""COMPUTED_VALUE"""),"This will be hard to do, but if it is the right company I would try")</f>
        <v>This will be hard to do, but if it is the right company I would try</v>
      </c>
      <c r="H185" s="1" t="str">
        <f ca="1">IFERROR(__xludf.DUMMYFUNCTION("""COMPUTED_VALUE"""),"No")</f>
        <v>No</v>
      </c>
      <c r="I185" s="1" t="str">
        <f ca="1">IFERROR(__xludf.DUMMYFUNCTION("""COMPUTED_VALUE"""),"Will NOT work for them")</f>
        <v>Will NOT work for them</v>
      </c>
      <c r="J185" s="1">
        <f ca="1">IFERROR(__xludf.DUMMYFUNCTION("""COMPUTED_VALUE"""),5)</f>
        <v>5</v>
      </c>
      <c r="K185" s="1" t="str">
        <f ca="1">IFERROR(__xludf.DUMMYFUNCTION("""COMPUTED_VALUE"""),"Hybrid Working Environment with less than 15 days a month at office")</f>
        <v>Hybrid Working Environment with less than 15 days a month at office</v>
      </c>
      <c r="L185" s="1" t="str">
        <f ca="1">IFERROR(__xludf.DUMMYFUNCTION("""COMPUTED_VALUE"""),"Employer who pushes your limits by enabling an learning environment, and rewards you at the end")</f>
        <v>Employer who pushes your limits by enabling an learning environment, and rewards you at the end</v>
      </c>
      <c r="M185" s="1" t="str">
        <f ca="1">IFERROR(__xludf.DUMMYFUNCTION("""COMPUTED_VALUE"""),"Self Paced Learning Portals, Instructor or Expert Learning Programs")</f>
        <v>Self Paced Learning Portals, Instructor or Expert Learning Programs</v>
      </c>
      <c r="N18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85" s="1" t="str">
        <f ca="1">IFERROR(__xludf.DUMMYFUNCTION("""COMPUTED_VALUE"""),"Manager who explains what is expected, sets a goal and helps achieve it")</f>
        <v>Manager who explains what is expected, sets a goal and helps achieve it</v>
      </c>
      <c r="P185" s="1" t="str">
        <f ca="1">IFERROR(__xludf.DUMMYFUNCTION("""COMPUTED_VALUE"""),"Work with 2 to 3 people in my team")</f>
        <v>Work with 2 to 3 people in my team</v>
      </c>
      <c r="Q185" s="1"/>
    </row>
    <row r="186" spans="1:17" ht="13.2" x14ac:dyDescent="0.25">
      <c r="A186" s="2">
        <f ca="1">IFERROR(__xludf.DUMMYFUNCTION("""COMPUTED_VALUE"""),44915.77179603)</f>
        <v>44915.77179603</v>
      </c>
      <c r="B186" s="1" t="str">
        <f ca="1">IFERROR(__xludf.DUMMYFUNCTION("""COMPUTED_VALUE"""),"India")</f>
        <v>India</v>
      </c>
      <c r="C186" s="1">
        <f ca="1">IFERROR(__xludf.DUMMYFUNCTION("""COMPUTED_VALUE"""),412308)</f>
        <v>412308</v>
      </c>
      <c r="D186" s="3" t="str">
        <f ca="1">IFERROR(__xludf.DUMMYFUNCTION("""COMPUTED_VALUE"""),"Male")</f>
        <v>Male</v>
      </c>
      <c r="E186" s="1" t="str">
        <f ca="1">IFERROR(__xludf.DUMMYFUNCTION("""COMPUTED_VALUE"""),"People who have changed the world for better")</f>
        <v>People who have changed the world for better</v>
      </c>
      <c r="F186" s="1" t="str">
        <f ca="1">IFERROR(__xludf.DUMMYFUNCTION("""COMPUTED_VALUE"""),"No I would not be pursuing Higher Education outside of India")</f>
        <v>No I would not be pursuing Higher Education outside of India</v>
      </c>
      <c r="G186" s="1" t="str">
        <f ca="1">IFERROR(__xludf.DUMMYFUNCTION("""COMPUTED_VALUE"""),"Will work for 3 years or more")</f>
        <v>Will work for 3 years or more</v>
      </c>
      <c r="H186" s="1" t="str">
        <f ca="1">IFERROR(__xludf.DUMMYFUNCTION("""COMPUTED_VALUE"""),"No")</f>
        <v>No</v>
      </c>
      <c r="I186" s="1" t="str">
        <f ca="1">IFERROR(__xludf.DUMMYFUNCTION("""COMPUTED_VALUE"""),"Will NOT work for them")</f>
        <v>Will NOT work for them</v>
      </c>
      <c r="J186" s="1">
        <f ca="1">IFERROR(__xludf.DUMMYFUNCTION("""COMPUTED_VALUE"""),1)</f>
        <v>1</v>
      </c>
      <c r="K186" s="1" t="str">
        <f ca="1">IFERROR(__xludf.DUMMYFUNCTION("""COMPUTED_VALUE"""),"Every Day Office Environment")</f>
        <v>Every Day Office Environment</v>
      </c>
      <c r="L186" s="1" t="str">
        <f ca="1">IFERROR(__xludf.DUMMYFUNCTION("""COMPUTED_VALUE"""),"Employer who pushes your limits by enabling an learning environment, and rewards you at the end")</f>
        <v>Employer who pushes your limits by enabling an learning environment, and rewards you at the end</v>
      </c>
      <c r="M186" s="1" t="str">
        <f ca="1">IFERROR(__xludf.DUMMYFUNCTION("""COMPUTED_VALUE"""),"Self Paced Learning Portals, Instructor or Expert Learning Programs")</f>
        <v>Self Paced Learning Portals, Instructor or Expert Learning Programs</v>
      </c>
      <c r="N18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6" s="1" t="str">
        <f ca="1">IFERROR(__xludf.DUMMYFUNCTION("""COMPUTED_VALUE"""),"Manager who sets goal and helps me achieve it")</f>
        <v>Manager who sets goal and helps me achieve it</v>
      </c>
      <c r="P186" s="1" t="str">
        <f ca="1">IFERROR(__xludf.DUMMYFUNCTION("""COMPUTED_VALUE"""),"Work with more than 10 people in my team")</f>
        <v>Work with more than 10 people in my team</v>
      </c>
      <c r="Q186" s="1"/>
    </row>
    <row r="187" spans="1:17" ht="13.2" x14ac:dyDescent="0.25">
      <c r="A187" s="2">
        <f ca="1">IFERROR(__xludf.DUMMYFUNCTION("""COMPUTED_VALUE"""),44915.7724526736)</f>
        <v>44915.772452673598</v>
      </c>
      <c r="B187" s="1" t="str">
        <f ca="1">IFERROR(__xludf.DUMMYFUNCTION("""COMPUTED_VALUE"""),"India")</f>
        <v>India</v>
      </c>
      <c r="C187" s="1">
        <f ca="1">IFERROR(__xludf.DUMMYFUNCTION("""COMPUTED_VALUE"""),248001)</f>
        <v>248001</v>
      </c>
      <c r="D187" s="3" t="str">
        <f ca="1">IFERROR(__xludf.DUMMYFUNCTION("""COMPUTED_VALUE"""),"Female")</f>
        <v>Female</v>
      </c>
      <c r="E187" s="1" t="str">
        <f ca="1">IFERROR(__xludf.DUMMYFUNCTION("""COMPUTED_VALUE"""),"Social Media like LinkedIn")</f>
        <v>Social Media like LinkedIn</v>
      </c>
      <c r="F187" s="1" t="str">
        <f ca="1">IFERROR(__xludf.DUMMYFUNCTION("""COMPUTED_VALUE"""),"No, But if someone could bare the cost I will")</f>
        <v>No, But if someone could bare the cost I will</v>
      </c>
      <c r="G187" s="1" t="str">
        <f ca="1">IFERROR(__xludf.DUMMYFUNCTION("""COMPUTED_VALUE"""),"Will work for 3 years or more")</f>
        <v>Will work for 3 years or more</v>
      </c>
      <c r="H187" s="1" t="str">
        <f ca="1">IFERROR(__xludf.DUMMYFUNCTION("""COMPUTED_VALUE"""),"No")</f>
        <v>No</v>
      </c>
      <c r="I187" s="1" t="str">
        <f ca="1">IFERROR(__xludf.DUMMYFUNCTION("""COMPUTED_VALUE"""),"Will work for them")</f>
        <v>Will work for them</v>
      </c>
      <c r="J187" s="1">
        <f ca="1">IFERROR(__xludf.DUMMYFUNCTION("""COMPUTED_VALUE"""),5)</f>
        <v>5</v>
      </c>
      <c r="K187" s="1" t="str">
        <f ca="1">IFERROR(__xludf.DUMMYFUNCTION("""COMPUTED_VALUE"""),"Hybrid Working Environment with less than 10 days a month at office")</f>
        <v>Hybrid Working Environment with less than 10 days a month at office</v>
      </c>
      <c r="L187" s="1" t="str">
        <f ca="1">IFERROR(__xludf.DUMMYFUNCTION("""COMPUTED_VALUE"""),"Employer who appreciates learning and enables that environment")</f>
        <v>Employer who appreciates learning and enables that environment</v>
      </c>
      <c r="M187" s="1" t="str">
        <f ca="1">IFERROR(__xludf.DUMMYFUNCTION("""COMPUTED_VALUE"""),"Instructor or Expert Learning Programs, Learning by observing others")</f>
        <v>Instructor or Expert Learning Programs, Learning by observing others</v>
      </c>
      <c r="N18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87" s="1" t="str">
        <f ca="1">IFERROR(__xludf.DUMMYFUNCTION("""COMPUTED_VALUE"""),"Manager who clearly describes what she/he needs")</f>
        <v>Manager who clearly describes what she/he needs</v>
      </c>
      <c r="P187" s="1" t="str">
        <f ca="1">IFERROR(__xludf.DUMMYFUNCTION("""COMPUTED_VALUE"""),"Work with 5 to 6 people in my team")</f>
        <v>Work with 5 to 6 people in my team</v>
      </c>
      <c r="Q187" s="1"/>
    </row>
    <row r="188" spans="1:17" ht="13.2" x14ac:dyDescent="0.25">
      <c r="A188" s="2">
        <f ca="1">IFERROR(__xludf.DUMMYFUNCTION("""COMPUTED_VALUE"""),44915.8173163194)</f>
        <v>44915.817316319401</v>
      </c>
      <c r="B188" s="1" t="str">
        <f ca="1">IFERROR(__xludf.DUMMYFUNCTION("""COMPUTED_VALUE"""),"India")</f>
        <v>India</v>
      </c>
      <c r="C188" s="1">
        <f ca="1">IFERROR(__xludf.DUMMYFUNCTION("""COMPUTED_VALUE"""),500001)</f>
        <v>500001</v>
      </c>
      <c r="D188" s="3" t="str">
        <f ca="1">IFERROR(__xludf.DUMMYFUNCTION("""COMPUTED_VALUE"""),"Female")</f>
        <v>Female</v>
      </c>
      <c r="E188" s="1" t="str">
        <f ca="1">IFERROR(__xludf.DUMMYFUNCTION("""COMPUTED_VALUE"""),"People who have changed the world for better")</f>
        <v>People who have changed the world for better</v>
      </c>
      <c r="F188" s="1" t="str">
        <f ca="1">IFERROR(__xludf.DUMMYFUNCTION("""COMPUTED_VALUE"""),"No, But if someone could bare the cost I will")</f>
        <v>No, But if someone could bare the cost I will</v>
      </c>
      <c r="G188" s="1" t="str">
        <f ca="1">IFERROR(__xludf.DUMMYFUNCTION("""COMPUTED_VALUE"""),"This will be hard to do, but if it is the right company I would try")</f>
        <v>This will be hard to do, but if it is the right company I would try</v>
      </c>
      <c r="H188" s="1" t="str">
        <f ca="1">IFERROR(__xludf.DUMMYFUNCTION("""COMPUTED_VALUE"""),"No")</f>
        <v>No</v>
      </c>
      <c r="I188" s="1" t="str">
        <f ca="1">IFERROR(__xludf.DUMMYFUNCTION("""COMPUTED_VALUE"""),"Will NOT work for them")</f>
        <v>Will NOT work for them</v>
      </c>
      <c r="J188" s="1">
        <f ca="1">IFERROR(__xludf.DUMMYFUNCTION("""COMPUTED_VALUE"""),3)</f>
        <v>3</v>
      </c>
      <c r="K188" s="1" t="str">
        <f ca="1">IFERROR(__xludf.DUMMYFUNCTION("""COMPUTED_VALUE"""),"Fully Remote with Options to travel as and when needed")</f>
        <v>Fully Remote with Options to travel as and when needed</v>
      </c>
      <c r="L188" s="1" t="str">
        <f ca="1">IFERROR(__xludf.DUMMYFUNCTION("""COMPUTED_VALUE"""),"Employer who rewards learning and enables that environment")</f>
        <v>Employer who rewards learning and enables that environment</v>
      </c>
      <c r="M188" s="1" t="str">
        <f ca="1">IFERROR(__xludf.DUMMYFUNCTION("""COMPUTED_VALUE"""),"Self Paced Learning Portals, Learning by observing others")</f>
        <v>Self Paced Learning Portals, Learning by observing others</v>
      </c>
      <c r="N188"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88" s="1" t="str">
        <f ca="1">IFERROR(__xludf.DUMMYFUNCTION("""COMPUTED_VALUE"""),"Manager who clearly describes what she/he needs")</f>
        <v>Manager who clearly describes what she/he needs</v>
      </c>
      <c r="P188" s="1" t="str">
        <f ca="1">IFERROR(__xludf.DUMMYFUNCTION("""COMPUTED_VALUE"""),"Work with 2 to 3 people in my team")</f>
        <v>Work with 2 to 3 people in my team</v>
      </c>
      <c r="Q188" s="1"/>
    </row>
    <row r="189" spans="1:17" ht="13.2" x14ac:dyDescent="0.25">
      <c r="A189" s="2">
        <f ca="1">IFERROR(__xludf.DUMMYFUNCTION("""COMPUTED_VALUE"""),44915.8195280439)</f>
        <v>44915.819528043903</v>
      </c>
      <c r="B189" s="1" t="str">
        <f ca="1">IFERROR(__xludf.DUMMYFUNCTION("""COMPUTED_VALUE"""),"India")</f>
        <v>India</v>
      </c>
      <c r="C189" s="1">
        <f ca="1">IFERROR(__xludf.DUMMYFUNCTION("""COMPUTED_VALUE"""),670504)</f>
        <v>670504</v>
      </c>
      <c r="D189" s="3" t="str">
        <f ca="1">IFERROR(__xludf.DUMMYFUNCTION("""COMPUTED_VALUE"""),"Female")</f>
        <v>Female</v>
      </c>
      <c r="E189" s="1" t="str">
        <f ca="1">IFERROR(__xludf.DUMMYFUNCTION("""COMPUTED_VALUE"""),"People from my circle, but not family members")</f>
        <v>People from my circle, but not family members</v>
      </c>
      <c r="F189" s="1" t="str">
        <f ca="1">IFERROR(__xludf.DUMMYFUNCTION("""COMPUTED_VALUE"""),"Yes, I will earn and do that")</f>
        <v>Yes, I will earn and do that</v>
      </c>
      <c r="G189" s="1" t="str">
        <f ca="1">IFERROR(__xludf.DUMMYFUNCTION("""COMPUTED_VALUE"""),"Will work for 3 years or more")</f>
        <v>Will work for 3 years or more</v>
      </c>
      <c r="H189" s="1" t="str">
        <f ca="1">IFERROR(__xludf.DUMMYFUNCTION("""COMPUTED_VALUE"""),"No")</f>
        <v>No</v>
      </c>
      <c r="I189" s="1" t="str">
        <f ca="1">IFERROR(__xludf.DUMMYFUNCTION("""COMPUTED_VALUE"""),"Will NOT work for them")</f>
        <v>Will NOT work for them</v>
      </c>
      <c r="J189" s="1">
        <f ca="1">IFERROR(__xludf.DUMMYFUNCTION("""COMPUTED_VALUE"""),1)</f>
        <v>1</v>
      </c>
      <c r="K189" s="1" t="str">
        <f ca="1">IFERROR(__xludf.DUMMYFUNCTION("""COMPUTED_VALUE"""),"Hybrid Working Environment with less than 15 days a month at office")</f>
        <v>Hybrid Working Environment with less than 15 days a month at office</v>
      </c>
      <c r="L189" s="1" t="str">
        <f ca="1">IFERROR(__xludf.DUMMYFUNCTION("""COMPUTED_VALUE"""),"Employer who rewards learning and enables that environment")</f>
        <v>Employer who rewards learning and enables that environment</v>
      </c>
      <c r="M189" s="1" t="str">
        <f ca="1">IFERROR(__xludf.DUMMYFUNCTION("""COMPUTED_VALUE"""),"Instructor or Expert Learning Programs, Trial and error by doing side projects within the company")</f>
        <v>Instructor or Expert Learning Programs, Trial and error by doing side projects within the company</v>
      </c>
      <c r="N18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89" s="1" t="str">
        <f ca="1">IFERROR(__xludf.DUMMYFUNCTION("""COMPUTED_VALUE"""),"Manager who clearly describes what she/he needs")</f>
        <v>Manager who clearly describes what she/he needs</v>
      </c>
      <c r="P189" s="1" t="str">
        <f ca="1">IFERROR(__xludf.DUMMYFUNCTION("""COMPUTED_VALUE"""),"Work with 2 to 3 people in my team")</f>
        <v>Work with 2 to 3 people in my team</v>
      </c>
      <c r="Q189" s="1"/>
    </row>
    <row r="190" spans="1:17" ht="13.2" x14ac:dyDescent="0.25">
      <c r="A190" s="2">
        <f ca="1">IFERROR(__xludf.DUMMYFUNCTION("""COMPUTED_VALUE"""),44915.8261888425)</f>
        <v>44915.826188842497</v>
      </c>
      <c r="B190" s="1" t="str">
        <f ca="1">IFERROR(__xludf.DUMMYFUNCTION("""COMPUTED_VALUE"""),"India")</f>
        <v>India</v>
      </c>
      <c r="C190" s="1">
        <f ca="1">IFERROR(__xludf.DUMMYFUNCTION("""COMPUTED_VALUE"""),301018)</f>
        <v>301018</v>
      </c>
      <c r="D190" s="3" t="str">
        <f ca="1">IFERROR(__xludf.DUMMYFUNCTION("""COMPUTED_VALUE"""),"Female")</f>
        <v>Female</v>
      </c>
      <c r="E190" s="1" t="str">
        <f ca="1">IFERROR(__xludf.DUMMYFUNCTION("""COMPUTED_VALUE"""),"My Parents")</f>
        <v>My Parents</v>
      </c>
      <c r="F190" s="1" t="str">
        <f ca="1">IFERROR(__xludf.DUMMYFUNCTION("""COMPUTED_VALUE"""),"No, But if someone could bare the cost I will")</f>
        <v>No, But if someone could bare the cost I will</v>
      </c>
      <c r="G190" s="1" t="str">
        <f ca="1">IFERROR(__xludf.DUMMYFUNCTION("""COMPUTED_VALUE"""),"This will be hard to do, but if it is the right company I would try")</f>
        <v>This will be hard to do, but if it is the right company I would try</v>
      </c>
      <c r="H190" s="1" t="str">
        <f ca="1">IFERROR(__xludf.DUMMYFUNCTION("""COMPUTED_VALUE"""),"Yes")</f>
        <v>Yes</v>
      </c>
      <c r="I190" s="1" t="str">
        <f ca="1">IFERROR(__xludf.DUMMYFUNCTION("""COMPUTED_VALUE"""),"Will NOT work for them")</f>
        <v>Will NOT work for them</v>
      </c>
      <c r="J190" s="1">
        <f ca="1">IFERROR(__xludf.DUMMYFUNCTION("""COMPUTED_VALUE"""),8)</f>
        <v>8</v>
      </c>
      <c r="K190" s="1" t="str">
        <f ca="1">IFERROR(__xludf.DUMMYFUNCTION("""COMPUTED_VALUE"""),"Fully Remote with Options to travel as and when needed")</f>
        <v>Fully Remote with Options to travel as and when needed</v>
      </c>
      <c r="L190" s="1" t="str">
        <f ca="1">IFERROR(__xludf.DUMMYFUNCTION("""COMPUTED_VALUE"""),"Employer who pushes your limits by enabling an learning environment, and rewards you at the end")</f>
        <v>Employer who pushes your limits by enabling an learning environment, and rewards you at the end</v>
      </c>
      <c r="M190" s="1" t="str">
        <f ca="1">IFERROR(__xludf.DUMMYFUNCTION("""COMPUTED_VALUE"""),"Instructor or Expert Learning Programs, Trial and error by doing side projects within the company")</f>
        <v>Instructor or Expert Learning Programs, Trial and error by doing side projects within the company</v>
      </c>
      <c r="N190"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190" s="1" t="str">
        <f ca="1">IFERROR(__xludf.DUMMYFUNCTION("""COMPUTED_VALUE"""),"Manager who clearly describes what she/he needs")</f>
        <v>Manager who clearly describes what she/he needs</v>
      </c>
      <c r="P190" s="1" t="str">
        <f ca="1">IFERROR(__xludf.DUMMYFUNCTION("""COMPUTED_VALUE"""),"Work with 5 to 6 people in my team")</f>
        <v>Work with 5 to 6 people in my team</v>
      </c>
      <c r="Q190" s="1"/>
    </row>
    <row r="191" spans="1:17" ht="13.2" x14ac:dyDescent="0.25">
      <c r="A191" s="2">
        <f ca="1">IFERROR(__xludf.DUMMYFUNCTION("""COMPUTED_VALUE"""),44915.8706067013)</f>
        <v>44915.870606701297</v>
      </c>
      <c r="B191" s="1" t="str">
        <f ca="1">IFERROR(__xludf.DUMMYFUNCTION("""COMPUTED_VALUE"""),"India")</f>
        <v>India</v>
      </c>
      <c r="C191" s="1">
        <f ca="1">IFERROR(__xludf.DUMMYFUNCTION("""COMPUTED_VALUE"""),680307)</f>
        <v>680307</v>
      </c>
      <c r="D191" s="3" t="str">
        <f ca="1">IFERROR(__xludf.DUMMYFUNCTION("""COMPUTED_VALUE"""),"Female")</f>
        <v>Female</v>
      </c>
      <c r="E191" s="1" t="str">
        <f ca="1">IFERROR(__xludf.DUMMYFUNCTION("""COMPUTED_VALUE"""),"People who have changed the world for better")</f>
        <v>People who have changed the world for better</v>
      </c>
      <c r="F191" s="1" t="str">
        <f ca="1">IFERROR(__xludf.DUMMYFUNCTION("""COMPUTED_VALUE"""),"Yes, I will earn and do that")</f>
        <v>Yes, I will earn and do that</v>
      </c>
      <c r="G191" s="1" t="str">
        <f ca="1">IFERROR(__xludf.DUMMYFUNCTION("""COMPUTED_VALUE"""),"Will work for 3 years or more")</f>
        <v>Will work for 3 years or more</v>
      </c>
      <c r="H191" s="1" t="str">
        <f ca="1">IFERROR(__xludf.DUMMYFUNCTION("""COMPUTED_VALUE"""),"No")</f>
        <v>No</v>
      </c>
      <c r="I191" s="1" t="str">
        <f ca="1">IFERROR(__xludf.DUMMYFUNCTION("""COMPUTED_VALUE"""),"Will NOT work for them")</f>
        <v>Will NOT work for them</v>
      </c>
      <c r="J191" s="1">
        <f ca="1">IFERROR(__xludf.DUMMYFUNCTION("""COMPUTED_VALUE"""),1)</f>
        <v>1</v>
      </c>
      <c r="K191" s="1" t="str">
        <f ca="1">IFERROR(__xludf.DUMMYFUNCTION("""COMPUTED_VALUE"""),"Fully Remote with Options to travel as and when needed")</f>
        <v>Fully Remote with Options to travel as and when needed</v>
      </c>
      <c r="L191" s="1" t="str">
        <f ca="1">IFERROR(__xludf.DUMMYFUNCTION("""COMPUTED_VALUE"""),"Employer who pushes your limits by enabling an learning environment, and rewards you at the end")</f>
        <v>Employer who pushes your limits by enabling an learning environment, and rewards you at the end</v>
      </c>
      <c r="M191" s="1" t="str">
        <f ca="1">IFERROR(__xludf.DUMMYFUNCTION("""COMPUTED_VALUE"""),"Instructor or Expert Learning Programs, Learning by observing others")</f>
        <v>Instructor or Expert Learning Programs, Learning by observing others</v>
      </c>
      <c r="N19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1" s="1" t="str">
        <f ca="1">IFERROR(__xludf.DUMMYFUNCTION("""COMPUTED_VALUE"""),"Manager who clearly describes what she/he needs")</f>
        <v>Manager who clearly describes what she/he needs</v>
      </c>
      <c r="P191" s="1" t="str">
        <f ca="1">IFERROR(__xludf.DUMMYFUNCTION("""COMPUTED_VALUE"""),"Work with 2 to 3 people in my team")</f>
        <v>Work with 2 to 3 people in my team</v>
      </c>
      <c r="Q191" s="1"/>
    </row>
    <row r="192" spans="1:17" ht="13.2" x14ac:dyDescent="0.25">
      <c r="A192" s="2">
        <f ca="1">IFERROR(__xludf.DUMMYFUNCTION("""COMPUTED_VALUE"""),44915.8856304629)</f>
        <v>44915.885630462901</v>
      </c>
      <c r="B192" s="1" t="str">
        <f ca="1">IFERROR(__xludf.DUMMYFUNCTION("""COMPUTED_VALUE"""),"India")</f>
        <v>India</v>
      </c>
      <c r="C192" s="1">
        <f ca="1">IFERROR(__xludf.DUMMYFUNCTION("""COMPUTED_VALUE"""),607102)</f>
        <v>607102</v>
      </c>
      <c r="D192" s="3" t="str">
        <f ca="1">IFERROR(__xludf.DUMMYFUNCTION("""COMPUTED_VALUE"""),"Male")</f>
        <v>Male</v>
      </c>
      <c r="E192" s="1" t="str">
        <f ca="1">IFERROR(__xludf.DUMMYFUNCTION("""COMPUTED_VALUE"""),"My Parents")</f>
        <v>My Parents</v>
      </c>
      <c r="F192" s="1" t="str">
        <f ca="1">IFERROR(__xludf.DUMMYFUNCTION("""COMPUTED_VALUE"""),"Yes, I will earn and do that")</f>
        <v>Yes, I will earn and do that</v>
      </c>
      <c r="G192" s="1" t="str">
        <f ca="1">IFERROR(__xludf.DUMMYFUNCTION("""COMPUTED_VALUE"""),"Will work for 3 years or more")</f>
        <v>Will work for 3 years or more</v>
      </c>
      <c r="H192" s="1" t="str">
        <f ca="1">IFERROR(__xludf.DUMMYFUNCTION("""COMPUTED_VALUE"""),"Yes")</f>
        <v>Yes</v>
      </c>
      <c r="I192" s="1" t="str">
        <f ca="1">IFERROR(__xludf.DUMMYFUNCTION("""COMPUTED_VALUE"""),"Will work for them")</f>
        <v>Will work for them</v>
      </c>
      <c r="J192" s="1">
        <f ca="1">IFERROR(__xludf.DUMMYFUNCTION("""COMPUTED_VALUE"""),6)</f>
        <v>6</v>
      </c>
      <c r="K192" s="1" t="str">
        <f ca="1">IFERROR(__xludf.DUMMYFUNCTION("""COMPUTED_VALUE"""),"Every Day Office Environment")</f>
        <v>Every Day Office Environment</v>
      </c>
      <c r="L192" s="1" t="str">
        <f ca="1">IFERROR(__xludf.DUMMYFUNCTION("""COMPUTED_VALUE"""),"Employer who appreciates learning and enables that environment")</f>
        <v>Employer who appreciates learning and enables that environment</v>
      </c>
      <c r="M192" s="1" t="str">
        <f ca="1">IFERROR(__xludf.DUMMYFUNCTION("""COMPUTED_VALUE"""),"Self Paced Learning Portals, Learning by observing others")</f>
        <v>Self Paced Learning Portals, Learning by observing others</v>
      </c>
      <c r="N19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92" s="1" t="str">
        <f ca="1">IFERROR(__xludf.DUMMYFUNCTION("""COMPUTED_VALUE"""),"Manager who sets unrealistic targets")</f>
        <v>Manager who sets unrealistic targets</v>
      </c>
      <c r="P192" s="1" t="str">
        <f ca="1">IFERROR(__xludf.DUMMYFUNCTION("""COMPUTED_VALUE"""),"Work with 5 to 6 people in my team")</f>
        <v>Work with 5 to 6 people in my team</v>
      </c>
      <c r="Q192" s="1"/>
    </row>
    <row r="193" spans="1:17" ht="13.2" x14ac:dyDescent="0.25">
      <c r="A193" s="2">
        <f ca="1">IFERROR(__xludf.DUMMYFUNCTION("""COMPUTED_VALUE"""),44915.8905890046)</f>
        <v>44915.890589004601</v>
      </c>
      <c r="B193" s="1" t="str">
        <f ca="1">IFERROR(__xludf.DUMMYFUNCTION("""COMPUTED_VALUE"""),"India")</f>
        <v>India</v>
      </c>
      <c r="C193" s="1">
        <f ca="1">IFERROR(__xludf.DUMMYFUNCTION("""COMPUTED_VALUE"""),605110)</f>
        <v>605110</v>
      </c>
      <c r="D193" s="3" t="str">
        <f ca="1">IFERROR(__xludf.DUMMYFUNCTION("""COMPUTED_VALUE"""),"Male")</f>
        <v>Male</v>
      </c>
      <c r="E193" s="1" t="str">
        <f ca="1">IFERROR(__xludf.DUMMYFUNCTION("""COMPUTED_VALUE"""),"Social Media like LinkedIn")</f>
        <v>Social Media like LinkedIn</v>
      </c>
      <c r="F193" s="1" t="str">
        <f ca="1">IFERROR(__xludf.DUMMYFUNCTION("""COMPUTED_VALUE"""),"Yes, I will earn and do that")</f>
        <v>Yes, I will earn and do that</v>
      </c>
      <c r="G193" s="1" t="str">
        <f ca="1">IFERROR(__xludf.DUMMYFUNCTION("""COMPUTED_VALUE"""),"No way, 3 years with one employer is crazy")</f>
        <v>No way, 3 years with one employer is crazy</v>
      </c>
      <c r="H193" s="1" t="str">
        <f ca="1">IFERROR(__xludf.DUMMYFUNCTION("""COMPUTED_VALUE"""),"Yes")</f>
        <v>Yes</v>
      </c>
      <c r="I193" s="1" t="str">
        <f ca="1">IFERROR(__xludf.DUMMYFUNCTION("""COMPUTED_VALUE"""),"Will work for them")</f>
        <v>Will work for them</v>
      </c>
      <c r="J193" s="1">
        <f ca="1">IFERROR(__xludf.DUMMYFUNCTION("""COMPUTED_VALUE"""),5)</f>
        <v>5</v>
      </c>
      <c r="K193" s="1" t="str">
        <f ca="1">IFERROR(__xludf.DUMMYFUNCTION("""COMPUTED_VALUE"""),"Hybrid Working Environment with less than 3 days a month at office")</f>
        <v>Hybrid Working Environment with less than 3 days a month at office</v>
      </c>
      <c r="L193" s="1" t="str">
        <f ca="1">IFERROR(__xludf.DUMMYFUNCTION("""COMPUTED_VALUE"""),"Employer who pushes your limits by enabling an learning environment, and rewards you at the end")</f>
        <v>Employer who pushes your limits by enabling an learning environment, and rewards you at the end</v>
      </c>
      <c r="M193" s="1" t="str">
        <f ca="1">IFERROR(__xludf.DUMMYFUNCTION("""COMPUTED_VALUE"""),"Instructor or Expert Learning Programs, Learning by observing others")</f>
        <v>Instructor or Expert Learning Programs, Learning by observing others</v>
      </c>
      <c r="N193"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93" s="1" t="str">
        <f ca="1">IFERROR(__xludf.DUMMYFUNCTION("""COMPUTED_VALUE"""),"Manager who explains what is expected, sets a goal and helps achieve it")</f>
        <v>Manager who explains what is expected, sets a goal and helps achieve it</v>
      </c>
      <c r="P193" s="1" t="str">
        <f ca="1">IFERROR(__xludf.DUMMYFUNCTION("""COMPUTED_VALUE"""),"Work alone")</f>
        <v>Work alone</v>
      </c>
      <c r="Q193" s="1"/>
    </row>
    <row r="194" spans="1:17" ht="13.2" x14ac:dyDescent="0.25">
      <c r="A194" s="2">
        <f ca="1">IFERROR(__xludf.DUMMYFUNCTION("""COMPUTED_VALUE"""),44915.8972149305)</f>
        <v>44915.897214930497</v>
      </c>
      <c r="B194" s="1" t="str">
        <f ca="1">IFERROR(__xludf.DUMMYFUNCTION("""COMPUTED_VALUE"""),"India")</f>
        <v>India</v>
      </c>
      <c r="C194" s="1">
        <f ca="1">IFERROR(__xludf.DUMMYFUNCTION("""COMPUTED_VALUE"""),680586)</f>
        <v>680586</v>
      </c>
      <c r="D194" s="3" t="str">
        <f ca="1">IFERROR(__xludf.DUMMYFUNCTION("""COMPUTED_VALUE"""),"Female")</f>
        <v>Female</v>
      </c>
      <c r="E194" s="1" t="str">
        <f ca="1">IFERROR(__xludf.DUMMYFUNCTION("""COMPUTED_VALUE"""),"Influencers who had successful careers")</f>
        <v>Influencers who had successful careers</v>
      </c>
      <c r="F194" s="1" t="str">
        <f ca="1">IFERROR(__xludf.DUMMYFUNCTION("""COMPUTED_VALUE"""),"Yes, I will earn and do that")</f>
        <v>Yes, I will earn and do that</v>
      </c>
      <c r="G194" s="1" t="str">
        <f ca="1">IFERROR(__xludf.DUMMYFUNCTION("""COMPUTED_VALUE"""),"Will work for 3 years or more")</f>
        <v>Will work for 3 years or more</v>
      </c>
      <c r="H194" s="1" t="str">
        <f ca="1">IFERROR(__xludf.DUMMYFUNCTION("""COMPUTED_VALUE"""),"No")</f>
        <v>No</v>
      </c>
      <c r="I194" s="1" t="str">
        <f ca="1">IFERROR(__xludf.DUMMYFUNCTION("""COMPUTED_VALUE"""),"Will NOT work for them")</f>
        <v>Will NOT work for them</v>
      </c>
      <c r="J194" s="1">
        <f ca="1">IFERROR(__xludf.DUMMYFUNCTION("""COMPUTED_VALUE"""),5)</f>
        <v>5</v>
      </c>
      <c r="K194" s="1" t="str">
        <f ca="1">IFERROR(__xludf.DUMMYFUNCTION("""COMPUTED_VALUE"""),"Fully Remote with Options to travel as and when needed")</f>
        <v>Fully Remote with Options to travel as and when needed</v>
      </c>
      <c r="L194" s="1" t="str">
        <f ca="1">IFERROR(__xludf.DUMMYFUNCTION("""COMPUTED_VALUE"""),"Employer who pushes your limits by enabling an learning environment, and rewards you at the end")</f>
        <v>Employer who pushes your limits by enabling an learning environment, and rewards you at the end</v>
      </c>
      <c r="M194" s="1" t="str">
        <f ca="1">IFERROR(__xludf.DUMMYFUNCTION("""COMPUTED_VALUE"""),"Instructor or Expert Learning Programs, Trial and error by doing side projects within the company")</f>
        <v>Instructor or Expert Learning Programs, Trial and error by doing side projects within the company</v>
      </c>
      <c r="N19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4" s="1" t="str">
        <f ca="1">IFERROR(__xludf.DUMMYFUNCTION("""COMPUTED_VALUE"""),"Manager who explains what is expected, sets a goal and helps achieve it")</f>
        <v>Manager who explains what is expected, sets a goal and helps achieve it</v>
      </c>
      <c r="P194" s="1" t="str">
        <f ca="1">IFERROR(__xludf.DUMMYFUNCTION("""COMPUTED_VALUE"""),"Work with 5 to 6 people in my team, Work with more than 10 people in my team")</f>
        <v>Work with 5 to 6 people in my team, Work with more than 10 people in my team</v>
      </c>
      <c r="Q194" s="1"/>
    </row>
    <row r="195" spans="1:17" ht="13.2" x14ac:dyDescent="0.25">
      <c r="A195" s="2">
        <f ca="1">IFERROR(__xludf.DUMMYFUNCTION("""COMPUTED_VALUE"""),44915.9096861689)</f>
        <v>44915.909686168903</v>
      </c>
      <c r="B195" s="1" t="str">
        <f ca="1">IFERROR(__xludf.DUMMYFUNCTION("""COMPUTED_VALUE"""),"India")</f>
        <v>India</v>
      </c>
      <c r="C195" s="1">
        <f ca="1">IFERROR(__xludf.DUMMYFUNCTION("""COMPUTED_VALUE"""),431001)</f>
        <v>431001</v>
      </c>
      <c r="D195" s="3" t="str">
        <f ca="1">IFERROR(__xludf.DUMMYFUNCTION("""COMPUTED_VALUE"""),"Male")</f>
        <v>Male</v>
      </c>
      <c r="E195" s="1" t="str">
        <f ca="1">IFERROR(__xludf.DUMMYFUNCTION("""COMPUTED_VALUE"""),"Influencers who had successful careers")</f>
        <v>Influencers who had successful careers</v>
      </c>
      <c r="F195" s="1" t="str">
        <f ca="1">IFERROR(__xludf.DUMMYFUNCTION("""COMPUTED_VALUE"""),"Yes, I will earn and do that")</f>
        <v>Yes, I will earn and do that</v>
      </c>
      <c r="G195" s="1" t="str">
        <f ca="1">IFERROR(__xludf.DUMMYFUNCTION("""COMPUTED_VALUE"""),"This will be hard to do, but if it is the right company I would try")</f>
        <v>This will be hard to do, but if it is the right company I would try</v>
      </c>
      <c r="H195" s="1" t="str">
        <f ca="1">IFERROR(__xludf.DUMMYFUNCTION("""COMPUTED_VALUE"""),"No")</f>
        <v>No</v>
      </c>
      <c r="I195" s="1" t="str">
        <f ca="1">IFERROR(__xludf.DUMMYFUNCTION("""COMPUTED_VALUE"""),"Will NOT work for them")</f>
        <v>Will NOT work for them</v>
      </c>
      <c r="J195" s="1">
        <f ca="1">IFERROR(__xludf.DUMMYFUNCTION("""COMPUTED_VALUE"""),5)</f>
        <v>5</v>
      </c>
      <c r="K195" s="1" t="str">
        <f ca="1">IFERROR(__xludf.DUMMYFUNCTION("""COMPUTED_VALUE"""),"Hybrid Working Environment with less than 3 days a month at office")</f>
        <v>Hybrid Working Environment with less than 3 days a month at office</v>
      </c>
      <c r="L195" s="1" t="str">
        <f ca="1">IFERROR(__xludf.DUMMYFUNCTION("""COMPUTED_VALUE"""),"Employer who pushes your limits by enabling an learning environment, and rewards you at the end")</f>
        <v>Employer who pushes your limits by enabling an learning environment, and rewards you at the end</v>
      </c>
      <c r="M195" s="1" t="str">
        <f ca="1">IFERROR(__xludf.DUMMYFUNCTION("""COMPUTED_VALUE"""),"Self Paced Learning Portals, Instructor or Expert Learning Programs")</f>
        <v>Self Paced Learning Portals, Instructor or Expert Learning Programs</v>
      </c>
      <c r="N195"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95" s="1" t="str">
        <f ca="1">IFERROR(__xludf.DUMMYFUNCTION("""COMPUTED_VALUE"""),"Manager who clearly describes what she/he needs")</f>
        <v>Manager who clearly describes what she/he needs</v>
      </c>
      <c r="P195" s="1" t="str">
        <f ca="1">IFERROR(__xludf.DUMMYFUNCTION("""COMPUTED_VALUE"""),"Work alone, Work with 2 to 3 people in my team")</f>
        <v>Work alone, Work with 2 to 3 people in my team</v>
      </c>
      <c r="Q195" s="1"/>
    </row>
    <row r="196" spans="1:17" ht="13.2" x14ac:dyDescent="0.25">
      <c r="A196" s="2">
        <f ca="1">IFERROR(__xludf.DUMMYFUNCTION("""COMPUTED_VALUE"""),44915.9221636574)</f>
        <v>44915.9221636574</v>
      </c>
      <c r="B196" s="1" t="str">
        <f ca="1">IFERROR(__xludf.DUMMYFUNCTION("""COMPUTED_VALUE"""),"India")</f>
        <v>India</v>
      </c>
      <c r="C196" s="1">
        <f ca="1">IFERROR(__xludf.DUMMYFUNCTION("""COMPUTED_VALUE"""),411046)</f>
        <v>411046</v>
      </c>
      <c r="D196" s="3" t="str">
        <f ca="1">IFERROR(__xludf.DUMMYFUNCTION("""COMPUTED_VALUE"""),"Male")</f>
        <v>Male</v>
      </c>
      <c r="E196" s="1" t="str">
        <f ca="1">IFERROR(__xludf.DUMMYFUNCTION("""COMPUTED_VALUE"""),"People who have changed the world for better")</f>
        <v>People who have changed the world for better</v>
      </c>
      <c r="F196" s="1" t="str">
        <f ca="1">IFERROR(__xludf.DUMMYFUNCTION("""COMPUTED_VALUE"""),"Yes, I will earn and do that")</f>
        <v>Yes, I will earn and do that</v>
      </c>
      <c r="G196" s="1" t="str">
        <f ca="1">IFERROR(__xludf.DUMMYFUNCTION("""COMPUTED_VALUE"""),"This will be hard to do, but if it is the right company I would try")</f>
        <v>This will be hard to do, but if it is the right company I would try</v>
      </c>
      <c r="H196" s="1" t="str">
        <f ca="1">IFERROR(__xludf.DUMMYFUNCTION("""COMPUTED_VALUE"""),"No")</f>
        <v>No</v>
      </c>
      <c r="I196" s="1" t="str">
        <f ca="1">IFERROR(__xludf.DUMMYFUNCTION("""COMPUTED_VALUE"""),"Will NOT work for them")</f>
        <v>Will NOT work for them</v>
      </c>
      <c r="J196" s="1">
        <f ca="1">IFERROR(__xludf.DUMMYFUNCTION("""COMPUTED_VALUE"""),1)</f>
        <v>1</v>
      </c>
      <c r="K196" s="1" t="str">
        <f ca="1">IFERROR(__xludf.DUMMYFUNCTION("""COMPUTED_VALUE"""),"Hybrid Working Environment with less than 15 days a month at office")</f>
        <v>Hybrid Working Environment with less than 15 days a month at office</v>
      </c>
      <c r="L196" s="1" t="str">
        <f ca="1">IFERROR(__xludf.DUMMYFUNCTION("""COMPUTED_VALUE"""),"Employer who pushes your limits by enabling an learning environment, and rewards you at the end")</f>
        <v>Employer who pushes your limits by enabling an learning environment, and rewards you at the end</v>
      </c>
      <c r="M196" s="1" t="str">
        <f ca="1">IFERROR(__xludf.DUMMYFUNCTION("""COMPUTED_VALUE"""),"Self Paced Learning Portals, Learning by observing others")</f>
        <v>Self Paced Learning Portals, Learning by observing others</v>
      </c>
      <c r="N196" s="1" t="str">
        <f ca="1">IFERROR(__xludf.DUMMYFUNCTION("""COMPUTED_VALUE"""),"Teaching in any of the institutes/online or Offline, Design and Develop amazing software, Work in a BPO setup for some well known client")</f>
        <v>Teaching in any of the institutes/online or Offline, Design and Develop amazing software, Work in a BPO setup for some well known client</v>
      </c>
      <c r="O196" s="1" t="str">
        <f ca="1">IFERROR(__xludf.DUMMYFUNCTION("""COMPUTED_VALUE"""),"Manager who sets targets and expects me to achieve it")</f>
        <v>Manager who sets targets and expects me to achieve it</v>
      </c>
      <c r="P19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96" s="1"/>
    </row>
    <row r="197" spans="1:17" ht="13.2" x14ac:dyDescent="0.25">
      <c r="A197" s="2">
        <f ca="1">IFERROR(__xludf.DUMMYFUNCTION("""COMPUTED_VALUE"""),44915.9319016435)</f>
        <v>44915.931901643497</v>
      </c>
      <c r="B197" s="1" t="str">
        <f ca="1">IFERROR(__xludf.DUMMYFUNCTION("""COMPUTED_VALUE"""),"India")</f>
        <v>India</v>
      </c>
      <c r="C197" s="1">
        <f ca="1">IFERROR(__xludf.DUMMYFUNCTION("""COMPUTED_VALUE"""),431105)</f>
        <v>431105</v>
      </c>
      <c r="D197" s="3" t="str">
        <f ca="1">IFERROR(__xludf.DUMMYFUNCTION("""COMPUTED_VALUE"""),"Male")</f>
        <v>Male</v>
      </c>
      <c r="E197" s="1" t="str">
        <f ca="1">IFERROR(__xludf.DUMMYFUNCTION("""COMPUTED_VALUE"""),"Influencers who had successful careers")</f>
        <v>Influencers who had successful careers</v>
      </c>
      <c r="F197" s="1" t="str">
        <f ca="1">IFERROR(__xludf.DUMMYFUNCTION("""COMPUTED_VALUE"""),"Yes, I will earn and do that")</f>
        <v>Yes, I will earn and do that</v>
      </c>
      <c r="G197" s="1" t="str">
        <f ca="1">IFERROR(__xludf.DUMMYFUNCTION("""COMPUTED_VALUE"""),"This will be hard to do, but if it is the right company I would try")</f>
        <v>This will be hard to do, but if it is the right company I would try</v>
      </c>
      <c r="H197" s="1" t="str">
        <f ca="1">IFERROR(__xludf.DUMMYFUNCTION("""COMPUTED_VALUE"""),"No")</f>
        <v>No</v>
      </c>
      <c r="I197" s="1" t="str">
        <f ca="1">IFERROR(__xludf.DUMMYFUNCTION("""COMPUTED_VALUE"""),"Will NOT work for them")</f>
        <v>Will NOT work for them</v>
      </c>
      <c r="J197" s="1">
        <f ca="1">IFERROR(__xludf.DUMMYFUNCTION("""COMPUTED_VALUE"""),7)</f>
        <v>7</v>
      </c>
      <c r="K197" s="1" t="str">
        <f ca="1">IFERROR(__xludf.DUMMYFUNCTION("""COMPUTED_VALUE"""),"Every Day Office Environment")</f>
        <v>Every Day Office Environment</v>
      </c>
      <c r="L197" s="1" t="str">
        <f ca="1">IFERROR(__xludf.DUMMYFUNCTION("""COMPUTED_VALUE"""),"Employer who pushes your limits by enabling an learning environment, and rewards you at the end")</f>
        <v>Employer who pushes your limits by enabling an learning environment, and rewards you at the end</v>
      </c>
      <c r="M197" s="1" t="str">
        <f ca="1">IFERROR(__xludf.DUMMYFUNCTION("""COMPUTED_VALUE"""),"Self Paced Learning Portals, Instructor or Expert Learning Programs")</f>
        <v>Self Paced Learning Portals, Instructor or Expert Learning Programs</v>
      </c>
      <c r="N197"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97" s="1" t="str">
        <f ca="1">IFERROR(__xludf.DUMMYFUNCTION("""COMPUTED_VALUE"""),"Manager who explains what is expected, sets a goal and helps achieve it")</f>
        <v>Manager who explains what is expected, sets a goal and helps achieve it</v>
      </c>
      <c r="P197" s="1" t="str">
        <f ca="1">IFERROR(__xludf.DUMMYFUNCTION("""COMPUTED_VALUE"""),"Work with 5 to 6 people in my team")</f>
        <v>Work with 5 to 6 people in my team</v>
      </c>
      <c r="Q197" s="1"/>
    </row>
    <row r="198" spans="1:17" ht="13.2" x14ac:dyDescent="0.25">
      <c r="A198" s="2">
        <f ca="1">IFERROR(__xludf.DUMMYFUNCTION("""COMPUTED_VALUE"""),44915.9438703935)</f>
        <v>44915.943870393501</v>
      </c>
      <c r="B198" s="1" t="str">
        <f ca="1">IFERROR(__xludf.DUMMYFUNCTION("""COMPUTED_VALUE"""),"India")</f>
        <v>India</v>
      </c>
      <c r="C198" s="1">
        <f ca="1">IFERROR(__xludf.DUMMYFUNCTION("""COMPUTED_VALUE"""),110024)</f>
        <v>110024</v>
      </c>
      <c r="D198" s="3" t="str">
        <f ca="1">IFERROR(__xludf.DUMMYFUNCTION("""COMPUTED_VALUE"""),"Female")</f>
        <v>Female</v>
      </c>
      <c r="E198" s="1" t="str">
        <f ca="1">IFERROR(__xludf.DUMMYFUNCTION("""COMPUTED_VALUE"""),"People who have changed the world for better")</f>
        <v>People who have changed the world for better</v>
      </c>
      <c r="F198" s="1" t="str">
        <f ca="1">IFERROR(__xludf.DUMMYFUNCTION("""COMPUTED_VALUE"""),"Yes, I will earn and do that")</f>
        <v>Yes, I will earn and do that</v>
      </c>
      <c r="G198" s="1" t="str">
        <f ca="1">IFERROR(__xludf.DUMMYFUNCTION("""COMPUTED_VALUE"""),"This will be hard to do, but if it is the right company I would try")</f>
        <v>This will be hard to do, but if it is the right company I would try</v>
      </c>
      <c r="H198" s="1" t="str">
        <f ca="1">IFERROR(__xludf.DUMMYFUNCTION("""COMPUTED_VALUE"""),"No")</f>
        <v>No</v>
      </c>
      <c r="I198" s="1" t="str">
        <f ca="1">IFERROR(__xludf.DUMMYFUNCTION("""COMPUTED_VALUE"""),"Will NOT work for them")</f>
        <v>Will NOT work for them</v>
      </c>
      <c r="J198" s="1">
        <f ca="1">IFERROR(__xludf.DUMMYFUNCTION("""COMPUTED_VALUE"""),8)</f>
        <v>8</v>
      </c>
      <c r="K198" s="1" t="str">
        <f ca="1">IFERROR(__xludf.DUMMYFUNCTION("""COMPUTED_VALUE"""),"Hybrid Working Environment with less than 15 days a month at office")</f>
        <v>Hybrid Working Environment with less than 15 days a month at office</v>
      </c>
      <c r="L198" s="1" t="str">
        <f ca="1">IFERROR(__xludf.DUMMYFUNCTION("""COMPUTED_VALUE"""),"Employer who pushes your limits by enabling an learning environment, and rewards you at the end")</f>
        <v>Employer who pushes your limits by enabling an learning environment, and rewards you at the end</v>
      </c>
      <c r="M198" s="1" t="str">
        <f ca="1">IFERROR(__xludf.DUMMYFUNCTION("""COMPUTED_VALUE"""),"Learning by observing others, Trial and error by doing side projects within the company")</f>
        <v>Learning by observing others, Trial and error by doing side projects within the company</v>
      </c>
      <c r="N1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98" s="1" t="str">
        <f ca="1">IFERROR(__xludf.DUMMYFUNCTION("""COMPUTED_VALUE"""),"Manager who explains what is expected, sets a goal and helps achieve it")</f>
        <v>Manager who explains what is expected, sets a goal and helps achieve it</v>
      </c>
      <c r="P198" s="1" t="str">
        <f ca="1">IFERROR(__xludf.DUMMYFUNCTION("""COMPUTED_VALUE"""),"Work alone, Work with 2 to 3 people in my team, Work with 5 to 6 people in my team")</f>
        <v>Work alone, Work with 2 to 3 people in my team, Work with 5 to 6 people in my team</v>
      </c>
      <c r="Q198" s="1"/>
    </row>
    <row r="199" spans="1:17" ht="13.2" x14ac:dyDescent="0.25">
      <c r="A199" s="2">
        <f ca="1">IFERROR(__xludf.DUMMYFUNCTION("""COMPUTED_VALUE"""),44915.9517313657)</f>
        <v>44915.951731365698</v>
      </c>
      <c r="B199" s="1" t="str">
        <f ca="1">IFERROR(__xludf.DUMMYFUNCTION("""COMPUTED_VALUE"""),"India")</f>
        <v>India</v>
      </c>
      <c r="C199" s="1">
        <f ca="1">IFERROR(__xludf.DUMMYFUNCTION("""COMPUTED_VALUE"""),431001)</f>
        <v>431001</v>
      </c>
      <c r="D199" s="3" t="str">
        <f ca="1">IFERROR(__xludf.DUMMYFUNCTION("""COMPUTED_VALUE"""),"Female")</f>
        <v>Female</v>
      </c>
      <c r="E199" s="1" t="str">
        <f ca="1">IFERROR(__xludf.DUMMYFUNCTION("""COMPUTED_VALUE"""),"Influencers who had successful careers")</f>
        <v>Influencers who had successful careers</v>
      </c>
      <c r="F199" s="1" t="str">
        <f ca="1">IFERROR(__xludf.DUMMYFUNCTION("""COMPUTED_VALUE"""),"No, But if someone could bare the cost I will")</f>
        <v>No, But if someone could bare the cost I will</v>
      </c>
      <c r="G199" s="1" t="str">
        <f ca="1">IFERROR(__xludf.DUMMYFUNCTION("""COMPUTED_VALUE"""),"Will work for 3 years or more")</f>
        <v>Will work for 3 years or more</v>
      </c>
      <c r="H199" s="1" t="str">
        <f ca="1">IFERROR(__xludf.DUMMYFUNCTION("""COMPUTED_VALUE"""),"Yes")</f>
        <v>Yes</v>
      </c>
      <c r="I199" s="1" t="str">
        <f ca="1">IFERROR(__xludf.DUMMYFUNCTION("""COMPUTED_VALUE"""),"Will work for them")</f>
        <v>Will work for them</v>
      </c>
      <c r="J199" s="1">
        <f ca="1">IFERROR(__xludf.DUMMYFUNCTION("""COMPUTED_VALUE"""),6)</f>
        <v>6</v>
      </c>
      <c r="K199" s="1" t="str">
        <f ca="1">IFERROR(__xludf.DUMMYFUNCTION("""COMPUTED_VALUE"""),"Hybrid Working Environment with less than 3 days a month at office")</f>
        <v>Hybrid Working Environment with less than 3 days a month at office</v>
      </c>
      <c r="L199" s="1" t="str">
        <f ca="1">IFERROR(__xludf.DUMMYFUNCTION("""COMPUTED_VALUE"""),"Employer who rewards learning and enables that environment")</f>
        <v>Employer who rewards learning and enables that environment</v>
      </c>
      <c r="M199" s="1" t="str">
        <f ca="1">IFERROR(__xludf.DUMMYFUNCTION("""COMPUTED_VALUE"""),"Self Paced Learning Portals, Learning by observing others")</f>
        <v>Self Paced Learning Portals, Learning by observing others</v>
      </c>
      <c r="N199" s="1" t="str">
        <f ca="1">IFERROR(__xludf.DUMMYFUNCTION("""COMPUTED_VALUE"""),"Manage and drive End-to-End Projects or Products, Look deeply into Data and generate insights, Work in a BPO setup for some well known client")</f>
        <v>Manage and drive End-to-End Projects or Products, Look deeply into Data and generate insights, Work in a BPO setup for some well known client</v>
      </c>
      <c r="O199" s="1" t="str">
        <f ca="1">IFERROR(__xludf.DUMMYFUNCTION("""COMPUTED_VALUE"""),"Manager who explains what is expected, sets a goal and helps achieve it")</f>
        <v>Manager who explains what is expected, sets a goal and helps achieve it</v>
      </c>
      <c r="P199" s="1" t="str">
        <f ca="1">IFERROR(__xludf.DUMMYFUNCTION("""COMPUTED_VALUE"""),"Work with 5 to 6 people in my team")</f>
        <v>Work with 5 to 6 people in my team</v>
      </c>
      <c r="Q199" s="1"/>
    </row>
    <row r="200" spans="1:17" ht="13.2" x14ac:dyDescent="0.25">
      <c r="A200" s="2">
        <f ca="1">IFERROR(__xludf.DUMMYFUNCTION("""COMPUTED_VALUE"""),44915.981112824)</f>
        <v>44915.981112824004</v>
      </c>
      <c r="B200" s="1" t="str">
        <f ca="1">IFERROR(__xludf.DUMMYFUNCTION("""COMPUTED_VALUE"""),"India")</f>
        <v>India</v>
      </c>
      <c r="C200" s="1">
        <f ca="1">IFERROR(__xludf.DUMMYFUNCTION("""COMPUTED_VALUE"""),425001)</f>
        <v>425001</v>
      </c>
      <c r="D200" s="3" t="str">
        <f ca="1">IFERROR(__xludf.DUMMYFUNCTION("""COMPUTED_VALUE"""),"Male")</f>
        <v>Male</v>
      </c>
      <c r="E200" s="1" t="str">
        <f ca="1">IFERROR(__xludf.DUMMYFUNCTION("""COMPUTED_VALUE"""),"Influencers who had successful careers")</f>
        <v>Influencers who had successful careers</v>
      </c>
      <c r="F200" s="1" t="str">
        <f ca="1">IFERROR(__xludf.DUMMYFUNCTION("""COMPUTED_VALUE"""),"Yes, I will earn and do that")</f>
        <v>Yes, I will earn and do that</v>
      </c>
      <c r="G200" s="1" t="str">
        <f ca="1">IFERROR(__xludf.DUMMYFUNCTION("""COMPUTED_VALUE"""),"This will be hard to do, but if it is the right company I would try")</f>
        <v>This will be hard to do, but if it is the right company I would try</v>
      </c>
      <c r="H200" s="1" t="str">
        <f ca="1">IFERROR(__xludf.DUMMYFUNCTION("""COMPUTED_VALUE"""),"Yes")</f>
        <v>Yes</v>
      </c>
      <c r="I200" s="1" t="str">
        <f ca="1">IFERROR(__xludf.DUMMYFUNCTION("""COMPUTED_VALUE"""),"Will NOT work for them")</f>
        <v>Will NOT work for them</v>
      </c>
      <c r="J200" s="1">
        <f ca="1">IFERROR(__xludf.DUMMYFUNCTION("""COMPUTED_VALUE"""),9)</f>
        <v>9</v>
      </c>
      <c r="K200" s="1" t="str">
        <f ca="1">IFERROR(__xludf.DUMMYFUNCTION("""COMPUTED_VALUE"""),"Hybrid Working Environment with less than 10 days a month at office")</f>
        <v>Hybrid Working Environment with less than 10 days a month at office</v>
      </c>
      <c r="L200" s="1" t="str">
        <f ca="1">IFERROR(__xludf.DUMMYFUNCTION("""COMPUTED_VALUE"""),"Employer who pushes your limits by enabling an learning environment, and rewards you at the end")</f>
        <v>Employer who pushes your limits by enabling an learning environment, and rewards you at the end</v>
      </c>
      <c r="M200" s="1" t="str">
        <f ca="1">IFERROR(__xludf.DUMMYFUNCTION("""COMPUTED_VALUE"""),"Instructor or Expert Learning Programs, Trial and error by doing side projects within the company")</f>
        <v>Instructor or Expert Learning Programs, Trial and error by doing side projects within the company</v>
      </c>
      <c r="N200"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200" s="1" t="str">
        <f ca="1">IFERROR(__xludf.DUMMYFUNCTION("""COMPUTED_VALUE"""),"Manager who explains what is expected, sets a goal and helps achieve it")</f>
        <v>Manager who explains what is expected, sets a goal and helps achieve it</v>
      </c>
      <c r="P200"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200" s="1"/>
    </row>
    <row r="201" spans="1:17" ht="13.2" x14ac:dyDescent="0.25">
      <c r="A201" s="2">
        <f ca="1">IFERROR(__xludf.DUMMYFUNCTION("""COMPUTED_VALUE"""),44916.2726616666)</f>
        <v>44916.272661666597</v>
      </c>
      <c r="B201" s="1" t="str">
        <f ca="1">IFERROR(__xludf.DUMMYFUNCTION("""COMPUTED_VALUE"""),"India")</f>
        <v>India</v>
      </c>
      <c r="C201" s="1">
        <f ca="1">IFERROR(__xludf.DUMMYFUNCTION("""COMPUTED_VALUE"""),500028)</f>
        <v>500028</v>
      </c>
      <c r="D201" s="3" t="str">
        <f ca="1">IFERROR(__xludf.DUMMYFUNCTION("""COMPUTED_VALUE"""),"Male")</f>
        <v>Male</v>
      </c>
      <c r="E201" s="1" t="str">
        <f ca="1">IFERROR(__xludf.DUMMYFUNCTION("""COMPUTED_VALUE"""),"People from my circle, but not family members")</f>
        <v>People from my circle, but not family members</v>
      </c>
      <c r="F201" s="1" t="str">
        <f ca="1">IFERROR(__xludf.DUMMYFUNCTION("""COMPUTED_VALUE"""),"Yes, I will earn and do that")</f>
        <v>Yes, I will earn and do that</v>
      </c>
      <c r="G201" s="1" t="str">
        <f ca="1">IFERROR(__xludf.DUMMYFUNCTION("""COMPUTED_VALUE"""),"No way, 3 years with one employer is crazy")</f>
        <v>No way, 3 years with one employer is crazy</v>
      </c>
      <c r="H201" s="1" t="str">
        <f ca="1">IFERROR(__xludf.DUMMYFUNCTION("""COMPUTED_VALUE"""),"Yes")</f>
        <v>Yes</v>
      </c>
      <c r="I201" s="1" t="str">
        <f ca="1">IFERROR(__xludf.DUMMYFUNCTION("""COMPUTED_VALUE"""),"Will work for them")</f>
        <v>Will work for them</v>
      </c>
      <c r="J201" s="1">
        <f ca="1">IFERROR(__xludf.DUMMYFUNCTION("""COMPUTED_VALUE"""),8)</f>
        <v>8</v>
      </c>
      <c r="K201" s="1" t="str">
        <f ca="1">IFERROR(__xludf.DUMMYFUNCTION("""COMPUTED_VALUE"""),"Fully Remote with Options to travel as and when needed")</f>
        <v>Fully Remote with Options to travel as and when needed</v>
      </c>
      <c r="L201" s="1" t="str">
        <f ca="1">IFERROR(__xludf.DUMMYFUNCTION("""COMPUTED_VALUE"""),"Employer who rewards learning and enables that environment")</f>
        <v>Employer who rewards learning and enables that environment</v>
      </c>
      <c r="M201" s="1" t="str">
        <f ca="1">IFERROR(__xludf.DUMMYFUNCTION("""COMPUTED_VALUE"""),"Instructor or Expert Learning Programs, Trial and error by doing side projects within the company")</f>
        <v>Instructor or Expert Learning Programs, Trial and error by doing side projects within the company</v>
      </c>
      <c r="N201"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201" s="1" t="str">
        <f ca="1">IFERROR(__xludf.DUMMYFUNCTION("""COMPUTED_VALUE"""),"Manager who sets targets and expects me to achieve it")</f>
        <v>Manager who sets targets and expects me to achieve it</v>
      </c>
      <c r="P201" s="1" t="str">
        <f ca="1">IFERROR(__xludf.DUMMYFUNCTION("""COMPUTED_VALUE"""),"Work with 2 to 3 people in my team")</f>
        <v>Work with 2 to 3 people in my team</v>
      </c>
      <c r="Q201" s="1"/>
    </row>
    <row r="202" spans="1:17" ht="13.2" x14ac:dyDescent="0.25">
      <c r="A202" s="2">
        <f ca="1">IFERROR(__xludf.DUMMYFUNCTION("""COMPUTED_VALUE"""),44916.3063703935)</f>
        <v>44916.306370393497</v>
      </c>
      <c r="B202" s="1" t="str">
        <f ca="1">IFERROR(__xludf.DUMMYFUNCTION("""COMPUTED_VALUE"""),"India")</f>
        <v>India</v>
      </c>
      <c r="C202" s="1">
        <f ca="1">IFERROR(__xludf.DUMMYFUNCTION("""COMPUTED_VALUE"""),413525)</f>
        <v>413525</v>
      </c>
      <c r="D202" s="3" t="str">
        <f ca="1">IFERROR(__xludf.DUMMYFUNCTION("""COMPUTED_VALUE"""),"Male")</f>
        <v>Male</v>
      </c>
      <c r="E202" s="1" t="str">
        <f ca="1">IFERROR(__xludf.DUMMYFUNCTION("""COMPUTED_VALUE"""),"My Parents")</f>
        <v>My Parents</v>
      </c>
      <c r="F202" s="1" t="str">
        <f ca="1">IFERROR(__xludf.DUMMYFUNCTION("""COMPUTED_VALUE"""),"Yes, I will earn and do that")</f>
        <v>Yes, I will earn and do that</v>
      </c>
      <c r="G202" s="1" t="str">
        <f ca="1">IFERROR(__xludf.DUMMYFUNCTION("""COMPUTED_VALUE"""),"Will work for 3 years or more")</f>
        <v>Will work for 3 years or more</v>
      </c>
      <c r="H202" s="1" t="str">
        <f ca="1">IFERROR(__xludf.DUMMYFUNCTION("""COMPUTED_VALUE"""),"Yes")</f>
        <v>Yes</v>
      </c>
      <c r="I202" s="1" t="str">
        <f ca="1">IFERROR(__xludf.DUMMYFUNCTION("""COMPUTED_VALUE"""),"Will work for them")</f>
        <v>Will work for them</v>
      </c>
      <c r="J202" s="1">
        <f ca="1">IFERROR(__xludf.DUMMYFUNCTION("""COMPUTED_VALUE"""),7)</f>
        <v>7</v>
      </c>
      <c r="K202" s="1" t="str">
        <f ca="1">IFERROR(__xludf.DUMMYFUNCTION("""COMPUTED_VALUE"""),"Hybrid Working Environment with less than 3 days a month at office")</f>
        <v>Hybrid Working Environment with less than 3 days a month at office</v>
      </c>
      <c r="L202" s="1" t="str">
        <f ca="1">IFERROR(__xludf.DUMMYFUNCTION("""COMPUTED_VALUE"""),"Employer who appreciates learning and enables that environment")</f>
        <v>Employer who appreciates learning and enables that environment</v>
      </c>
      <c r="M202" s="1" t="str">
        <f ca="1">IFERROR(__xludf.DUMMYFUNCTION("""COMPUTED_VALUE"""),"Self Paced Learning Portals, Learning by observing others")</f>
        <v>Self Paced Learning Portals, Learning by observing others</v>
      </c>
      <c r="N202" s="1" t="str">
        <f ca="1">IFERROR(__xludf.DUMMYFUNCTION("""COMPUTED_VALUE"""),"Business Operations in any organization, Build and develop a Team, Become a content Creator in some platform")</f>
        <v>Business Operations in any organization, Build and develop a Team, Become a content Creator in some platform</v>
      </c>
      <c r="O202" s="1" t="str">
        <f ca="1">IFERROR(__xludf.DUMMYFUNCTION("""COMPUTED_VALUE"""),"Manager who sets targets and expects me to achieve it")</f>
        <v>Manager who sets targets and expects me to achieve it</v>
      </c>
      <c r="P202" s="1" t="str">
        <f ca="1">IFERROR(__xludf.DUMMYFUNCTION("""COMPUTED_VALUE"""),"Work alone")</f>
        <v>Work alone</v>
      </c>
      <c r="Q202" s="1"/>
    </row>
    <row r="203" spans="1:17" ht="13.2" x14ac:dyDescent="0.25">
      <c r="A203" s="2">
        <f ca="1">IFERROR(__xludf.DUMMYFUNCTION("""COMPUTED_VALUE"""),44916.4995969675)</f>
        <v>44916.4995969675</v>
      </c>
      <c r="B203" s="1" t="str">
        <f ca="1">IFERROR(__xludf.DUMMYFUNCTION("""COMPUTED_VALUE"""),"India")</f>
        <v>India</v>
      </c>
      <c r="C203" s="1">
        <f ca="1">IFERROR(__xludf.DUMMYFUNCTION("""COMPUTED_VALUE"""),691505)</f>
        <v>691505</v>
      </c>
      <c r="D203" s="3" t="str">
        <f ca="1">IFERROR(__xludf.DUMMYFUNCTION("""COMPUTED_VALUE"""),"Male")</f>
        <v>Male</v>
      </c>
      <c r="E203" s="1" t="str">
        <f ca="1">IFERROR(__xludf.DUMMYFUNCTION("""COMPUTED_VALUE"""),"People from my circle, but not family members")</f>
        <v>People from my circle, but not family members</v>
      </c>
      <c r="F203" s="1" t="str">
        <f ca="1">IFERROR(__xludf.DUMMYFUNCTION("""COMPUTED_VALUE"""),"No, But if someone could bare the cost I will")</f>
        <v>No, But if someone could bare the cost I will</v>
      </c>
      <c r="G203" s="1" t="str">
        <f ca="1">IFERROR(__xludf.DUMMYFUNCTION("""COMPUTED_VALUE"""),"This will be hard to do, but if it is the right company I would try")</f>
        <v>This will be hard to do, but if it is the right company I would try</v>
      </c>
      <c r="H203" s="1" t="str">
        <f ca="1">IFERROR(__xludf.DUMMYFUNCTION("""COMPUTED_VALUE"""),"Yes")</f>
        <v>Yes</v>
      </c>
      <c r="I203" s="1" t="str">
        <f ca="1">IFERROR(__xludf.DUMMYFUNCTION("""COMPUTED_VALUE"""),"Will work for them")</f>
        <v>Will work for them</v>
      </c>
      <c r="J203" s="1">
        <f ca="1">IFERROR(__xludf.DUMMYFUNCTION("""COMPUTED_VALUE"""),8)</f>
        <v>8</v>
      </c>
      <c r="K203" s="1" t="str">
        <f ca="1">IFERROR(__xludf.DUMMYFUNCTION("""COMPUTED_VALUE"""),"Hybrid Working Environment with less than 15 days a month at office")</f>
        <v>Hybrid Working Environment with less than 15 days a month at office</v>
      </c>
      <c r="L203" s="1" t="str">
        <f ca="1">IFERROR(__xludf.DUMMYFUNCTION("""COMPUTED_VALUE"""),"Employer who rewards learning and enables that environment")</f>
        <v>Employer who rewards learning and enables that environment</v>
      </c>
      <c r="M203" s="1" t="str">
        <f ca="1">IFERROR(__xludf.DUMMYFUNCTION("""COMPUTED_VALUE"""),"Self Paced Learning Portals, Instructor or Expert Learning Programs")</f>
        <v>Self Paced Learning Portals, Instructor or Expert Learning Programs</v>
      </c>
      <c r="N203" s="1" t="str">
        <f ca="1">IFERROR(__xludf.DUMMYFUNCTION("""COMPUTED_VALUE"""),"Teaching in any of the institutes/online or Offline, Work in a BPO setup for some well known client, Work as a freelancer and do my thing my way")</f>
        <v>Teaching in any of the institutes/online or Offline, Work in a BPO setup for some well known client, Work as a freelancer and do my thing my way</v>
      </c>
      <c r="O203" s="1" t="str">
        <f ca="1">IFERROR(__xludf.DUMMYFUNCTION("""COMPUTED_VALUE"""),"Manager who explains what is expected, sets a goal and helps achieve it")</f>
        <v>Manager who explains what is expected, sets a goal and helps achieve it</v>
      </c>
      <c r="P203" s="1" t="str">
        <f ca="1">IFERROR(__xludf.DUMMYFUNCTION("""COMPUTED_VALUE"""),"Work with 5 to 6 people in my team")</f>
        <v>Work with 5 to 6 people in my team</v>
      </c>
      <c r="Q203" s="1"/>
    </row>
    <row r="204" spans="1:17" ht="13.2" x14ac:dyDescent="0.25">
      <c r="A204" s="2">
        <f ca="1">IFERROR(__xludf.DUMMYFUNCTION("""COMPUTED_VALUE"""),44916.5014487615)</f>
        <v>44916.501448761497</v>
      </c>
      <c r="B204" s="1" t="str">
        <f ca="1">IFERROR(__xludf.DUMMYFUNCTION("""COMPUTED_VALUE"""),"India")</f>
        <v>India</v>
      </c>
      <c r="C204" s="1">
        <f ca="1">IFERROR(__xludf.DUMMYFUNCTION("""COMPUTED_VALUE"""),605110)</f>
        <v>605110</v>
      </c>
      <c r="D204" s="3" t="str">
        <f ca="1">IFERROR(__xludf.DUMMYFUNCTION("""COMPUTED_VALUE"""),"Male")</f>
        <v>Male</v>
      </c>
      <c r="E204" s="1" t="str">
        <f ca="1">IFERROR(__xludf.DUMMYFUNCTION("""COMPUTED_VALUE"""),"My Parents")</f>
        <v>My Parents</v>
      </c>
      <c r="F204" s="1" t="str">
        <f ca="1">IFERROR(__xludf.DUMMYFUNCTION("""COMPUTED_VALUE"""),"No I would not be pursuing Higher Education outside of India")</f>
        <v>No I would not be pursuing Higher Education outside of India</v>
      </c>
      <c r="G204" s="1" t="str">
        <f ca="1">IFERROR(__xludf.DUMMYFUNCTION("""COMPUTED_VALUE"""),"This will be hard to do, but if it is the right company I would try")</f>
        <v>This will be hard to do, but if it is the right company I would try</v>
      </c>
      <c r="H204" s="1" t="str">
        <f ca="1">IFERROR(__xludf.DUMMYFUNCTION("""COMPUTED_VALUE"""),"No")</f>
        <v>No</v>
      </c>
      <c r="I204" s="1" t="str">
        <f ca="1">IFERROR(__xludf.DUMMYFUNCTION("""COMPUTED_VALUE"""),"Will NOT work for them")</f>
        <v>Will NOT work for them</v>
      </c>
      <c r="J204" s="1">
        <f ca="1">IFERROR(__xludf.DUMMYFUNCTION("""COMPUTED_VALUE"""),5)</f>
        <v>5</v>
      </c>
      <c r="K204" s="1" t="str">
        <f ca="1">IFERROR(__xludf.DUMMYFUNCTION("""COMPUTED_VALUE"""),"Hybrid Working Environment with less than 15 days a month at office")</f>
        <v>Hybrid Working Environment with less than 15 days a month at office</v>
      </c>
      <c r="L204" s="1" t="str">
        <f ca="1">IFERROR(__xludf.DUMMYFUNCTION("""COMPUTED_VALUE"""),"Employer who appreciates learning and enables that environment")</f>
        <v>Employer who appreciates learning and enables that environment</v>
      </c>
      <c r="M204" s="1" t="str">
        <f ca="1">IFERROR(__xludf.DUMMYFUNCTION("""COMPUTED_VALUE"""),"Self Paced Learning Portals, Instructor or Expert Learning Programs")</f>
        <v>Self Paced Learning Portals, Instructor or Expert Learning Programs</v>
      </c>
      <c r="N204"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04" s="1" t="str">
        <f ca="1">IFERROR(__xludf.DUMMYFUNCTION("""COMPUTED_VALUE"""),"Manager who sets goal and helps me achieve it")</f>
        <v>Manager who sets goal and helps me achieve it</v>
      </c>
      <c r="P204" s="1" t="str">
        <f ca="1">IFERROR(__xludf.DUMMYFUNCTION("""COMPUTED_VALUE"""),"Work with 5 to 6 people in my team")</f>
        <v>Work with 5 to 6 people in my team</v>
      </c>
      <c r="Q204" s="1"/>
    </row>
    <row r="205" spans="1:17" ht="13.2" x14ac:dyDescent="0.25">
      <c r="A205" s="2">
        <f ca="1">IFERROR(__xludf.DUMMYFUNCTION("""COMPUTED_VALUE"""),44916.5382517129)</f>
        <v>44916.538251712896</v>
      </c>
      <c r="B205" s="1" t="str">
        <f ca="1">IFERROR(__xludf.DUMMYFUNCTION("""COMPUTED_VALUE"""),"India")</f>
        <v>India</v>
      </c>
      <c r="C205" s="1">
        <f ca="1">IFERROR(__xludf.DUMMYFUNCTION("""COMPUTED_VALUE"""),673507)</f>
        <v>673507</v>
      </c>
      <c r="D205" s="3" t="str">
        <f ca="1">IFERROR(__xludf.DUMMYFUNCTION("""COMPUTED_VALUE"""),"Female")</f>
        <v>Female</v>
      </c>
      <c r="E205" s="1" t="str">
        <f ca="1">IFERROR(__xludf.DUMMYFUNCTION("""COMPUTED_VALUE"""),"People from my circle, but not family members")</f>
        <v>People from my circle, but not family members</v>
      </c>
      <c r="F205" s="1" t="str">
        <f ca="1">IFERROR(__xludf.DUMMYFUNCTION("""COMPUTED_VALUE"""),"No I would not be pursuing Higher Education outside of India")</f>
        <v>No I would not be pursuing Higher Education outside of India</v>
      </c>
      <c r="G205" s="1" t="str">
        <f ca="1">IFERROR(__xludf.DUMMYFUNCTION("""COMPUTED_VALUE"""),"No way, 3 years with one employer is crazy")</f>
        <v>No way, 3 years with one employer is crazy</v>
      </c>
      <c r="H205" s="1" t="str">
        <f ca="1">IFERROR(__xludf.DUMMYFUNCTION("""COMPUTED_VALUE"""),"No")</f>
        <v>No</v>
      </c>
      <c r="I205" s="1" t="str">
        <f ca="1">IFERROR(__xludf.DUMMYFUNCTION("""COMPUTED_VALUE"""),"Will NOT work for them")</f>
        <v>Will NOT work for them</v>
      </c>
      <c r="J205" s="1">
        <f ca="1">IFERROR(__xludf.DUMMYFUNCTION("""COMPUTED_VALUE"""),1)</f>
        <v>1</v>
      </c>
      <c r="K205" s="1" t="str">
        <f ca="1">IFERROR(__xludf.DUMMYFUNCTION("""COMPUTED_VALUE"""),"Hybrid Working Environment with less than 10 days a month at office")</f>
        <v>Hybrid Working Environment with less than 10 days a month at office</v>
      </c>
      <c r="L205" s="1" t="str">
        <f ca="1">IFERROR(__xludf.DUMMYFUNCTION("""COMPUTED_VALUE"""),"Employer who rewards learning and enables that environment")</f>
        <v>Employer who rewards learning and enables that environment</v>
      </c>
      <c r="M205" s="1" t="str">
        <f ca="1">IFERROR(__xludf.DUMMYFUNCTION("""COMPUTED_VALUE"""),"Learning by observing others, Trial and error by doing side projects within the company")</f>
        <v>Learning by observing others, Trial and error by doing side projects within the company</v>
      </c>
      <c r="N2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05" s="1" t="str">
        <f ca="1">IFERROR(__xludf.DUMMYFUNCTION("""COMPUTED_VALUE"""),"Manager who clearly describes what she/he needs")</f>
        <v>Manager who clearly describes what she/he needs</v>
      </c>
      <c r="P205" s="1" t="str">
        <f ca="1">IFERROR(__xludf.DUMMYFUNCTION("""COMPUTED_VALUE"""),"Work with 7 to 10 or more people in my team")</f>
        <v>Work with 7 to 10 or more people in my team</v>
      </c>
      <c r="Q205" s="1"/>
    </row>
    <row r="206" spans="1:17" ht="13.2" x14ac:dyDescent="0.25">
      <c r="A206" s="2">
        <f ca="1">IFERROR(__xludf.DUMMYFUNCTION("""COMPUTED_VALUE"""),44916.5708442361)</f>
        <v>44916.570844236099</v>
      </c>
      <c r="B206" s="1" t="str">
        <f ca="1">IFERROR(__xludf.DUMMYFUNCTION("""COMPUTED_VALUE"""),"India")</f>
        <v>India</v>
      </c>
      <c r="C206" s="1">
        <f ca="1">IFERROR(__xludf.DUMMYFUNCTION("""COMPUTED_VALUE"""),796701)</f>
        <v>796701</v>
      </c>
      <c r="D206" s="3" t="str">
        <f ca="1">IFERROR(__xludf.DUMMYFUNCTION("""COMPUTED_VALUE"""),"Female")</f>
        <v>Female</v>
      </c>
      <c r="E206" s="1" t="str">
        <f ca="1">IFERROR(__xludf.DUMMYFUNCTION("""COMPUTED_VALUE"""),"People who have changed the world for better")</f>
        <v>People who have changed the world for better</v>
      </c>
      <c r="F206" s="1" t="str">
        <f ca="1">IFERROR(__xludf.DUMMYFUNCTION("""COMPUTED_VALUE"""),"No, But if someone could bare the cost I will")</f>
        <v>No, But if someone could bare the cost I will</v>
      </c>
      <c r="G206" s="1" t="str">
        <f ca="1">IFERROR(__xludf.DUMMYFUNCTION("""COMPUTED_VALUE"""),"This will be hard to do, but if it is the right company I would try")</f>
        <v>This will be hard to do, but if it is the right company I would try</v>
      </c>
      <c r="H206" s="1" t="str">
        <f ca="1">IFERROR(__xludf.DUMMYFUNCTION("""COMPUTED_VALUE"""),"No")</f>
        <v>No</v>
      </c>
      <c r="I206" s="1" t="str">
        <f ca="1">IFERROR(__xludf.DUMMYFUNCTION("""COMPUTED_VALUE"""),"Will NOT work for them")</f>
        <v>Will NOT work for them</v>
      </c>
      <c r="J206" s="1">
        <f ca="1">IFERROR(__xludf.DUMMYFUNCTION("""COMPUTED_VALUE"""),3)</f>
        <v>3</v>
      </c>
      <c r="K206" s="1" t="str">
        <f ca="1">IFERROR(__xludf.DUMMYFUNCTION("""COMPUTED_VALUE"""),"Hybrid Working Environment with less than 15 days a month at office")</f>
        <v>Hybrid Working Environment with less than 15 days a month at office</v>
      </c>
      <c r="L206" s="1" t="str">
        <f ca="1">IFERROR(__xludf.DUMMYFUNCTION("""COMPUTED_VALUE"""),"Employer who rewards learning and enables that environment")</f>
        <v>Employer who rewards learning and enables that environment</v>
      </c>
      <c r="M206" s="1" t="str">
        <f ca="1">IFERROR(__xludf.DUMMYFUNCTION("""COMPUTED_VALUE"""),"Instructor or Expert Learning Programs, Trial and error by doing side projects within the company")</f>
        <v>Instructor or Expert Learning Programs, Trial and error by doing side projects within the company</v>
      </c>
      <c r="N206"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06" s="1" t="str">
        <f ca="1">IFERROR(__xludf.DUMMYFUNCTION("""COMPUTED_VALUE"""),"Manager who explains what is expected, sets a goal and helps achieve it")</f>
        <v>Manager who explains what is expected, sets a goal and helps achieve it</v>
      </c>
      <c r="P206" s="1" t="str">
        <f ca="1">IFERROR(__xludf.DUMMYFUNCTION("""COMPUTED_VALUE"""),"Work with 5 to 6 people in my team")</f>
        <v>Work with 5 to 6 people in my team</v>
      </c>
      <c r="Q206" s="1"/>
    </row>
    <row r="207" spans="1:17" ht="13.2" x14ac:dyDescent="0.25">
      <c r="A207" s="2">
        <f ca="1">IFERROR(__xludf.DUMMYFUNCTION("""COMPUTED_VALUE"""),44916.6018646412)</f>
        <v>44916.601864641198</v>
      </c>
      <c r="B207" s="1" t="str">
        <f ca="1">IFERROR(__xludf.DUMMYFUNCTION("""COMPUTED_VALUE"""),"India")</f>
        <v>India</v>
      </c>
      <c r="C207" s="1">
        <f ca="1">IFERROR(__xludf.DUMMYFUNCTION("""COMPUTED_VALUE"""),1234)</f>
        <v>1234</v>
      </c>
      <c r="D207" s="3" t="str">
        <f ca="1">IFERROR(__xludf.DUMMYFUNCTION("""COMPUTED_VALUE"""),"Male")</f>
        <v>Male</v>
      </c>
      <c r="E207" s="1" t="str">
        <f ca="1">IFERROR(__xludf.DUMMYFUNCTION("""COMPUTED_VALUE"""),"My Parents")</f>
        <v>My Parents</v>
      </c>
      <c r="F207" s="1" t="str">
        <f ca="1">IFERROR(__xludf.DUMMYFUNCTION("""COMPUTED_VALUE"""),"Yes, I will earn and do that")</f>
        <v>Yes, I will earn and do that</v>
      </c>
      <c r="G207" s="1" t="str">
        <f ca="1">IFERROR(__xludf.DUMMYFUNCTION("""COMPUTED_VALUE"""),"Will work for 3 years or more")</f>
        <v>Will work for 3 years or more</v>
      </c>
      <c r="H207" s="1" t="str">
        <f ca="1">IFERROR(__xludf.DUMMYFUNCTION("""COMPUTED_VALUE"""),"Yes")</f>
        <v>Yes</v>
      </c>
      <c r="I207" s="1" t="str">
        <f ca="1">IFERROR(__xludf.DUMMYFUNCTION("""COMPUTED_VALUE"""),"Will work for them")</f>
        <v>Will work for them</v>
      </c>
      <c r="J207" s="1">
        <f ca="1">IFERROR(__xludf.DUMMYFUNCTION("""COMPUTED_VALUE"""),1)</f>
        <v>1</v>
      </c>
      <c r="K207" s="1" t="str">
        <f ca="1">IFERROR(__xludf.DUMMYFUNCTION("""COMPUTED_VALUE"""),"Every Day Office Environment")</f>
        <v>Every Day Office Environment</v>
      </c>
      <c r="L207" s="1" t="str">
        <f ca="1">IFERROR(__xludf.DUMMYFUNCTION("""COMPUTED_VALUE"""),"Employer who appreciates learning and enables that environment")</f>
        <v>Employer who appreciates learning and enables that environment</v>
      </c>
      <c r="M207" s="1" t="str">
        <f ca="1">IFERROR(__xludf.DUMMYFUNCTION("""COMPUTED_VALUE"""),"Self Paced Learning Portals, Learning by observing others")</f>
        <v>Self Paced Learning Portals, Learning by observing others</v>
      </c>
      <c r="N207"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07" s="1" t="str">
        <f ca="1">IFERROR(__xludf.DUMMYFUNCTION("""COMPUTED_VALUE"""),"Manager who clearly describes what she/he needs")</f>
        <v>Manager who clearly describes what she/he needs</v>
      </c>
      <c r="P207" s="1" t="str">
        <f ca="1">IFERROR(__xludf.DUMMYFUNCTION("""COMPUTED_VALUE"""),"Work with 2 to 3 people in my team")</f>
        <v>Work with 2 to 3 people in my team</v>
      </c>
      <c r="Q207" s="1"/>
    </row>
    <row r="208" spans="1:17" ht="13.2" x14ac:dyDescent="0.25">
      <c r="A208" s="2">
        <f ca="1">IFERROR(__xludf.DUMMYFUNCTION("""COMPUTED_VALUE"""),44916.6042445949)</f>
        <v>44916.604244594899</v>
      </c>
      <c r="B208" s="1" t="str">
        <f ca="1">IFERROR(__xludf.DUMMYFUNCTION("""COMPUTED_VALUE"""),"India")</f>
        <v>India</v>
      </c>
      <c r="C208" s="1">
        <f ca="1">IFERROR(__xludf.DUMMYFUNCTION("""COMPUTED_VALUE"""),605110)</f>
        <v>605110</v>
      </c>
      <c r="D208" s="3" t="str">
        <f ca="1">IFERROR(__xludf.DUMMYFUNCTION("""COMPUTED_VALUE"""),"Male")</f>
        <v>Male</v>
      </c>
      <c r="E208" s="1" t="str">
        <f ca="1">IFERROR(__xludf.DUMMYFUNCTION("""COMPUTED_VALUE"""),"People who have changed the world for better")</f>
        <v>People who have changed the world for better</v>
      </c>
      <c r="F208" s="1" t="str">
        <f ca="1">IFERROR(__xludf.DUMMYFUNCTION("""COMPUTED_VALUE"""),"Yes, I will earn and do that")</f>
        <v>Yes, I will earn and do that</v>
      </c>
      <c r="G208" s="1" t="str">
        <f ca="1">IFERROR(__xludf.DUMMYFUNCTION("""COMPUTED_VALUE"""),"This will be hard to do, but if it is the right company I would try")</f>
        <v>This will be hard to do, but if it is the right company I would try</v>
      </c>
      <c r="H208" s="1" t="str">
        <f ca="1">IFERROR(__xludf.DUMMYFUNCTION("""COMPUTED_VALUE"""),"Yes")</f>
        <v>Yes</v>
      </c>
      <c r="I208" s="1" t="str">
        <f ca="1">IFERROR(__xludf.DUMMYFUNCTION("""COMPUTED_VALUE"""),"Will NOT work for them")</f>
        <v>Will NOT work for them</v>
      </c>
      <c r="J208" s="1">
        <f ca="1">IFERROR(__xludf.DUMMYFUNCTION("""COMPUTED_VALUE"""),3)</f>
        <v>3</v>
      </c>
      <c r="K208" s="1" t="str">
        <f ca="1">IFERROR(__xludf.DUMMYFUNCTION("""COMPUTED_VALUE"""),"Hybrid Working Environment with less than 15 days a month at office")</f>
        <v>Hybrid Working Environment with less than 15 days a month at office</v>
      </c>
      <c r="L208" s="1" t="str">
        <f ca="1">IFERROR(__xludf.DUMMYFUNCTION("""COMPUTED_VALUE"""),"Employer who appreciates learning and enables that environment")</f>
        <v>Employer who appreciates learning and enables that environment</v>
      </c>
      <c r="M208" s="1" t="str">
        <f ca="1">IFERROR(__xludf.DUMMYFUNCTION("""COMPUTED_VALUE"""),"Instructor or Expert Learning Programs, Trial and error by doing side projects within the company")</f>
        <v>Instructor or Expert Learning Programs, Trial and error by doing side projects within the company</v>
      </c>
      <c r="N208" s="1" t="str">
        <f ca="1">IFERROR(__xludf.DUMMYFUNCTION("""COMPUTED_VALUE"""),"Teaching in any of the institutes/online or Offline, Business Operations in any organization, Work in a BPO setup for some well known client")</f>
        <v>Teaching in any of the institutes/online or Offline, Business Operations in any organization, Work in a BPO setup for some well known client</v>
      </c>
      <c r="O208" s="1" t="str">
        <f ca="1">IFERROR(__xludf.DUMMYFUNCTION("""COMPUTED_VALUE"""),"Manager who sets goal and helps me achieve it")</f>
        <v>Manager who sets goal and helps me achieve it</v>
      </c>
      <c r="P208" s="1" t="str">
        <f ca="1">IFERROR(__xludf.DUMMYFUNCTION("""COMPUTED_VALUE"""),"Work with more than 10 people in my team")</f>
        <v>Work with more than 10 people in my team</v>
      </c>
      <c r="Q208" s="1"/>
    </row>
    <row r="209" spans="1:17" ht="13.2" x14ac:dyDescent="0.25">
      <c r="A209" s="2">
        <f ca="1">IFERROR(__xludf.DUMMYFUNCTION("""COMPUTED_VALUE"""),44916.606353831)</f>
        <v>44916.606353830997</v>
      </c>
      <c r="B209" s="1" t="str">
        <f ca="1">IFERROR(__xludf.DUMMYFUNCTION("""COMPUTED_VALUE"""),"India")</f>
        <v>India</v>
      </c>
      <c r="C209" s="1">
        <f ca="1">IFERROR(__xludf.DUMMYFUNCTION("""COMPUTED_VALUE"""),605501)</f>
        <v>605501</v>
      </c>
      <c r="D209" s="3" t="str">
        <f ca="1">IFERROR(__xludf.DUMMYFUNCTION("""COMPUTED_VALUE"""),"Male")</f>
        <v>Male</v>
      </c>
      <c r="E209" s="1" t="str">
        <f ca="1">IFERROR(__xludf.DUMMYFUNCTION("""COMPUTED_VALUE"""),"Social Media like LinkedIn")</f>
        <v>Social Media like LinkedIn</v>
      </c>
      <c r="F209" s="1" t="str">
        <f ca="1">IFERROR(__xludf.DUMMYFUNCTION("""COMPUTED_VALUE"""),"No I would not be pursuing Higher Education outside of India")</f>
        <v>No I would not be pursuing Higher Education outside of India</v>
      </c>
      <c r="G209" s="1" t="str">
        <f ca="1">IFERROR(__xludf.DUMMYFUNCTION("""COMPUTED_VALUE"""),"Will work for 3 years or more")</f>
        <v>Will work for 3 years or more</v>
      </c>
      <c r="H209" s="1" t="str">
        <f ca="1">IFERROR(__xludf.DUMMYFUNCTION("""COMPUTED_VALUE"""),"Yes")</f>
        <v>Yes</v>
      </c>
      <c r="I209" s="1" t="str">
        <f ca="1">IFERROR(__xludf.DUMMYFUNCTION("""COMPUTED_VALUE"""),"Will work for them")</f>
        <v>Will work for them</v>
      </c>
      <c r="J209" s="1">
        <f ca="1">IFERROR(__xludf.DUMMYFUNCTION("""COMPUTED_VALUE"""),8)</f>
        <v>8</v>
      </c>
      <c r="K209" s="1" t="str">
        <f ca="1">IFERROR(__xludf.DUMMYFUNCTION("""COMPUTED_VALUE"""),"Every Day Office Environment")</f>
        <v>Every Day Office Environment</v>
      </c>
      <c r="L209" s="1" t="str">
        <f ca="1">IFERROR(__xludf.DUMMYFUNCTION("""COMPUTED_VALUE"""),"Employer who appreciates learning and enables that environment")</f>
        <v>Employer who appreciates learning and enables that environment</v>
      </c>
      <c r="M209" s="1" t="str">
        <f ca="1">IFERROR(__xludf.DUMMYFUNCTION("""COMPUTED_VALUE"""),"Learning by observing others, Trial and error by doing side projects within the company")</f>
        <v>Learning by observing others, Trial and error by doing side projects within the company</v>
      </c>
      <c r="N209"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09" s="1" t="str">
        <f ca="1">IFERROR(__xludf.DUMMYFUNCTION("""COMPUTED_VALUE"""),"Manager who sets targets and expects me to achieve it")</f>
        <v>Manager who sets targets and expects me to achieve it</v>
      </c>
      <c r="P209" s="1" t="str">
        <f ca="1">IFERROR(__xludf.DUMMYFUNCTION("""COMPUTED_VALUE"""),"Work with more than 10 people in my team")</f>
        <v>Work with more than 10 people in my team</v>
      </c>
      <c r="Q209" s="1"/>
    </row>
    <row r="210" spans="1:17" ht="13.2" x14ac:dyDescent="0.25">
      <c r="A210" s="2">
        <f ca="1">IFERROR(__xludf.DUMMYFUNCTION("""COMPUTED_VALUE"""),44916.6064925925)</f>
        <v>44916.606492592502</v>
      </c>
      <c r="B210" s="1" t="str">
        <f ca="1">IFERROR(__xludf.DUMMYFUNCTION("""COMPUTED_VALUE"""),"India")</f>
        <v>India</v>
      </c>
      <c r="C210" s="1">
        <f ca="1">IFERROR(__xludf.DUMMYFUNCTION("""COMPUTED_VALUE"""),604102)</f>
        <v>604102</v>
      </c>
      <c r="D210" s="3" t="str">
        <f ca="1">IFERROR(__xludf.DUMMYFUNCTION("""COMPUTED_VALUE"""),"Female")</f>
        <v>Female</v>
      </c>
      <c r="E210" s="1" t="str">
        <f ca="1">IFERROR(__xludf.DUMMYFUNCTION("""COMPUTED_VALUE"""),"Social Media like LinkedIn")</f>
        <v>Social Media like LinkedIn</v>
      </c>
      <c r="F210" s="1" t="str">
        <f ca="1">IFERROR(__xludf.DUMMYFUNCTION("""COMPUTED_VALUE"""),"No, But if someone could bare the cost I will")</f>
        <v>No, But if someone could bare the cost I will</v>
      </c>
      <c r="G210" s="1" t="str">
        <f ca="1">IFERROR(__xludf.DUMMYFUNCTION("""COMPUTED_VALUE"""),"This will be hard to do, but if it is the right company I would try")</f>
        <v>This will be hard to do, but if it is the right company I would try</v>
      </c>
      <c r="H210" s="1" t="str">
        <f ca="1">IFERROR(__xludf.DUMMYFUNCTION("""COMPUTED_VALUE"""),"No")</f>
        <v>No</v>
      </c>
      <c r="I210" s="1" t="str">
        <f ca="1">IFERROR(__xludf.DUMMYFUNCTION("""COMPUTED_VALUE"""),"Will NOT work for them")</f>
        <v>Will NOT work for them</v>
      </c>
      <c r="J210" s="1">
        <f ca="1">IFERROR(__xludf.DUMMYFUNCTION("""COMPUTED_VALUE"""),7)</f>
        <v>7</v>
      </c>
      <c r="K210" s="1" t="str">
        <f ca="1">IFERROR(__xludf.DUMMYFUNCTION("""COMPUTED_VALUE"""),"Every Day Office Environment")</f>
        <v>Every Day Office Environment</v>
      </c>
      <c r="L210" s="1" t="str">
        <f ca="1">IFERROR(__xludf.DUMMYFUNCTION("""COMPUTED_VALUE"""),"Employer who rewards learning and enables that environment")</f>
        <v>Employer who rewards learning and enables that environment</v>
      </c>
      <c r="M210" s="1" t="str">
        <f ca="1">IFERROR(__xludf.DUMMYFUNCTION("""COMPUTED_VALUE"""),"Self Paced Learning Portals, Learning by observing others")</f>
        <v>Self Paced Learning Portals, Learning by observing others</v>
      </c>
      <c r="N21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10" s="1" t="str">
        <f ca="1">IFERROR(__xludf.DUMMYFUNCTION("""COMPUTED_VALUE"""),"Manager who explains what is expected, sets a goal and helps achieve it")</f>
        <v>Manager who explains what is expected, sets a goal and helps achieve it</v>
      </c>
      <c r="P210" s="1" t="str">
        <f ca="1">IFERROR(__xludf.DUMMYFUNCTION("""COMPUTED_VALUE"""),"Work with 2 to 3 people in my team")</f>
        <v>Work with 2 to 3 people in my team</v>
      </c>
      <c r="Q210" s="1"/>
    </row>
    <row r="211" spans="1:17" ht="13.2" x14ac:dyDescent="0.25">
      <c r="A211" s="2">
        <f ca="1">IFERROR(__xludf.DUMMYFUNCTION("""COMPUTED_VALUE"""),44916.606977118)</f>
        <v>44916.606977117997</v>
      </c>
      <c r="B211" s="1" t="str">
        <f ca="1">IFERROR(__xludf.DUMMYFUNCTION("""COMPUTED_VALUE"""),"India")</f>
        <v>India</v>
      </c>
      <c r="C211" s="1">
        <f ca="1">IFERROR(__xludf.DUMMYFUNCTION("""COMPUTED_VALUE"""),605102)</f>
        <v>605102</v>
      </c>
      <c r="D211" s="3" t="str">
        <f ca="1">IFERROR(__xludf.DUMMYFUNCTION("""COMPUTED_VALUE"""),"Male")</f>
        <v>Male</v>
      </c>
      <c r="E211" s="1" t="str">
        <f ca="1">IFERROR(__xludf.DUMMYFUNCTION("""COMPUTED_VALUE"""),"My Parents")</f>
        <v>My Parents</v>
      </c>
      <c r="F211" s="1" t="str">
        <f ca="1">IFERROR(__xludf.DUMMYFUNCTION("""COMPUTED_VALUE"""),"Yes, I will earn and do that")</f>
        <v>Yes, I will earn and do that</v>
      </c>
      <c r="G211" s="1" t="str">
        <f ca="1">IFERROR(__xludf.DUMMYFUNCTION("""COMPUTED_VALUE"""),"This will be hard to do, but if it is the right company I would try")</f>
        <v>This will be hard to do, but if it is the right company I would try</v>
      </c>
      <c r="H211" s="1" t="str">
        <f ca="1">IFERROR(__xludf.DUMMYFUNCTION("""COMPUTED_VALUE"""),"Yes")</f>
        <v>Yes</v>
      </c>
      <c r="I211" s="1" t="str">
        <f ca="1">IFERROR(__xludf.DUMMYFUNCTION("""COMPUTED_VALUE"""),"Will NOT work for them")</f>
        <v>Will NOT work for them</v>
      </c>
      <c r="J211" s="1">
        <f ca="1">IFERROR(__xludf.DUMMYFUNCTION("""COMPUTED_VALUE"""),2)</f>
        <v>2</v>
      </c>
      <c r="K211" s="1" t="str">
        <f ca="1">IFERROR(__xludf.DUMMYFUNCTION("""COMPUTED_VALUE"""),"Every Day Office Environment")</f>
        <v>Every Day Office Environment</v>
      </c>
      <c r="L211" s="1" t="str">
        <f ca="1">IFERROR(__xludf.DUMMYFUNCTION("""COMPUTED_VALUE"""),"Employer who appreciates learning and enables that environment")</f>
        <v>Employer who appreciates learning and enables that environment</v>
      </c>
      <c r="M211" s="1" t="str">
        <f ca="1">IFERROR(__xludf.DUMMYFUNCTION("""COMPUTED_VALUE"""),"Self Paced Learning Portals, Instructor or Expert Learning Programs")</f>
        <v>Self Paced Learning Portals, Instructor or Expert Learning Programs</v>
      </c>
      <c r="N21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1" s="1" t="str">
        <f ca="1">IFERROR(__xludf.DUMMYFUNCTION("""COMPUTED_VALUE"""),"Manager who sets targets and expects me to achieve it")</f>
        <v>Manager who sets targets and expects me to achieve it</v>
      </c>
      <c r="P211" s="1" t="str">
        <f ca="1">IFERROR(__xludf.DUMMYFUNCTION("""COMPUTED_VALUE"""),"Work with 2 to 3 people in my team")</f>
        <v>Work with 2 to 3 people in my team</v>
      </c>
      <c r="Q211" s="1"/>
    </row>
    <row r="212" spans="1:17" ht="13.2" x14ac:dyDescent="0.25">
      <c r="A212" s="2">
        <f ca="1">IFERROR(__xludf.DUMMYFUNCTION("""COMPUTED_VALUE"""),44916.6070429282)</f>
        <v>44916.607042928197</v>
      </c>
      <c r="B212" s="1" t="str">
        <f ca="1">IFERROR(__xludf.DUMMYFUNCTION("""COMPUTED_VALUE"""),"India")</f>
        <v>India</v>
      </c>
      <c r="C212" s="1">
        <f ca="1">IFERROR(__xludf.DUMMYFUNCTION("""COMPUTED_VALUE"""),607402)</f>
        <v>607402</v>
      </c>
      <c r="D212" s="3" t="str">
        <f ca="1">IFERROR(__xludf.DUMMYFUNCTION("""COMPUTED_VALUE"""),"Male")</f>
        <v>Male</v>
      </c>
      <c r="E212" s="1" t="str">
        <f ca="1">IFERROR(__xludf.DUMMYFUNCTION("""COMPUTED_VALUE"""),"People who have changed the world for better")</f>
        <v>People who have changed the world for better</v>
      </c>
      <c r="F212" s="1" t="str">
        <f ca="1">IFERROR(__xludf.DUMMYFUNCTION("""COMPUTED_VALUE"""),"No I would not be pursuing Higher Education outside of India")</f>
        <v>No I would not be pursuing Higher Education outside of India</v>
      </c>
      <c r="G212" s="1" t="str">
        <f ca="1">IFERROR(__xludf.DUMMYFUNCTION("""COMPUTED_VALUE"""),"This will be hard to do, but if it is the right company I would try")</f>
        <v>This will be hard to do, but if it is the right company I would try</v>
      </c>
      <c r="H212" s="1" t="str">
        <f ca="1">IFERROR(__xludf.DUMMYFUNCTION("""COMPUTED_VALUE"""),"No")</f>
        <v>No</v>
      </c>
      <c r="I212" s="1" t="str">
        <f ca="1">IFERROR(__xludf.DUMMYFUNCTION("""COMPUTED_VALUE"""),"Will NOT work for them")</f>
        <v>Will NOT work for them</v>
      </c>
      <c r="J212" s="1">
        <f ca="1">IFERROR(__xludf.DUMMYFUNCTION("""COMPUTED_VALUE"""),4)</f>
        <v>4</v>
      </c>
      <c r="K212" s="1" t="str">
        <f ca="1">IFERROR(__xludf.DUMMYFUNCTION("""COMPUTED_VALUE"""),"Fully Remote with Options to travel as and when needed")</f>
        <v>Fully Remote with Options to travel as and when needed</v>
      </c>
      <c r="L212" s="1" t="str">
        <f ca="1">IFERROR(__xludf.DUMMYFUNCTION("""COMPUTED_VALUE"""),"Employer who appreciates learning and enables that environment")</f>
        <v>Employer who appreciates learning and enables that environment</v>
      </c>
      <c r="M212" s="1" t="str">
        <f ca="1">IFERROR(__xludf.DUMMYFUNCTION("""COMPUTED_VALUE"""),"Instructor or Expert Learning Programs, Learning by observing others")</f>
        <v>Instructor or Expert Learning Programs, Learning by observing others</v>
      </c>
      <c r="N212"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12" s="1" t="str">
        <f ca="1">IFERROR(__xludf.DUMMYFUNCTION("""COMPUTED_VALUE"""),"Manager who explains what is expected, sets a goal and helps achieve it")</f>
        <v>Manager who explains what is expected, sets a goal and helps achieve it</v>
      </c>
      <c r="P212" s="1" t="str">
        <f ca="1">IFERROR(__xludf.DUMMYFUNCTION("""COMPUTED_VALUE"""),"Work with more than 10 people in my team")</f>
        <v>Work with more than 10 people in my team</v>
      </c>
      <c r="Q212" s="1"/>
    </row>
    <row r="213" spans="1:17" ht="13.2" x14ac:dyDescent="0.25">
      <c r="A213" s="2">
        <f ca="1">IFERROR(__xludf.DUMMYFUNCTION("""COMPUTED_VALUE"""),44916.6079326736)</f>
        <v>44916.6079326736</v>
      </c>
      <c r="B213" s="1" t="str">
        <f ca="1">IFERROR(__xludf.DUMMYFUNCTION("""COMPUTED_VALUE"""),"India")</f>
        <v>India</v>
      </c>
      <c r="C213" s="1">
        <f ca="1">IFERROR(__xludf.DUMMYFUNCTION("""COMPUTED_VALUE"""),605003)</f>
        <v>605003</v>
      </c>
      <c r="D213" s="3" t="str">
        <f ca="1">IFERROR(__xludf.DUMMYFUNCTION("""COMPUTED_VALUE"""),"Male")</f>
        <v>Male</v>
      </c>
      <c r="E213" s="1" t="str">
        <f ca="1">IFERROR(__xludf.DUMMYFUNCTION("""COMPUTED_VALUE"""),"My Parents")</f>
        <v>My Parents</v>
      </c>
      <c r="F213" s="1" t="str">
        <f ca="1">IFERROR(__xludf.DUMMYFUNCTION("""COMPUTED_VALUE"""),"Yes, I will earn and do that")</f>
        <v>Yes, I will earn and do that</v>
      </c>
      <c r="G213" s="1" t="str">
        <f ca="1">IFERROR(__xludf.DUMMYFUNCTION("""COMPUTED_VALUE"""),"No way, 3 years with one employer is crazy")</f>
        <v>No way, 3 years with one employer is crazy</v>
      </c>
      <c r="H213" s="1" t="str">
        <f ca="1">IFERROR(__xludf.DUMMYFUNCTION("""COMPUTED_VALUE"""),"Yes")</f>
        <v>Yes</v>
      </c>
      <c r="I213" s="1" t="str">
        <f ca="1">IFERROR(__xludf.DUMMYFUNCTION("""COMPUTED_VALUE"""),"Will work for them")</f>
        <v>Will work for them</v>
      </c>
      <c r="J213" s="1">
        <f ca="1">IFERROR(__xludf.DUMMYFUNCTION("""COMPUTED_VALUE"""),2)</f>
        <v>2</v>
      </c>
      <c r="K213" s="1" t="str">
        <f ca="1">IFERROR(__xludf.DUMMYFUNCTION("""COMPUTED_VALUE"""),"Every Day Office Environment")</f>
        <v>Every Day Office Environment</v>
      </c>
      <c r="L213" s="1" t="str">
        <f ca="1">IFERROR(__xludf.DUMMYFUNCTION("""COMPUTED_VALUE"""),"Employer who appreciates learning and enables that environment")</f>
        <v>Employer who appreciates learning and enables that environment</v>
      </c>
      <c r="M213" s="1" t="str">
        <f ca="1">IFERROR(__xludf.DUMMYFUNCTION("""COMPUTED_VALUE"""),"Instructor or Expert Learning Programs, Learning by observing others")</f>
        <v>Instructor or Expert Learning Programs, Learning by observing others</v>
      </c>
      <c r="N213" s="1" t="str">
        <f ca="1">IFERROR(__xludf.DUMMYFUNCTION("""COMPUTED_VALUE"""),"Design and Creative strategy in any company, Manage and drive End-to-End Projects or Products, Work in a BPO setup for some well known client")</f>
        <v>Design and Creative strategy in any company, Manage and drive End-to-End Projects or Products, Work in a BPO setup for some well known client</v>
      </c>
      <c r="O213" s="1" t="str">
        <f ca="1">IFERROR(__xludf.DUMMYFUNCTION("""COMPUTED_VALUE"""),"Manager who sets targets and expects me to achieve it")</f>
        <v>Manager who sets targets and expects me to achieve it</v>
      </c>
      <c r="P213" s="1" t="str">
        <f ca="1">IFERROR(__xludf.DUMMYFUNCTION("""COMPUTED_VALUE"""),"Work with 7 to 10 or more people in my team")</f>
        <v>Work with 7 to 10 or more people in my team</v>
      </c>
      <c r="Q213" s="1"/>
    </row>
    <row r="214" spans="1:17" ht="13.2" x14ac:dyDescent="0.25">
      <c r="A214" s="2">
        <f ca="1">IFERROR(__xludf.DUMMYFUNCTION("""COMPUTED_VALUE"""),44916.6081362268)</f>
        <v>44916.608136226801</v>
      </c>
      <c r="B214" s="1" t="str">
        <f ca="1">IFERROR(__xludf.DUMMYFUNCTION("""COMPUTED_VALUE"""),"India")</f>
        <v>India</v>
      </c>
      <c r="C214" s="1">
        <f ca="1">IFERROR(__xludf.DUMMYFUNCTION("""COMPUTED_VALUE"""),607003)</f>
        <v>607003</v>
      </c>
      <c r="D214" s="3" t="str">
        <f ca="1">IFERROR(__xludf.DUMMYFUNCTION("""COMPUTED_VALUE"""),"Male")</f>
        <v>Male</v>
      </c>
      <c r="E214" s="1" t="str">
        <f ca="1">IFERROR(__xludf.DUMMYFUNCTION("""COMPUTED_VALUE"""),"People who have changed the world for better")</f>
        <v>People who have changed the world for better</v>
      </c>
      <c r="F214" s="1" t="str">
        <f ca="1">IFERROR(__xludf.DUMMYFUNCTION("""COMPUTED_VALUE"""),"Yes, I will earn and do that")</f>
        <v>Yes, I will earn and do that</v>
      </c>
      <c r="G214" s="1" t="str">
        <f ca="1">IFERROR(__xludf.DUMMYFUNCTION("""COMPUTED_VALUE"""),"This will be hard to do, but if it is the right company I would try")</f>
        <v>This will be hard to do, but if it is the right company I would try</v>
      </c>
      <c r="H214" s="1" t="str">
        <f ca="1">IFERROR(__xludf.DUMMYFUNCTION("""COMPUTED_VALUE"""),"Yes")</f>
        <v>Yes</v>
      </c>
      <c r="I214" s="1" t="str">
        <f ca="1">IFERROR(__xludf.DUMMYFUNCTION("""COMPUTED_VALUE"""),"Will work for them")</f>
        <v>Will work for them</v>
      </c>
      <c r="J214" s="1">
        <f ca="1">IFERROR(__xludf.DUMMYFUNCTION("""COMPUTED_VALUE"""),5)</f>
        <v>5</v>
      </c>
      <c r="K214" s="1" t="str">
        <f ca="1">IFERROR(__xludf.DUMMYFUNCTION("""COMPUTED_VALUE"""),"Fully Remote with Options to travel as and when needed")</f>
        <v>Fully Remote with Options to travel as and when needed</v>
      </c>
      <c r="L214" s="1" t="str">
        <f ca="1">IFERROR(__xludf.DUMMYFUNCTION("""COMPUTED_VALUE"""),"Employer who pushes your limits by enabling an learning environment, and rewards you at the end")</f>
        <v>Employer who pushes your limits by enabling an learning environment, and rewards you at the end</v>
      </c>
      <c r="M214" s="1" t="str">
        <f ca="1">IFERROR(__xludf.DUMMYFUNCTION("""COMPUTED_VALUE"""),"Self Paced Learning Portals, Learning by observing others")</f>
        <v>Self Paced Learning Portals, Learning by observing others</v>
      </c>
      <c r="N21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14" s="1" t="str">
        <f ca="1">IFERROR(__xludf.DUMMYFUNCTION("""COMPUTED_VALUE"""),"Manager who explains what is expected, sets a goal and helps achieve it")</f>
        <v>Manager who explains what is expected, sets a goal and helps achieve it</v>
      </c>
      <c r="P214" s="1" t="str">
        <f ca="1">IFERROR(__xludf.DUMMYFUNCTION("""COMPUTED_VALUE"""),"Work with 5 to 6 people in my team")</f>
        <v>Work with 5 to 6 people in my team</v>
      </c>
      <c r="Q214" s="1"/>
    </row>
    <row r="215" spans="1:17" ht="13.2" x14ac:dyDescent="0.25">
      <c r="A215" s="2">
        <f ca="1">IFERROR(__xludf.DUMMYFUNCTION("""COMPUTED_VALUE"""),44916.6095500463)</f>
        <v>44916.609550046298</v>
      </c>
      <c r="B215" s="1" t="str">
        <f ca="1">IFERROR(__xludf.DUMMYFUNCTION("""COMPUTED_VALUE"""),"India")</f>
        <v>India</v>
      </c>
      <c r="C215" s="1">
        <f ca="1">IFERROR(__xludf.DUMMYFUNCTION("""COMPUTED_VALUE"""),605110)</f>
        <v>605110</v>
      </c>
      <c r="D215" s="3" t="str">
        <f ca="1">IFERROR(__xludf.DUMMYFUNCTION("""COMPUTED_VALUE"""),"Female")</f>
        <v>Female</v>
      </c>
      <c r="E215" s="1" t="str">
        <f ca="1">IFERROR(__xludf.DUMMYFUNCTION("""COMPUTED_VALUE"""),"My Parents")</f>
        <v>My Parents</v>
      </c>
      <c r="F215" s="1" t="str">
        <f ca="1">IFERROR(__xludf.DUMMYFUNCTION("""COMPUTED_VALUE"""),"No I would not be pursuing Higher Education outside of India")</f>
        <v>No I would not be pursuing Higher Education outside of India</v>
      </c>
      <c r="G215" s="1" t="str">
        <f ca="1">IFERROR(__xludf.DUMMYFUNCTION("""COMPUTED_VALUE"""),"Will work for 3 years or more")</f>
        <v>Will work for 3 years or more</v>
      </c>
      <c r="H215" s="1" t="str">
        <f ca="1">IFERROR(__xludf.DUMMYFUNCTION("""COMPUTED_VALUE"""),"Yes")</f>
        <v>Yes</v>
      </c>
      <c r="I215" s="1" t="str">
        <f ca="1">IFERROR(__xludf.DUMMYFUNCTION("""COMPUTED_VALUE"""),"Will work for them")</f>
        <v>Will work for them</v>
      </c>
      <c r="J215" s="1">
        <f ca="1">IFERROR(__xludf.DUMMYFUNCTION("""COMPUTED_VALUE"""),10)</f>
        <v>10</v>
      </c>
      <c r="K215" s="1" t="str">
        <f ca="1">IFERROR(__xludf.DUMMYFUNCTION("""COMPUTED_VALUE"""),"Every Day Office Environment")</f>
        <v>Every Day Office Environment</v>
      </c>
      <c r="L215" s="1" t="str">
        <f ca="1">IFERROR(__xludf.DUMMYFUNCTION("""COMPUTED_VALUE"""),"Employer who appreciates learning and enables that environment")</f>
        <v>Employer who appreciates learning and enables that environment</v>
      </c>
      <c r="M215" s="1" t="str">
        <f ca="1">IFERROR(__xludf.DUMMYFUNCTION("""COMPUTED_VALUE"""),"Instructor or Expert Learning Programs, Learning by observing others")</f>
        <v>Instructor or Expert Learning Programs, Learning by observing others</v>
      </c>
      <c r="N215"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15" s="1" t="str">
        <f ca="1">IFERROR(__xludf.DUMMYFUNCTION("""COMPUTED_VALUE"""),"Manager who sets goal and helps me achieve it")</f>
        <v>Manager who sets goal and helps me achieve it</v>
      </c>
      <c r="P215" s="1" t="str">
        <f ca="1">IFERROR(__xludf.DUMMYFUNCTION("""COMPUTED_VALUE"""),"Work with more than 10 people in my team")</f>
        <v>Work with more than 10 people in my team</v>
      </c>
      <c r="Q215" s="1"/>
    </row>
    <row r="216" spans="1:17" ht="13.2" x14ac:dyDescent="0.25">
      <c r="A216" s="2">
        <f ca="1">IFERROR(__xludf.DUMMYFUNCTION("""COMPUTED_VALUE"""),44916.6109997569)</f>
        <v>44916.6109997569</v>
      </c>
      <c r="B216" s="1" t="str">
        <f ca="1">IFERROR(__xludf.DUMMYFUNCTION("""COMPUTED_VALUE"""),"India")</f>
        <v>India</v>
      </c>
      <c r="C216" s="1">
        <f ca="1">IFERROR(__xludf.DUMMYFUNCTION("""COMPUTED_VALUE"""),605008)</f>
        <v>605008</v>
      </c>
      <c r="D216" s="3" t="str">
        <f ca="1">IFERROR(__xludf.DUMMYFUNCTION("""COMPUTED_VALUE"""),"Male")</f>
        <v>Male</v>
      </c>
      <c r="E216" s="1" t="str">
        <f ca="1">IFERROR(__xludf.DUMMYFUNCTION("""COMPUTED_VALUE"""),"My Parents")</f>
        <v>My Parents</v>
      </c>
      <c r="F216" s="1" t="str">
        <f ca="1">IFERROR(__xludf.DUMMYFUNCTION("""COMPUTED_VALUE"""),"Yes, I will earn and do that")</f>
        <v>Yes, I will earn and do that</v>
      </c>
      <c r="G216" s="1" t="str">
        <f ca="1">IFERROR(__xludf.DUMMYFUNCTION("""COMPUTED_VALUE"""),"This will be hard to do, but if it is the right company I would try")</f>
        <v>This will be hard to do, but if it is the right company I would try</v>
      </c>
      <c r="H216" s="1" t="str">
        <f ca="1">IFERROR(__xludf.DUMMYFUNCTION("""COMPUTED_VALUE"""),"Yes")</f>
        <v>Yes</v>
      </c>
      <c r="I216" s="1" t="str">
        <f ca="1">IFERROR(__xludf.DUMMYFUNCTION("""COMPUTED_VALUE"""),"Will work for them")</f>
        <v>Will work for them</v>
      </c>
      <c r="J216" s="1">
        <f ca="1">IFERROR(__xludf.DUMMYFUNCTION("""COMPUTED_VALUE"""),10)</f>
        <v>10</v>
      </c>
      <c r="K216" s="1" t="str">
        <f ca="1">IFERROR(__xludf.DUMMYFUNCTION("""COMPUTED_VALUE"""),"Every Day Office Environment")</f>
        <v>Every Day Office Environment</v>
      </c>
      <c r="L216" s="1" t="str">
        <f ca="1">IFERROR(__xludf.DUMMYFUNCTION("""COMPUTED_VALUE"""),"Employer who rewards learning and enables that environment")</f>
        <v>Employer who rewards learning and enables that environment</v>
      </c>
      <c r="M216" s="1" t="str">
        <f ca="1">IFERROR(__xludf.DUMMYFUNCTION("""COMPUTED_VALUE"""),"Self Paced Learning Portals, Trial and error by doing side projects within the company")</f>
        <v>Self Paced Learning Portals, Trial and error by doing side projects within the company</v>
      </c>
      <c r="N216"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16" s="1" t="str">
        <f ca="1">IFERROR(__xludf.DUMMYFUNCTION("""COMPUTED_VALUE"""),"Manager who clearly describes what she/he needs")</f>
        <v>Manager who clearly describes what she/he needs</v>
      </c>
      <c r="P216" s="1" t="str">
        <f ca="1">IFERROR(__xludf.DUMMYFUNCTION("""COMPUTED_VALUE"""),"Work with 7 to 10 or more people in my team")</f>
        <v>Work with 7 to 10 or more people in my team</v>
      </c>
      <c r="Q216" s="1"/>
    </row>
    <row r="217" spans="1:17" ht="13.2" x14ac:dyDescent="0.25">
      <c r="A217" s="2">
        <f ca="1">IFERROR(__xludf.DUMMYFUNCTION("""COMPUTED_VALUE"""),44916.6117974074)</f>
        <v>44916.6117974074</v>
      </c>
      <c r="B217" s="1" t="str">
        <f ca="1">IFERROR(__xludf.DUMMYFUNCTION("""COMPUTED_VALUE"""),"India")</f>
        <v>India</v>
      </c>
      <c r="C217" s="1">
        <f ca="1">IFERROR(__xludf.DUMMYFUNCTION("""COMPUTED_VALUE"""),605110)</f>
        <v>605110</v>
      </c>
      <c r="D217" s="3" t="str">
        <f ca="1">IFERROR(__xludf.DUMMYFUNCTION("""COMPUTED_VALUE"""),"Female")</f>
        <v>Female</v>
      </c>
      <c r="E217" s="1" t="str">
        <f ca="1">IFERROR(__xludf.DUMMYFUNCTION("""COMPUTED_VALUE"""),"My Parents")</f>
        <v>My Parents</v>
      </c>
      <c r="F217" s="1" t="str">
        <f ca="1">IFERROR(__xludf.DUMMYFUNCTION("""COMPUTED_VALUE"""),"No I would not be pursuing Higher Education outside of India")</f>
        <v>No I would not be pursuing Higher Education outside of India</v>
      </c>
      <c r="G217" s="1" t="str">
        <f ca="1">IFERROR(__xludf.DUMMYFUNCTION("""COMPUTED_VALUE"""),"This will be hard to do, but if it is the right company I would try")</f>
        <v>This will be hard to do, but if it is the right company I would try</v>
      </c>
      <c r="H217" s="1" t="str">
        <f ca="1">IFERROR(__xludf.DUMMYFUNCTION("""COMPUTED_VALUE"""),"No")</f>
        <v>No</v>
      </c>
      <c r="I217" s="1" t="str">
        <f ca="1">IFERROR(__xludf.DUMMYFUNCTION("""COMPUTED_VALUE"""),"Will work for them")</f>
        <v>Will work for them</v>
      </c>
      <c r="J217" s="1">
        <f ca="1">IFERROR(__xludf.DUMMYFUNCTION("""COMPUTED_VALUE"""),5)</f>
        <v>5</v>
      </c>
      <c r="K217" s="1" t="str">
        <f ca="1">IFERROR(__xludf.DUMMYFUNCTION("""COMPUTED_VALUE"""),"Fully Remote with Options to travel as and when needed")</f>
        <v>Fully Remote with Options to travel as and when needed</v>
      </c>
      <c r="L217" s="1" t="str">
        <f ca="1">IFERROR(__xludf.DUMMYFUNCTION("""COMPUTED_VALUE"""),"Employer who appreciates learning and enables that environment")</f>
        <v>Employer who appreciates learning and enables that environment</v>
      </c>
      <c r="M217" s="1" t="str">
        <f ca="1">IFERROR(__xludf.DUMMYFUNCTION("""COMPUTED_VALUE"""),"Instructor or Expert Learning Programs, Trial and error by doing side projects within the company")</f>
        <v>Instructor or Expert Learning Programs, Trial and error by doing side projects within the company</v>
      </c>
      <c r="N217"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217" s="1" t="str">
        <f ca="1">IFERROR(__xludf.DUMMYFUNCTION("""COMPUTED_VALUE"""),"Manager who explains what is expected, sets a goal and helps achieve it")</f>
        <v>Manager who explains what is expected, sets a goal and helps achieve it</v>
      </c>
      <c r="P217" s="1" t="str">
        <f ca="1">IFERROR(__xludf.DUMMYFUNCTION("""COMPUTED_VALUE"""),"Work with 5 to 6 people in my team")</f>
        <v>Work with 5 to 6 people in my team</v>
      </c>
      <c r="Q217" s="1"/>
    </row>
    <row r="218" spans="1:17" ht="13.2" x14ac:dyDescent="0.25">
      <c r="A218" s="2">
        <f ca="1">IFERROR(__xludf.DUMMYFUNCTION("""COMPUTED_VALUE"""),44916.6152149421)</f>
        <v>44916.615214942103</v>
      </c>
      <c r="B218" s="1" t="str">
        <f ca="1">IFERROR(__xludf.DUMMYFUNCTION("""COMPUTED_VALUE"""),"India")</f>
        <v>India</v>
      </c>
      <c r="C218" s="1">
        <f ca="1">IFERROR(__xludf.DUMMYFUNCTION("""COMPUTED_VALUE"""),605110)</f>
        <v>605110</v>
      </c>
      <c r="D218" s="3" t="str">
        <f ca="1">IFERROR(__xludf.DUMMYFUNCTION("""COMPUTED_VALUE"""),"Male")</f>
        <v>Male</v>
      </c>
      <c r="E218" s="1" t="str">
        <f ca="1">IFERROR(__xludf.DUMMYFUNCTION("""COMPUTED_VALUE"""),"Influencers who had successful careers")</f>
        <v>Influencers who had successful careers</v>
      </c>
      <c r="F218" s="1" t="str">
        <f ca="1">IFERROR(__xludf.DUMMYFUNCTION("""COMPUTED_VALUE"""),"Yes, I will earn and do that")</f>
        <v>Yes, I will earn and do that</v>
      </c>
      <c r="G218" s="1" t="str">
        <f ca="1">IFERROR(__xludf.DUMMYFUNCTION("""COMPUTED_VALUE"""),"This will be hard to do, but if it is the right company I would try")</f>
        <v>This will be hard to do, but if it is the right company I would try</v>
      </c>
      <c r="H218" s="1" t="str">
        <f ca="1">IFERROR(__xludf.DUMMYFUNCTION("""COMPUTED_VALUE"""),"Yes")</f>
        <v>Yes</v>
      </c>
      <c r="I218" s="1" t="str">
        <f ca="1">IFERROR(__xludf.DUMMYFUNCTION("""COMPUTED_VALUE"""),"Will work for them")</f>
        <v>Will work for them</v>
      </c>
      <c r="J218" s="1">
        <f ca="1">IFERROR(__xludf.DUMMYFUNCTION("""COMPUTED_VALUE"""),3)</f>
        <v>3</v>
      </c>
      <c r="K218" s="1" t="str">
        <f ca="1">IFERROR(__xludf.DUMMYFUNCTION("""COMPUTED_VALUE"""),"Fully Remote with Options to travel as and when needed")</f>
        <v>Fully Remote with Options to travel as and when needed</v>
      </c>
      <c r="L218" s="1" t="str">
        <f ca="1">IFERROR(__xludf.DUMMYFUNCTION("""COMPUTED_VALUE"""),"Employer who rewards learning and enables that environment")</f>
        <v>Employer who rewards learning and enables that environment</v>
      </c>
      <c r="M218" s="1" t="str">
        <f ca="1">IFERROR(__xludf.DUMMYFUNCTION("""COMPUTED_VALUE"""),"Self Paced Learning Portals, Instructor or Expert Learning Programs")</f>
        <v>Self Paced Learning Portals, Instructor or Expert Learning Programs</v>
      </c>
      <c r="N218"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18" s="1" t="str">
        <f ca="1">IFERROR(__xludf.DUMMYFUNCTION("""COMPUTED_VALUE"""),"Manager who clearly describes what she/he needs")</f>
        <v>Manager who clearly describes what she/he needs</v>
      </c>
      <c r="P218" s="1" t="str">
        <f ca="1">IFERROR(__xludf.DUMMYFUNCTION("""COMPUTED_VALUE"""),"Work with 5 to 6 people in my team")</f>
        <v>Work with 5 to 6 people in my team</v>
      </c>
      <c r="Q218" s="1"/>
    </row>
    <row r="219" spans="1:17" ht="13.2" x14ac:dyDescent="0.25">
      <c r="A219" s="2">
        <f ca="1">IFERROR(__xludf.DUMMYFUNCTION("""COMPUTED_VALUE"""),44916.6156052083)</f>
        <v>44916.615605208302</v>
      </c>
      <c r="B219" s="1" t="str">
        <f ca="1">IFERROR(__xludf.DUMMYFUNCTION("""COMPUTED_VALUE"""),"India")</f>
        <v>India</v>
      </c>
      <c r="C219" s="1">
        <f ca="1">IFERROR(__xludf.DUMMYFUNCTION("""COMPUTED_VALUE"""),605102)</f>
        <v>605102</v>
      </c>
      <c r="D219" s="3" t="str">
        <f ca="1">IFERROR(__xludf.DUMMYFUNCTION("""COMPUTED_VALUE"""),"Male")</f>
        <v>Male</v>
      </c>
      <c r="E219" s="1" t="str">
        <f ca="1">IFERROR(__xludf.DUMMYFUNCTION("""COMPUTED_VALUE"""),"My Parents")</f>
        <v>My Parents</v>
      </c>
      <c r="F219" s="1" t="str">
        <f ca="1">IFERROR(__xludf.DUMMYFUNCTION("""COMPUTED_VALUE"""),"Yes, I will earn and do that")</f>
        <v>Yes, I will earn and do that</v>
      </c>
      <c r="G219" s="1" t="str">
        <f ca="1">IFERROR(__xludf.DUMMYFUNCTION("""COMPUTED_VALUE"""),"Will work for 3 years or more")</f>
        <v>Will work for 3 years or more</v>
      </c>
      <c r="H219" s="1" t="str">
        <f ca="1">IFERROR(__xludf.DUMMYFUNCTION("""COMPUTED_VALUE"""),"Yes")</f>
        <v>Yes</v>
      </c>
      <c r="I219" s="1" t="str">
        <f ca="1">IFERROR(__xludf.DUMMYFUNCTION("""COMPUTED_VALUE"""),"Will work for them")</f>
        <v>Will work for them</v>
      </c>
      <c r="J219" s="1">
        <f ca="1">IFERROR(__xludf.DUMMYFUNCTION("""COMPUTED_VALUE"""),10)</f>
        <v>10</v>
      </c>
      <c r="K219" s="1" t="str">
        <f ca="1">IFERROR(__xludf.DUMMYFUNCTION("""COMPUTED_VALUE"""),"Every Day Office Environment")</f>
        <v>Every Day Office Environment</v>
      </c>
      <c r="L219" s="1" t="str">
        <f ca="1">IFERROR(__xludf.DUMMYFUNCTION("""COMPUTED_VALUE"""),"Employer who appreciates learning and enables that environment")</f>
        <v>Employer who appreciates learning and enables that environment</v>
      </c>
      <c r="M219" s="1" t="str">
        <f ca="1">IFERROR(__xludf.DUMMYFUNCTION("""COMPUTED_VALUE"""),"Self Paced Learning Portals, Learning by observing others")</f>
        <v>Self Paced Learning Portals, Learning by observing others</v>
      </c>
      <c r="N219" s="1" t="str">
        <f ca="1">IFERROR(__xludf.DUMMYFUNCTION("""COMPUTED_VALUE"""),"Build and develop a Team, Design and Develop amazing software, Become a content Creator in some platform")</f>
        <v>Build and develop a Team, Design and Develop amazing software, Become a content Creator in some platform</v>
      </c>
      <c r="O219" s="1" t="str">
        <f ca="1">IFERROR(__xludf.DUMMYFUNCTION("""COMPUTED_VALUE"""),"Manager who sets targets and expects me to achieve it")</f>
        <v>Manager who sets targets and expects me to achieve it</v>
      </c>
      <c r="P219" s="1" t="str">
        <f ca="1">IFERROR(__xludf.DUMMYFUNCTION("""COMPUTED_VALUE"""),"Work with 2 to 3 people in my team")</f>
        <v>Work with 2 to 3 people in my team</v>
      </c>
      <c r="Q219" s="1"/>
    </row>
    <row r="220" spans="1:17" ht="13.2" x14ac:dyDescent="0.25">
      <c r="A220" s="2">
        <f ca="1">IFERROR(__xludf.DUMMYFUNCTION("""COMPUTED_VALUE"""),44916.6160510532)</f>
        <v>44916.616051053199</v>
      </c>
      <c r="B220" s="1" t="str">
        <f ca="1">IFERROR(__xludf.DUMMYFUNCTION("""COMPUTED_VALUE"""),"India")</f>
        <v>India</v>
      </c>
      <c r="C220" s="1">
        <f ca="1">IFERROR(__xludf.DUMMYFUNCTION("""COMPUTED_VALUE"""),2004)</f>
        <v>2004</v>
      </c>
      <c r="D220" s="3" t="str">
        <f ca="1">IFERROR(__xludf.DUMMYFUNCTION("""COMPUTED_VALUE"""),"Male")</f>
        <v>Male</v>
      </c>
      <c r="E220" s="1" t="str">
        <f ca="1">IFERROR(__xludf.DUMMYFUNCTION("""COMPUTED_VALUE"""),"My Parents")</f>
        <v>My Parents</v>
      </c>
      <c r="F220" s="1" t="str">
        <f ca="1">IFERROR(__xludf.DUMMYFUNCTION("""COMPUTED_VALUE"""),"No, But if someone could bare the cost I will")</f>
        <v>No, But if someone could bare the cost I will</v>
      </c>
      <c r="G220" s="1" t="str">
        <f ca="1">IFERROR(__xludf.DUMMYFUNCTION("""COMPUTED_VALUE"""),"No way, 3 years with one employer is crazy")</f>
        <v>No way, 3 years with one employer is crazy</v>
      </c>
      <c r="H220" s="1" t="str">
        <f ca="1">IFERROR(__xludf.DUMMYFUNCTION("""COMPUTED_VALUE"""),"Yes")</f>
        <v>Yes</v>
      </c>
      <c r="I220" s="1" t="str">
        <f ca="1">IFERROR(__xludf.DUMMYFUNCTION("""COMPUTED_VALUE"""),"Will work for them")</f>
        <v>Will work for them</v>
      </c>
      <c r="J220" s="1">
        <f ca="1">IFERROR(__xludf.DUMMYFUNCTION("""COMPUTED_VALUE"""),5)</f>
        <v>5</v>
      </c>
      <c r="K220" s="1" t="str">
        <f ca="1">IFERROR(__xludf.DUMMYFUNCTION("""COMPUTED_VALUE"""),"Hybrid Working Environment with less than 15 days a month at office")</f>
        <v>Hybrid Working Environment with less than 15 days a month at office</v>
      </c>
      <c r="L220" s="1" t="str">
        <f ca="1">IFERROR(__xludf.DUMMYFUNCTION("""COMPUTED_VALUE"""),"Employer who pushes your limits and doesn't enables learning environment and never rewards you")</f>
        <v>Employer who pushes your limits and doesn't enables learning environment and never rewards you</v>
      </c>
      <c r="M220" s="1" t="str">
        <f ca="1">IFERROR(__xludf.DUMMYFUNCTION("""COMPUTED_VALUE"""),"Self Paced Learning Portals, Instructor or Expert Learning Programs")</f>
        <v>Self Paced Learning Portals, Instructor or Expert Learning Programs</v>
      </c>
      <c r="N220"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220" s="1" t="str">
        <f ca="1">IFERROR(__xludf.DUMMYFUNCTION("""COMPUTED_VALUE"""),"Manager who sets goal and helps me achieve it")</f>
        <v>Manager who sets goal and helps me achieve it</v>
      </c>
      <c r="P220" s="1" t="str">
        <f ca="1">IFERROR(__xludf.DUMMYFUNCTION("""COMPUTED_VALUE"""),"Work with 5 to 6 people in my team, Work with more than 10 people in my team")</f>
        <v>Work with 5 to 6 people in my team, Work with more than 10 people in my team</v>
      </c>
      <c r="Q220" s="1"/>
    </row>
    <row r="221" spans="1:17" ht="13.2" x14ac:dyDescent="0.25">
      <c r="A221" s="2">
        <f ca="1">IFERROR(__xludf.DUMMYFUNCTION("""COMPUTED_VALUE"""),44916.6205406481)</f>
        <v>44916.620540648102</v>
      </c>
      <c r="B221" s="1" t="str">
        <f ca="1">IFERROR(__xludf.DUMMYFUNCTION("""COMPUTED_VALUE"""),"India")</f>
        <v>India</v>
      </c>
      <c r="C221" s="1">
        <f ca="1">IFERROR(__xludf.DUMMYFUNCTION("""COMPUTED_VALUE"""),605005)</f>
        <v>605005</v>
      </c>
      <c r="D221" s="3" t="str">
        <f ca="1">IFERROR(__xludf.DUMMYFUNCTION("""COMPUTED_VALUE"""),"Female")</f>
        <v>Female</v>
      </c>
      <c r="E221" s="1" t="str">
        <f ca="1">IFERROR(__xludf.DUMMYFUNCTION("""COMPUTED_VALUE"""),"People who have changed the world for better")</f>
        <v>People who have changed the world for better</v>
      </c>
      <c r="F221" s="1" t="str">
        <f ca="1">IFERROR(__xludf.DUMMYFUNCTION("""COMPUTED_VALUE"""),"No I would not be pursuing Higher Education outside of India")</f>
        <v>No I would not be pursuing Higher Education outside of India</v>
      </c>
      <c r="G221" s="1" t="str">
        <f ca="1">IFERROR(__xludf.DUMMYFUNCTION("""COMPUTED_VALUE"""),"This will be hard to do, but if it is the right company I would try")</f>
        <v>This will be hard to do, but if it is the right company I would try</v>
      </c>
      <c r="H221" s="1" t="str">
        <f ca="1">IFERROR(__xludf.DUMMYFUNCTION("""COMPUTED_VALUE"""),"Yes")</f>
        <v>Yes</v>
      </c>
      <c r="I221" s="1" t="str">
        <f ca="1">IFERROR(__xludf.DUMMYFUNCTION("""COMPUTED_VALUE"""),"Will NOT work for them")</f>
        <v>Will NOT work for them</v>
      </c>
      <c r="J221" s="1">
        <f ca="1">IFERROR(__xludf.DUMMYFUNCTION("""COMPUTED_VALUE"""),5)</f>
        <v>5</v>
      </c>
      <c r="K221" s="1" t="str">
        <f ca="1">IFERROR(__xludf.DUMMYFUNCTION("""COMPUTED_VALUE"""),"Fully Remote with Options to travel as and when needed")</f>
        <v>Fully Remote with Options to travel as and when needed</v>
      </c>
      <c r="L221" s="1" t="str">
        <f ca="1">IFERROR(__xludf.DUMMYFUNCTION("""COMPUTED_VALUE"""),"Employer who appreciates learning and enables that environment")</f>
        <v>Employer who appreciates learning and enables that environment</v>
      </c>
      <c r="M221" s="1" t="str">
        <f ca="1">IFERROR(__xludf.DUMMYFUNCTION("""COMPUTED_VALUE"""),"Self Paced Learning Portals, Learning by observing others")</f>
        <v>Self Paced Learning Portals, Learning by observing others</v>
      </c>
      <c r="N221"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221" s="1" t="str">
        <f ca="1">IFERROR(__xludf.DUMMYFUNCTION("""COMPUTED_VALUE"""),"Manager who explains what is expected, sets a goal and helps achieve it")</f>
        <v>Manager who explains what is expected, sets a goal and helps achieve it</v>
      </c>
      <c r="P221" s="1" t="str">
        <f ca="1">IFERROR(__xludf.DUMMYFUNCTION("""COMPUTED_VALUE"""),"Work with 5 to 6 people in my team")</f>
        <v>Work with 5 to 6 people in my team</v>
      </c>
      <c r="Q221" s="1"/>
    </row>
    <row r="222" spans="1:17" ht="13.2" x14ac:dyDescent="0.25">
      <c r="A222" s="2">
        <f ca="1">IFERROR(__xludf.DUMMYFUNCTION("""COMPUTED_VALUE"""),44916.621400949)</f>
        <v>44916.621400949</v>
      </c>
      <c r="B222" s="1" t="str">
        <f ca="1">IFERROR(__xludf.DUMMYFUNCTION("""COMPUTED_VALUE"""),"India")</f>
        <v>India</v>
      </c>
      <c r="C222" s="1">
        <f ca="1">IFERROR(__xludf.DUMMYFUNCTION("""COMPUTED_VALUE"""),605007)</f>
        <v>605007</v>
      </c>
      <c r="D222" s="3" t="str">
        <f ca="1">IFERROR(__xludf.DUMMYFUNCTION("""COMPUTED_VALUE"""),"Male")</f>
        <v>Male</v>
      </c>
      <c r="E222" s="1" t="str">
        <f ca="1">IFERROR(__xludf.DUMMYFUNCTION("""COMPUTED_VALUE"""),"My Parents")</f>
        <v>My Parents</v>
      </c>
      <c r="F222" s="1" t="str">
        <f ca="1">IFERROR(__xludf.DUMMYFUNCTION("""COMPUTED_VALUE"""),"Yes, I will earn and do that")</f>
        <v>Yes, I will earn and do that</v>
      </c>
      <c r="G222" s="1" t="str">
        <f ca="1">IFERROR(__xludf.DUMMYFUNCTION("""COMPUTED_VALUE"""),"No way, 3 years with one employer is crazy")</f>
        <v>No way, 3 years with one employer is crazy</v>
      </c>
      <c r="H222" s="1" t="str">
        <f ca="1">IFERROR(__xludf.DUMMYFUNCTION("""COMPUTED_VALUE"""),"Yes")</f>
        <v>Yes</v>
      </c>
      <c r="I222" s="1" t="str">
        <f ca="1">IFERROR(__xludf.DUMMYFUNCTION("""COMPUTED_VALUE"""),"Will work for them")</f>
        <v>Will work for them</v>
      </c>
      <c r="J222" s="1">
        <f ca="1">IFERROR(__xludf.DUMMYFUNCTION("""COMPUTED_VALUE"""),4)</f>
        <v>4</v>
      </c>
      <c r="K222" s="1" t="str">
        <f ca="1">IFERROR(__xludf.DUMMYFUNCTION("""COMPUTED_VALUE"""),"Every Day Office Environment")</f>
        <v>Every Day Office Environment</v>
      </c>
      <c r="L222" s="1" t="str">
        <f ca="1">IFERROR(__xludf.DUMMYFUNCTION("""COMPUTED_VALUE"""),"Employer who rewards learning and enables that environment")</f>
        <v>Employer who rewards learning and enables that environment</v>
      </c>
      <c r="M222" s="1" t="str">
        <f ca="1">IFERROR(__xludf.DUMMYFUNCTION("""COMPUTED_VALUE"""),"Instructor or Expert Learning Programs, Learning by observing others")</f>
        <v>Instructor or Expert Learning Programs, Learning by observing others</v>
      </c>
      <c r="N22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22" s="1" t="str">
        <f ca="1">IFERROR(__xludf.DUMMYFUNCTION("""COMPUTED_VALUE"""),"Manager who sets targets and expects me to achieve it")</f>
        <v>Manager who sets targets and expects me to achieve it</v>
      </c>
      <c r="P222" s="1" t="str">
        <f ca="1">IFERROR(__xludf.DUMMYFUNCTION("""COMPUTED_VALUE"""),"Work with 2 to 3 people in my team, Work with 5 to 6 people in my team")</f>
        <v>Work with 2 to 3 people in my team, Work with 5 to 6 people in my team</v>
      </c>
      <c r="Q222" s="1"/>
    </row>
    <row r="223" spans="1:17" ht="13.2" x14ac:dyDescent="0.25">
      <c r="A223" s="2">
        <f ca="1">IFERROR(__xludf.DUMMYFUNCTION("""COMPUTED_VALUE"""),44916.6256756828)</f>
        <v>44916.625675682801</v>
      </c>
      <c r="B223" s="1" t="str">
        <f ca="1">IFERROR(__xludf.DUMMYFUNCTION("""COMPUTED_VALUE"""),"India")</f>
        <v>India</v>
      </c>
      <c r="C223" s="1">
        <f ca="1">IFERROR(__xludf.DUMMYFUNCTION("""COMPUTED_VALUE"""),605009)</f>
        <v>605009</v>
      </c>
      <c r="D223" s="3" t="str">
        <f ca="1">IFERROR(__xludf.DUMMYFUNCTION("""COMPUTED_VALUE"""),"Female")</f>
        <v>Female</v>
      </c>
      <c r="E223" s="1" t="str">
        <f ca="1">IFERROR(__xludf.DUMMYFUNCTION("""COMPUTED_VALUE"""),"Social Media like LinkedIn")</f>
        <v>Social Media like LinkedIn</v>
      </c>
      <c r="F223" s="1" t="str">
        <f ca="1">IFERROR(__xludf.DUMMYFUNCTION("""COMPUTED_VALUE"""),"No I would not be pursuing Higher Education outside of India")</f>
        <v>No I would not be pursuing Higher Education outside of India</v>
      </c>
      <c r="G223" s="1" t="str">
        <f ca="1">IFERROR(__xludf.DUMMYFUNCTION("""COMPUTED_VALUE"""),"This will be hard to do, but if it is the right company I would try")</f>
        <v>This will be hard to do, but if it is the right company I would try</v>
      </c>
      <c r="H223" s="1" t="str">
        <f ca="1">IFERROR(__xludf.DUMMYFUNCTION("""COMPUTED_VALUE"""),"No")</f>
        <v>No</v>
      </c>
      <c r="I223" s="1" t="str">
        <f ca="1">IFERROR(__xludf.DUMMYFUNCTION("""COMPUTED_VALUE"""),"Will work for them")</f>
        <v>Will work for them</v>
      </c>
      <c r="J223" s="1">
        <f ca="1">IFERROR(__xludf.DUMMYFUNCTION("""COMPUTED_VALUE"""),10)</f>
        <v>10</v>
      </c>
      <c r="K223" s="1" t="str">
        <f ca="1">IFERROR(__xludf.DUMMYFUNCTION("""COMPUTED_VALUE"""),"Every Day Office Environment")</f>
        <v>Every Day Office Environment</v>
      </c>
      <c r="L223" s="1" t="str">
        <f ca="1">IFERROR(__xludf.DUMMYFUNCTION("""COMPUTED_VALUE"""),"Employer who appreciates learning and enables that environment")</f>
        <v>Employer who appreciates learning and enables that environment</v>
      </c>
      <c r="M223" s="1" t="str">
        <f ca="1">IFERROR(__xludf.DUMMYFUNCTION("""COMPUTED_VALUE"""),"Self Paced Learning Portals, Learning by observing others")</f>
        <v>Self Paced Learning Portals, Learning by observing others</v>
      </c>
      <c r="N223" s="1" t="str">
        <f ca="1">IFERROR(__xludf.DUMMYFUNCTION("""COMPUTED_VALUE"""),"Design and Creative strategy in any company, Build and develop a Team, Design and Develop amazing software")</f>
        <v>Design and Creative strategy in any company, Build and develop a Team, Design and Develop amazing software</v>
      </c>
      <c r="O223" s="1" t="str">
        <f ca="1">IFERROR(__xludf.DUMMYFUNCTION("""COMPUTED_VALUE"""),"Manager who clearly describes what she/he needs")</f>
        <v>Manager who clearly describes what she/he needs</v>
      </c>
      <c r="P223" s="1" t="str">
        <f ca="1">IFERROR(__xludf.DUMMYFUNCTION("""COMPUTED_VALUE"""),"Work alone")</f>
        <v>Work alone</v>
      </c>
      <c r="Q223" s="1"/>
    </row>
    <row r="224" spans="1:17" ht="13.2" x14ac:dyDescent="0.25">
      <c r="A224" s="2">
        <f ca="1">IFERROR(__xludf.DUMMYFUNCTION("""COMPUTED_VALUE"""),44916.6275264236)</f>
        <v>44916.627526423603</v>
      </c>
      <c r="B224" s="1" t="str">
        <f ca="1">IFERROR(__xludf.DUMMYFUNCTION("""COMPUTED_VALUE"""),"India")</f>
        <v>India</v>
      </c>
      <c r="C224" s="1">
        <f ca="1">IFERROR(__xludf.DUMMYFUNCTION("""COMPUTED_VALUE"""),605007)</f>
        <v>605007</v>
      </c>
      <c r="D224" s="3" t="str">
        <f ca="1">IFERROR(__xludf.DUMMYFUNCTION("""COMPUTED_VALUE"""),"Male")</f>
        <v>Male</v>
      </c>
      <c r="E224" s="1" t="str">
        <f ca="1">IFERROR(__xludf.DUMMYFUNCTION("""COMPUTED_VALUE"""),"People who have changed the world for better")</f>
        <v>People who have changed the world for better</v>
      </c>
      <c r="F224" s="1" t="str">
        <f ca="1">IFERROR(__xludf.DUMMYFUNCTION("""COMPUTED_VALUE"""),"No I would not be pursuing Higher Education outside of India")</f>
        <v>No I would not be pursuing Higher Education outside of India</v>
      </c>
      <c r="G224" s="1" t="str">
        <f ca="1">IFERROR(__xludf.DUMMYFUNCTION("""COMPUTED_VALUE"""),"This will be hard to do, but if it is the right company I would try")</f>
        <v>This will be hard to do, but if it is the right company I would try</v>
      </c>
      <c r="H224" s="1" t="str">
        <f ca="1">IFERROR(__xludf.DUMMYFUNCTION("""COMPUTED_VALUE"""),"No")</f>
        <v>No</v>
      </c>
      <c r="I224" s="1" t="str">
        <f ca="1">IFERROR(__xludf.DUMMYFUNCTION("""COMPUTED_VALUE"""),"Will NOT work for them")</f>
        <v>Will NOT work for them</v>
      </c>
      <c r="J224" s="1">
        <f ca="1">IFERROR(__xludf.DUMMYFUNCTION("""COMPUTED_VALUE"""),8)</f>
        <v>8</v>
      </c>
      <c r="K224" s="1" t="str">
        <f ca="1">IFERROR(__xludf.DUMMYFUNCTION("""COMPUTED_VALUE"""),"Every Day Office Environment")</f>
        <v>Every Day Office Environment</v>
      </c>
      <c r="L224" s="1" t="str">
        <f ca="1">IFERROR(__xludf.DUMMYFUNCTION("""COMPUTED_VALUE"""),"Employer who appreciates learning and enables that environment")</f>
        <v>Employer who appreciates learning and enables that environment</v>
      </c>
      <c r="M224" s="1" t="str">
        <f ca="1">IFERROR(__xludf.DUMMYFUNCTION("""COMPUTED_VALUE"""),"Self Paced Learning Portals, Learning by observing others")</f>
        <v>Self Paced Learning Portals, Learning by observing others</v>
      </c>
      <c r="N22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24" s="1" t="str">
        <f ca="1">IFERROR(__xludf.DUMMYFUNCTION("""COMPUTED_VALUE"""),"Manager who clearly describes what she/he needs")</f>
        <v>Manager who clearly describes what she/he needs</v>
      </c>
      <c r="P224" s="1" t="str">
        <f ca="1">IFERROR(__xludf.DUMMYFUNCTION("""COMPUTED_VALUE"""),"Work alone")</f>
        <v>Work alone</v>
      </c>
      <c r="Q224" s="1"/>
    </row>
    <row r="225" spans="1:17" ht="13.2" x14ac:dyDescent="0.25">
      <c r="A225" s="2">
        <f ca="1">IFERROR(__xludf.DUMMYFUNCTION("""COMPUTED_VALUE"""),44916.631342581)</f>
        <v>44916.631342581</v>
      </c>
      <c r="B225" s="1" t="str">
        <f ca="1">IFERROR(__xludf.DUMMYFUNCTION("""COMPUTED_VALUE"""),"India")</f>
        <v>India</v>
      </c>
      <c r="C225" s="1">
        <f ca="1">IFERROR(__xludf.DUMMYFUNCTION("""COMPUTED_VALUE"""),605014)</f>
        <v>605014</v>
      </c>
      <c r="D225" s="3" t="str">
        <f ca="1">IFERROR(__xludf.DUMMYFUNCTION("""COMPUTED_VALUE"""),"Male")</f>
        <v>Male</v>
      </c>
      <c r="E225" s="1" t="str">
        <f ca="1">IFERROR(__xludf.DUMMYFUNCTION("""COMPUTED_VALUE"""),"My Parents")</f>
        <v>My Parents</v>
      </c>
      <c r="F225" s="1" t="str">
        <f ca="1">IFERROR(__xludf.DUMMYFUNCTION("""COMPUTED_VALUE"""),"Yes, I will earn and do that")</f>
        <v>Yes, I will earn and do that</v>
      </c>
      <c r="G225" s="1" t="str">
        <f ca="1">IFERROR(__xludf.DUMMYFUNCTION("""COMPUTED_VALUE"""),"This will be hard to do, but if it is the right company I would try")</f>
        <v>This will be hard to do, but if it is the right company I would try</v>
      </c>
      <c r="H225" s="1" t="str">
        <f ca="1">IFERROR(__xludf.DUMMYFUNCTION("""COMPUTED_VALUE"""),"Yes")</f>
        <v>Yes</v>
      </c>
      <c r="I225" s="1" t="str">
        <f ca="1">IFERROR(__xludf.DUMMYFUNCTION("""COMPUTED_VALUE"""),"Will NOT work for them")</f>
        <v>Will NOT work for them</v>
      </c>
      <c r="J225" s="1">
        <f ca="1">IFERROR(__xludf.DUMMYFUNCTION("""COMPUTED_VALUE"""),8)</f>
        <v>8</v>
      </c>
      <c r="K225" s="1" t="str">
        <f ca="1">IFERROR(__xludf.DUMMYFUNCTION("""COMPUTED_VALUE"""),"Fully Remote with Options to travel as and when needed")</f>
        <v>Fully Remote with Options to travel as and when needed</v>
      </c>
      <c r="L225" s="1" t="str">
        <f ca="1">IFERROR(__xludf.DUMMYFUNCTION("""COMPUTED_VALUE"""),"Employer who appreciates learning and enables that environment")</f>
        <v>Employer who appreciates learning and enables that environment</v>
      </c>
      <c r="M225" s="1" t="str">
        <f ca="1">IFERROR(__xludf.DUMMYFUNCTION("""COMPUTED_VALUE"""),"Self Paced Learning Portals, Instructor or Expert Learning Programs")</f>
        <v>Self Paced Learning Portals, Instructor or Expert Learning Programs</v>
      </c>
      <c r="N225"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25" s="1" t="str">
        <f ca="1">IFERROR(__xludf.DUMMYFUNCTION("""COMPUTED_VALUE"""),"Manager who sets unrealistic targets")</f>
        <v>Manager who sets unrealistic targets</v>
      </c>
      <c r="P225" s="1" t="str">
        <f ca="1">IFERROR(__xludf.DUMMYFUNCTION("""COMPUTED_VALUE"""),"Work with more than 10 people in my team")</f>
        <v>Work with more than 10 people in my team</v>
      </c>
      <c r="Q225" s="1"/>
    </row>
    <row r="226" spans="1:17" ht="13.2" x14ac:dyDescent="0.25">
      <c r="A226" s="2">
        <f ca="1">IFERROR(__xludf.DUMMYFUNCTION("""COMPUTED_VALUE"""),44916.6395372338)</f>
        <v>44916.639537233801</v>
      </c>
      <c r="B226" s="1" t="str">
        <f ca="1">IFERROR(__xludf.DUMMYFUNCTION("""COMPUTED_VALUE"""),"India")</f>
        <v>India</v>
      </c>
      <c r="C226" s="1">
        <f ca="1">IFERROR(__xludf.DUMMYFUNCTION("""COMPUTED_VALUE"""),605107)</f>
        <v>605107</v>
      </c>
      <c r="D226" s="3" t="str">
        <f ca="1">IFERROR(__xludf.DUMMYFUNCTION("""COMPUTED_VALUE"""),"Male")</f>
        <v>Male</v>
      </c>
      <c r="E226" s="1" t="str">
        <f ca="1">IFERROR(__xludf.DUMMYFUNCTION("""COMPUTED_VALUE"""),"People who have changed the world for better")</f>
        <v>People who have changed the world for better</v>
      </c>
      <c r="F226" s="1" t="str">
        <f ca="1">IFERROR(__xludf.DUMMYFUNCTION("""COMPUTED_VALUE"""),"No I would not be pursuing Higher Education outside of India")</f>
        <v>No I would not be pursuing Higher Education outside of India</v>
      </c>
      <c r="G226" s="1" t="str">
        <f ca="1">IFERROR(__xludf.DUMMYFUNCTION("""COMPUTED_VALUE"""),"This will be hard to do, but if it is the right company I would try")</f>
        <v>This will be hard to do, but if it is the right company I would try</v>
      </c>
      <c r="H226" s="1" t="str">
        <f ca="1">IFERROR(__xludf.DUMMYFUNCTION("""COMPUTED_VALUE"""),"No")</f>
        <v>No</v>
      </c>
      <c r="I226" s="1" t="str">
        <f ca="1">IFERROR(__xludf.DUMMYFUNCTION("""COMPUTED_VALUE"""),"Will NOT work for them")</f>
        <v>Will NOT work for them</v>
      </c>
      <c r="J226" s="1">
        <f ca="1">IFERROR(__xludf.DUMMYFUNCTION("""COMPUTED_VALUE"""),3)</f>
        <v>3</v>
      </c>
      <c r="K226" s="1" t="str">
        <f ca="1">IFERROR(__xludf.DUMMYFUNCTION("""COMPUTED_VALUE"""),"Every Day Office Environment")</f>
        <v>Every Day Office Environment</v>
      </c>
      <c r="L226" s="1" t="str">
        <f ca="1">IFERROR(__xludf.DUMMYFUNCTION("""COMPUTED_VALUE"""),"Employer who appreciates learning and enables that environment")</f>
        <v>Employer who appreciates learning and enables that environment</v>
      </c>
      <c r="M226" s="1" t="str">
        <f ca="1">IFERROR(__xludf.DUMMYFUNCTION("""COMPUTED_VALUE"""),"Instructor or Expert Learning Programs, Trial and error by doing side projects within the company")</f>
        <v>Instructor or Expert Learning Programs, Trial and error by doing side projects within the company</v>
      </c>
      <c r="N22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26" s="1" t="str">
        <f ca="1">IFERROR(__xludf.DUMMYFUNCTION("""COMPUTED_VALUE"""),"Manager who clearly describes what she/he needs")</f>
        <v>Manager who clearly describes what she/he needs</v>
      </c>
      <c r="P226" s="1" t="str">
        <f ca="1">IFERROR(__xludf.DUMMYFUNCTION("""COMPUTED_VALUE"""),"Work alone")</f>
        <v>Work alone</v>
      </c>
      <c r="Q226" s="1"/>
    </row>
    <row r="227" spans="1:17" ht="13.2" x14ac:dyDescent="0.25">
      <c r="A227" s="2">
        <f ca="1">IFERROR(__xludf.DUMMYFUNCTION("""COMPUTED_VALUE"""),44916.6484313541)</f>
        <v>44916.6484313541</v>
      </c>
      <c r="B227" s="1" t="str">
        <f ca="1">IFERROR(__xludf.DUMMYFUNCTION("""COMPUTED_VALUE"""),"India")</f>
        <v>India</v>
      </c>
      <c r="C227" s="1">
        <f ca="1">IFERROR(__xludf.DUMMYFUNCTION("""COMPUTED_VALUE"""),605009)</f>
        <v>605009</v>
      </c>
      <c r="D227" s="3" t="str">
        <f ca="1">IFERROR(__xludf.DUMMYFUNCTION("""COMPUTED_VALUE"""),"Female")</f>
        <v>Female</v>
      </c>
      <c r="E227" s="1" t="str">
        <f ca="1">IFERROR(__xludf.DUMMYFUNCTION("""COMPUTED_VALUE"""),"People who have changed the world for better")</f>
        <v>People who have changed the world for better</v>
      </c>
      <c r="F227" s="1" t="str">
        <f ca="1">IFERROR(__xludf.DUMMYFUNCTION("""COMPUTED_VALUE"""),"No I would not be pursuing Higher Education outside of India")</f>
        <v>No I would not be pursuing Higher Education outside of India</v>
      </c>
      <c r="G227" s="1" t="str">
        <f ca="1">IFERROR(__xludf.DUMMYFUNCTION("""COMPUTED_VALUE"""),"This will be hard to do, but if it is the right company I would try")</f>
        <v>This will be hard to do, but if it is the right company I would try</v>
      </c>
      <c r="H227" s="1" t="str">
        <f ca="1">IFERROR(__xludf.DUMMYFUNCTION("""COMPUTED_VALUE"""),"No")</f>
        <v>No</v>
      </c>
      <c r="I227" s="1" t="str">
        <f ca="1">IFERROR(__xludf.DUMMYFUNCTION("""COMPUTED_VALUE"""),"Will NOT work for them")</f>
        <v>Will NOT work for them</v>
      </c>
      <c r="J227" s="1">
        <f ca="1">IFERROR(__xludf.DUMMYFUNCTION("""COMPUTED_VALUE"""),2)</f>
        <v>2</v>
      </c>
      <c r="K227" s="1" t="str">
        <f ca="1">IFERROR(__xludf.DUMMYFUNCTION("""COMPUTED_VALUE"""),"Hybrid Working Environment with less than 10 days a month at office")</f>
        <v>Hybrid Working Environment with less than 10 days a month at office</v>
      </c>
      <c r="L227" s="1" t="str">
        <f ca="1">IFERROR(__xludf.DUMMYFUNCTION("""COMPUTED_VALUE"""),"Employer who appreciates learning and enables that environment")</f>
        <v>Employer who appreciates learning and enables that environment</v>
      </c>
      <c r="M227" s="1" t="str">
        <f ca="1">IFERROR(__xludf.DUMMYFUNCTION("""COMPUTED_VALUE"""),"Instructor or Expert Learning Programs, Trial and error by doing side projects within the company")</f>
        <v>Instructor or Expert Learning Programs, Trial and error by doing side projects within the company</v>
      </c>
      <c r="N22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7" s="1" t="str">
        <f ca="1">IFERROR(__xludf.DUMMYFUNCTION("""COMPUTED_VALUE"""),"Manager who explains what is expected, sets a goal and helps achieve it")</f>
        <v>Manager who explains what is expected, sets a goal and helps achieve it</v>
      </c>
      <c r="P227" s="1" t="str">
        <f ca="1">IFERROR(__xludf.DUMMYFUNCTION("""COMPUTED_VALUE"""),"Work with 7 to 10 or more people in my team")</f>
        <v>Work with 7 to 10 or more people in my team</v>
      </c>
      <c r="Q227" s="1"/>
    </row>
    <row r="228" spans="1:17" ht="13.2" x14ac:dyDescent="0.25">
      <c r="A228" s="2">
        <f ca="1">IFERROR(__xludf.DUMMYFUNCTION("""COMPUTED_VALUE"""),44916.6488255787)</f>
        <v>44916.648825578697</v>
      </c>
      <c r="B228" s="1" t="str">
        <f ca="1">IFERROR(__xludf.DUMMYFUNCTION("""COMPUTED_VALUE"""),"India")</f>
        <v>India</v>
      </c>
      <c r="C228" s="1">
        <f ca="1">IFERROR(__xludf.DUMMYFUNCTION("""COMPUTED_VALUE"""),605001)</f>
        <v>605001</v>
      </c>
      <c r="D228" s="3" t="str">
        <f ca="1">IFERROR(__xludf.DUMMYFUNCTION("""COMPUTED_VALUE"""),"Female")</f>
        <v>Female</v>
      </c>
      <c r="E228" s="1" t="str">
        <f ca="1">IFERROR(__xludf.DUMMYFUNCTION("""COMPUTED_VALUE"""),"Social Media like LinkedIn")</f>
        <v>Social Media like LinkedIn</v>
      </c>
      <c r="F228" s="1" t="str">
        <f ca="1">IFERROR(__xludf.DUMMYFUNCTION("""COMPUTED_VALUE"""),"Yes, I will earn and do that")</f>
        <v>Yes, I will earn and do that</v>
      </c>
      <c r="G228" s="1" t="str">
        <f ca="1">IFERROR(__xludf.DUMMYFUNCTION("""COMPUTED_VALUE"""),"No way, 3 years with one employer is crazy")</f>
        <v>No way, 3 years with one employer is crazy</v>
      </c>
      <c r="H228" s="1" t="str">
        <f ca="1">IFERROR(__xludf.DUMMYFUNCTION("""COMPUTED_VALUE"""),"Yes")</f>
        <v>Yes</v>
      </c>
      <c r="I228" s="1" t="str">
        <f ca="1">IFERROR(__xludf.DUMMYFUNCTION("""COMPUTED_VALUE"""),"Will work for them")</f>
        <v>Will work for them</v>
      </c>
      <c r="J228" s="1">
        <f ca="1">IFERROR(__xludf.DUMMYFUNCTION("""COMPUTED_VALUE"""),8)</f>
        <v>8</v>
      </c>
      <c r="K228" s="1" t="str">
        <f ca="1">IFERROR(__xludf.DUMMYFUNCTION("""COMPUTED_VALUE"""),"Hybrid Working Environment with less than 15 days a month at office")</f>
        <v>Hybrid Working Environment with less than 15 days a month at office</v>
      </c>
      <c r="L228" s="1" t="str">
        <f ca="1">IFERROR(__xludf.DUMMYFUNCTION("""COMPUTED_VALUE"""),"Employers who appreciates learning but doesn't enables an learning environment")</f>
        <v>Employers who appreciates learning but doesn't enables an learning environment</v>
      </c>
      <c r="M228" s="1" t="str">
        <f ca="1">IFERROR(__xludf.DUMMYFUNCTION("""COMPUTED_VALUE"""),"Learning by observing others, Trial and error by doing side projects within the company")</f>
        <v>Learning by observing others, Trial and error by doing side projects within the company</v>
      </c>
      <c r="N228"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228" s="1" t="str">
        <f ca="1">IFERROR(__xludf.DUMMYFUNCTION("""COMPUTED_VALUE"""),"Manager who clearly describes what she/he needs")</f>
        <v>Manager who clearly describes what she/he needs</v>
      </c>
      <c r="P228" s="1" t="str">
        <f ca="1">IFERROR(__xludf.DUMMYFUNCTION("""COMPUTED_VALUE"""),"Work alone")</f>
        <v>Work alone</v>
      </c>
      <c r="Q228" s="1"/>
    </row>
    <row r="229" spans="1:17" ht="13.2" x14ac:dyDescent="0.25">
      <c r="A229" s="2">
        <f ca="1">IFERROR(__xludf.DUMMYFUNCTION("""COMPUTED_VALUE"""),44916.656138912)</f>
        <v>44916.656138912003</v>
      </c>
      <c r="B229" s="1" t="str">
        <f ca="1">IFERROR(__xludf.DUMMYFUNCTION("""COMPUTED_VALUE"""),"India")</f>
        <v>India</v>
      </c>
      <c r="C229" s="1">
        <f ca="1">IFERROR(__xludf.DUMMYFUNCTION("""COMPUTED_VALUE"""),605110)</f>
        <v>605110</v>
      </c>
      <c r="D229" s="3" t="str">
        <f ca="1">IFERROR(__xludf.DUMMYFUNCTION("""COMPUTED_VALUE"""),"Female")</f>
        <v>Female</v>
      </c>
      <c r="E229" s="1" t="str">
        <f ca="1">IFERROR(__xludf.DUMMYFUNCTION("""COMPUTED_VALUE"""),"My Parents")</f>
        <v>My Parents</v>
      </c>
      <c r="F229" s="1" t="str">
        <f ca="1">IFERROR(__xludf.DUMMYFUNCTION("""COMPUTED_VALUE"""),"No, But if someone could bare the cost I will")</f>
        <v>No, But if someone could bare the cost I will</v>
      </c>
      <c r="G229" s="1" t="str">
        <f ca="1">IFERROR(__xludf.DUMMYFUNCTION("""COMPUTED_VALUE"""),"This will be hard to do, but if it is the right company I would try")</f>
        <v>This will be hard to do, but if it is the right company I would try</v>
      </c>
      <c r="H229" s="1" t="str">
        <f ca="1">IFERROR(__xludf.DUMMYFUNCTION("""COMPUTED_VALUE"""),"Yes")</f>
        <v>Yes</v>
      </c>
      <c r="I229" s="1" t="str">
        <f ca="1">IFERROR(__xludf.DUMMYFUNCTION("""COMPUTED_VALUE"""),"Will work for them")</f>
        <v>Will work for them</v>
      </c>
      <c r="J229" s="1">
        <f ca="1">IFERROR(__xludf.DUMMYFUNCTION("""COMPUTED_VALUE"""),3)</f>
        <v>3</v>
      </c>
      <c r="K229" s="1" t="str">
        <f ca="1">IFERROR(__xludf.DUMMYFUNCTION("""COMPUTED_VALUE"""),"Every Day Office Environment")</f>
        <v>Every Day Office Environment</v>
      </c>
      <c r="L229" s="1" t="str">
        <f ca="1">IFERROR(__xludf.DUMMYFUNCTION("""COMPUTED_VALUE"""),"Employer who appreciates learning and enables that environment")</f>
        <v>Employer who appreciates learning and enables that environment</v>
      </c>
      <c r="M229" s="1" t="str">
        <f ca="1">IFERROR(__xludf.DUMMYFUNCTION("""COMPUTED_VALUE"""),"Self Paced Learning Portals, Trial and error by doing side projects within the company")</f>
        <v>Self Paced Learning Portals, Trial and error by doing side projects within the company</v>
      </c>
      <c r="N229"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29" s="1" t="str">
        <f ca="1">IFERROR(__xludf.DUMMYFUNCTION("""COMPUTED_VALUE"""),"Manager who sets targets and expects me to achieve it")</f>
        <v>Manager who sets targets and expects me to achieve it</v>
      </c>
      <c r="P229" s="1" t="str">
        <f ca="1">IFERROR(__xludf.DUMMYFUNCTION("""COMPUTED_VALUE"""),"Work alone")</f>
        <v>Work alone</v>
      </c>
      <c r="Q229" s="1"/>
    </row>
    <row r="230" spans="1:17" ht="13.2" x14ac:dyDescent="0.25">
      <c r="A230" s="2">
        <f ca="1">IFERROR(__xludf.DUMMYFUNCTION("""COMPUTED_VALUE"""),44916.675402662)</f>
        <v>44916.675402661996</v>
      </c>
      <c r="B230" s="1" t="str">
        <f ca="1">IFERROR(__xludf.DUMMYFUNCTION("""COMPUTED_VALUE"""),"India")</f>
        <v>India</v>
      </c>
      <c r="C230" s="1">
        <f ca="1">IFERROR(__xludf.DUMMYFUNCTION("""COMPUTED_VALUE"""),442406)</f>
        <v>442406</v>
      </c>
      <c r="D230" s="3" t="str">
        <f ca="1">IFERROR(__xludf.DUMMYFUNCTION("""COMPUTED_VALUE"""),"Male")</f>
        <v>Male</v>
      </c>
      <c r="E230" s="1" t="str">
        <f ca="1">IFERROR(__xludf.DUMMYFUNCTION("""COMPUTED_VALUE"""),"My Parents")</f>
        <v>My Parents</v>
      </c>
      <c r="F230" s="1" t="str">
        <f ca="1">IFERROR(__xludf.DUMMYFUNCTION("""COMPUTED_VALUE"""),"No, But if someone could bare the cost I will")</f>
        <v>No, But if someone could bare the cost I will</v>
      </c>
      <c r="G230" s="1" t="str">
        <f ca="1">IFERROR(__xludf.DUMMYFUNCTION("""COMPUTED_VALUE"""),"This will be hard to do, but if it is the right company I would try")</f>
        <v>This will be hard to do, but if it is the right company I would try</v>
      </c>
      <c r="H230" s="1" t="str">
        <f ca="1">IFERROR(__xludf.DUMMYFUNCTION("""COMPUTED_VALUE"""),"No")</f>
        <v>No</v>
      </c>
      <c r="I230" s="1" t="str">
        <f ca="1">IFERROR(__xludf.DUMMYFUNCTION("""COMPUTED_VALUE"""),"Will NOT work for them")</f>
        <v>Will NOT work for them</v>
      </c>
      <c r="J230" s="1">
        <f ca="1">IFERROR(__xludf.DUMMYFUNCTION("""COMPUTED_VALUE"""),7)</f>
        <v>7</v>
      </c>
      <c r="K230" s="1" t="str">
        <f ca="1">IFERROR(__xludf.DUMMYFUNCTION("""COMPUTED_VALUE"""),"Fully Remote with No option to visit offices")</f>
        <v>Fully Remote with No option to visit offices</v>
      </c>
      <c r="L230" s="1" t="str">
        <f ca="1">IFERROR(__xludf.DUMMYFUNCTION("""COMPUTED_VALUE"""),"Employer who pushes your limits by enabling an learning environment, and rewards you at the end")</f>
        <v>Employer who pushes your limits by enabling an learning environment, and rewards you at the end</v>
      </c>
      <c r="M230" s="1" t="str">
        <f ca="1">IFERROR(__xludf.DUMMYFUNCTION("""COMPUTED_VALUE"""),"Self Paced Learning Portals, Trial and error by doing side projects within the company")</f>
        <v>Self Paced Learning Portals, Trial and error by doing side projects within the company</v>
      </c>
      <c r="N230" s="1" t="str">
        <f ca="1">IFERROR(__xludf.DUMMYFUNCTION("""COMPUTED_VALUE"""),"Build and develop a Team, Design and Develop amazing software, Look deeply into Data and generate insights")</f>
        <v>Build and develop a Team, Design and Develop amazing software, Look deeply into Data and generate insights</v>
      </c>
      <c r="O230" s="1" t="str">
        <f ca="1">IFERROR(__xludf.DUMMYFUNCTION("""COMPUTED_VALUE"""),"Manager who explains what is expected, sets a goal and helps achieve it")</f>
        <v>Manager who explains what is expected, sets a goal and helps achieve it</v>
      </c>
      <c r="P230" s="1" t="str">
        <f ca="1">IFERROR(__xludf.DUMMYFUNCTION("""COMPUTED_VALUE"""),"Work with 5 to 6 people in my team")</f>
        <v>Work with 5 to 6 people in my team</v>
      </c>
      <c r="Q230" s="1"/>
    </row>
    <row r="231" spans="1:17" ht="13.2" x14ac:dyDescent="0.25">
      <c r="A231" s="2">
        <f ca="1">IFERROR(__xludf.DUMMYFUNCTION("""COMPUTED_VALUE"""),44916.7024984606)</f>
        <v>44916.702498460603</v>
      </c>
      <c r="B231" s="1" t="str">
        <f ca="1">IFERROR(__xludf.DUMMYFUNCTION("""COMPUTED_VALUE"""),"India")</f>
        <v>India</v>
      </c>
      <c r="C231" s="1">
        <f ca="1">IFERROR(__xludf.DUMMYFUNCTION("""COMPUTED_VALUE"""),605101)</f>
        <v>605101</v>
      </c>
      <c r="D231" s="3" t="str">
        <f ca="1">IFERROR(__xludf.DUMMYFUNCTION("""COMPUTED_VALUE"""),"Male")</f>
        <v>Male</v>
      </c>
      <c r="E231" s="1" t="str">
        <f ca="1">IFERROR(__xludf.DUMMYFUNCTION("""COMPUTED_VALUE"""),"My Parents")</f>
        <v>My Parents</v>
      </c>
      <c r="F231" s="1" t="str">
        <f ca="1">IFERROR(__xludf.DUMMYFUNCTION("""COMPUTED_VALUE"""),"Yes, I will earn and do that")</f>
        <v>Yes, I will earn and do that</v>
      </c>
      <c r="G231" s="1" t="str">
        <f ca="1">IFERROR(__xludf.DUMMYFUNCTION("""COMPUTED_VALUE"""),"This will be hard to do, but if it is the right company I would try")</f>
        <v>This will be hard to do, but if it is the right company I would try</v>
      </c>
      <c r="H231" s="1" t="str">
        <f ca="1">IFERROR(__xludf.DUMMYFUNCTION("""COMPUTED_VALUE"""),"Yes")</f>
        <v>Yes</v>
      </c>
      <c r="I231" s="1" t="str">
        <f ca="1">IFERROR(__xludf.DUMMYFUNCTION("""COMPUTED_VALUE"""),"Will work for them")</f>
        <v>Will work for them</v>
      </c>
      <c r="J231" s="1">
        <f ca="1">IFERROR(__xludf.DUMMYFUNCTION("""COMPUTED_VALUE"""),10)</f>
        <v>10</v>
      </c>
      <c r="K231" s="1" t="str">
        <f ca="1">IFERROR(__xludf.DUMMYFUNCTION("""COMPUTED_VALUE"""),"Fully Remote with Options to travel as and when needed")</f>
        <v>Fully Remote with Options to travel as and when needed</v>
      </c>
      <c r="L231" s="1" t="str">
        <f ca="1">IFERROR(__xludf.DUMMYFUNCTION("""COMPUTED_VALUE"""),"Employer who appreciates learning and enables that environment")</f>
        <v>Employer who appreciates learning and enables that environment</v>
      </c>
      <c r="M231" s="1" t="str">
        <f ca="1">IFERROR(__xludf.DUMMYFUNCTION("""COMPUTED_VALUE"""),"Self Paced Learning Portals, Instructor or Expert Learning Programs")</f>
        <v>Self Paced Learning Portals, Instructor or Expert Learning Programs</v>
      </c>
      <c r="N231"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31" s="1" t="str">
        <f ca="1">IFERROR(__xludf.DUMMYFUNCTION("""COMPUTED_VALUE"""),"Manager who sets targets and expects me to achieve it")</f>
        <v>Manager who sets targets and expects me to achieve it</v>
      </c>
      <c r="P231" s="1" t="str">
        <f ca="1">IFERROR(__xludf.DUMMYFUNCTION("""COMPUTED_VALUE"""),"Work with 5 to 6 people in my team")</f>
        <v>Work with 5 to 6 people in my team</v>
      </c>
      <c r="Q231" s="1"/>
    </row>
    <row r="232" spans="1:17" ht="13.2" x14ac:dyDescent="0.25">
      <c r="A232" s="2">
        <f ca="1">IFERROR(__xludf.DUMMYFUNCTION("""COMPUTED_VALUE"""),44916.7154884837)</f>
        <v>44916.7154884837</v>
      </c>
      <c r="B232" s="1" t="str">
        <f ca="1">IFERROR(__xludf.DUMMYFUNCTION("""COMPUTED_VALUE"""),"India")</f>
        <v>India</v>
      </c>
      <c r="C232" s="1">
        <f ca="1">IFERROR(__xludf.DUMMYFUNCTION("""COMPUTED_VALUE"""),605008)</f>
        <v>605008</v>
      </c>
      <c r="D232" s="3" t="str">
        <f ca="1">IFERROR(__xludf.DUMMYFUNCTION("""COMPUTED_VALUE"""),"Male")</f>
        <v>Male</v>
      </c>
      <c r="E232" s="1" t="str">
        <f ca="1">IFERROR(__xludf.DUMMYFUNCTION("""COMPUTED_VALUE"""),"People from my circle, but not family members")</f>
        <v>People from my circle, but not family members</v>
      </c>
      <c r="F232" s="1" t="str">
        <f ca="1">IFERROR(__xludf.DUMMYFUNCTION("""COMPUTED_VALUE"""),"Yes, I will earn and do that")</f>
        <v>Yes, I will earn and do that</v>
      </c>
      <c r="G232" s="1" t="str">
        <f ca="1">IFERROR(__xludf.DUMMYFUNCTION("""COMPUTED_VALUE"""),"Will work for 3 years or more")</f>
        <v>Will work for 3 years or more</v>
      </c>
      <c r="H232" s="1" t="str">
        <f ca="1">IFERROR(__xludf.DUMMYFUNCTION("""COMPUTED_VALUE"""),"No")</f>
        <v>No</v>
      </c>
      <c r="I232" s="1" t="str">
        <f ca="1">IFERROR(__xludf.DUMMYFUNCTION("""COMPUTED_VALUE"""),"Will NOT work for them")</f>
        <v>Will NOT work for them</v>
      </c>
      <c r="J232" s="1">
        <f ca="1">IFERROR(__xludf.DUMMYFUNCTION("""COMPUTED_VALUE"""),7)</f>
        <v>7</v>
      </c>
      <c r="K232" s="1" t="str">
        <f ca="1">IFERROR(__xludf.DUMMYFUNCTION("""COMPUTED_VALUE"""),"Fully Remote with Options to travel as and when needed")</f>
        <v>Fully Remote with Options to travel as and when needed</v>
      </c>
      <c r="L232" s="1" t="str">
        <f ca="1">IFERROR(__xludf.DUMMYFUNCTION("""COMPUTED_VALUE"""),"Employer who pushes your limits by enabling an learning environment, and rewards you at the end")</f>
        <v>Employer who pushes your limits by enabling an learning environment, and rewards you at the end</v>
      </c>
      <c r="M232" s="1" t="str">
        <f ca="1">IFERROR(__xludf.DUMMYFUNCTION("""COMPUTED_VALUE"""),"Self Paced Learning Portals, Learning by observing others")</f>
        <v>Self Paced Learning Portals, Learning by observing others</v>
      </c>
      <c r="N232"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32" s="1" t="str">
        <f ca="1">IFERROR(__xludf.DUMMYFUNCTION("""COMPUTED_VALUE"""),"Manager who sets goal and helps me achieve it")</f>
        <v>Manager who sets goal and helps me achieve it</v>
      </c>
      <c r="P232" s="1" t="str">
        <f ca="1">IFERROR(__xludf.DUMMYFUNCTION("""COMPUTED_VALUE"""),"Work with more than 10 people in my team")</f>
        <v>Work with more than 10 people in my team</v>
      </c>
      <c r="Q232" s="1"/>
    </row>
    <row r="233" spans="1:17" ht="13.2" x14ac:dyDescent="0.25">
      <c r="A233" s="2">
        <f ca="1">IFERROR(__xludf.DUMMYFUNCTION("""COMPUTED_VALUE"""),44916.7264457638)</f>
        <v>44916.726445763801</v>
      </c>
      <c r="B233" s="1" t="str">
        <f ca="1">IFERROR(__xludf.DUMMYFUNCTION("""COMPUTED_VALUE"""),"India")</f>
        <v>India</v>
      </c>
      <c r="C233" s="1">
        <f ca="1">IFERROR(__xludf.DUMMYFUNCTION("""COMPUTED_VALUE"""),722207)</f>
        <v>722207</v>
      </c>
      <c r="D233" s="3" t="str">
        <f ca="1">IFERROR(__xludf.DUMMYFUNCTION("""COMPUTED_VALUE"""),"Male")</f>
        <v>Male</v>
      </c>
      <c r="E233" s="1" t="str">
        <f ca="1">IFERROR(__xludf.DUMMYFUNCTION("""COMPUTED_VALUE"""),"People from my circle, but not family members")</f>
        <v>People from my circle, but not family members</v>
      </c>
      <c r="F233" s="1" t="str">
        <f ca="1">IFERROR(__xludf.DUMMYFUNCTION("""COMPUTED_VALUE"""),"No I would not be pursuing Higher Education outside of India")</f>
        <v>No I would not be pursuing Higher Education outside of India</v>
      </c>
      <c r="G233" s="1" t="str">
        <f ca="1">IFERROR(__xludf.DUMMYFUNCTION("""COMPUTED_VALUE"""),"This will be hard to do, but if it is the right company I would try")</f>
        <v>This will be hard to do, but if it is the right company I would try</v>
      </c>
      <c r="H233" s="1" t="str">
        <f ca="1">IFERROR(__xludf.DUMMYFUNCTION("""COMPUTED_VALUE"""),"Yes")</f>
        <v>Yes</v>
      </c>
      <c r="I233" s="1" t="str">
        <f ca="1">IFERROR(__xludf.DUMMYFUNCTION("""COMPUTED_VALUE"""),"Will work for them")</f>
        <v>Will work for them</v>
      </c>
      <c r="J233" s="1">
        <f ca="1">IFERROR(__xludf.DUMMYFUNCTION("""COMPUTED_VALUE"""),5)</f>
        <v>5</v>
      </c>
      <c r="K233" s="1" t="str">
        <f ca="1">IFERROR(__xludf.DUMMYFUNCTION("""COMPUTED_VALUE"""),"Hybrid Working Environment with less than 3 days a month at office")</f>
        <v>Hybrid Working Environment with less than 3 days a month at office</v>
      </c>
      <c r="L233" s="1" t="str">
        <f ca="1">IFERROR(__xludf.DUMMYFUNCTION("""COMPUTED_VALUE"""),"Employer who rewards learning and enables that environment")</f>
        <v>Employer who rewards learning and enables that environment</v>
      </c>
      <c r="M233" s="1" t="str">
        <f ca="1">IFERROR(__xludf.DUMMYFUNCTION("""COMPUTED_VALUE"""),"Learning by observing others, Trial and error by doing side projects within the company")</f>
        <v>Learning by observing others, Trial and error by doing side projects within the company</v>
      </c>
      <c r="N233"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233" s="1" t="str">
        <f ca="1">IFERROR(__xludf.DUMMYFUNCTION("""COMPUTED_VALUE"""),"Manager who explains what is expected, sets a goal and helps achieve it")</f>
        <v>Manager who explains what is expected, sets a goal and helps achieve it</v>
      </c>
      <c r="P233" s="1" t="str">
        <f ca="1">IFERROR(__xludf.DUMMYFUNCTION("""COMPUTED_VALUE"""),"Work with 2 to 3 people in my team")</f>
        <v>Work with 2 to 3 people in my team</v>
      </c>
      <c r="Q233" s="1"/>
    </row>
    <row r="234" spans="1:17" ht="13.2" x14ac:dyDescent="0.25">
      <c r="A234" s="2">
        <f ca="1">IFERROR(__xludf.DUMMYFUNCTION("""COMPUTED_VALUE"""),44916.7386769907)</f>
        <v>44916.738676990703</v>
      </c>
      <c r="B234" s="1" t="str">
        <f ca="1">IFERROR(__xludf.DUMMYFUNCTION("""COMPUTED_VALUE"""),"India")</f>
        <v>India</v>
      </c>
      <c r="C234" s="1">
        <f ca="1">IFERROR(__xludf.DUMMYFUNCTION("""COMPUTED_VALUE"""),604102)</f>
        <v>604102</v>
      </c>
      <c r="D234" s="3" t="str">
        <f ca="1">IFERROR(__xludf.DUMMYFUNCTION("""COMPUTED_VALUE"""),"Female")</f>
        <v>Female</v>
      </c>
      <c r="E234" s="1" t="str">
        <f ca="1">IFERROR(__xludf.DUMMYFUNCTION("""COMPUTED_VALUE"""),"People who have changed the world for better")</f>
        <v>People who have changed the world for better</v>
      </c>
      <c r="F234" s="1" t="str">
        <f ca="1">IFERROR(__xludf.DUMMYFUNCTION("""COMPUTED_VALUE"""),"Yes, I will earn and do that")</f>
        <v>Yes, I will earn and do that</v>
      </c>
      <c r="G234" s="1" t="str">
        <f ca="1">IFERROR(__xludf.DUMMYFUNCTION("""COMPUTED_VALUE"""),"Will work for 3 years or more")</f>
        <v>Will work for 3 years or more</v>
      </c>
      <c r="H234" s="1" t="str">
        <f ca="1">IFERROR(__xludf.DUMMYFUNCTION("""COMPUTED_VALUE"""),"Yes")</f>
        <v>Yes</v>
      </c>
      <c r="I234" s="1" t="str">
        <f ca="1">IFERROR(__xludf.DUMMYFUNCTION("""COMPUTED_VALUE"""),"Will work for them")</f>
        <v>Will work for them</v>
      </c>
      <c r="J234" s="1">
        <f ca="1">IFERROR(__xludf.DUMMYFUNCTION("""COMPUTED_VALUE"""),4)</f>
        <v>4</v>
      </c>
      <c r="K234" s="1" t="str">
        <f ca="1">IFERROR(__xludf.DUMMYFUNCTION("""COMPUTED_VALUE"""),"Hybrid Working Environment with less than 10 days a month at office")</f>
        <v>Hybrid Working Environment with less than 10 days a month at office</v>
      </c>
      <c r="L234" s="1" t="str">
        <f ca="1">IFERROR(__xludf.DUMMYFUNCTION("""COMPUTED_VALUE"""),"Employer who appreciates learning and enables that environment")</f>
        <v>Employer who appreciates learning and enables that environment</v>
      </c>
      <c r="M234" s="1" t="str">
        <f ca="1">IFERROR(__xludf.DUMMYFUNCTION("""COMPUTED_VALUE"""),"Self Paced Learning Portals, Learning by observing others")</f>
        <v>Self Paced Learning Portals, Learning by observing others</v>
      </c>
      <c r="N23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234" s="1" t="str">
        <f ca="1">IFERROR(__xludf.DUMMYFUNCTION("""COMPUTED_VALUE"""),"Manager who sets goal and helps me achieve it")</f>
        <v>Manager who sets goal and helps me achieve it</v>
      </c>
      <c r="P234" s="1" t="str">
        <f ca="1">IFERROR(__xludf.DUMMYFUNCTION("""COMPUTED_VALUE"""),"Work with more than 10 people in my team")</f>
        <v>Work with more than 10 people in my team</v>
      </c>
      <c r="Q234" s="1"/>
    </row>
    <row r="235" spans="1:17" ht="13.2" x14ac:dyDescent="0.25">
      <c r="A235" s="2">
        <f ca="1">IFERROR(__xludf.DUMMYFUNCTION("""COMPUTED_VALUE"""),44916.7554082291)</f>
        <v>44916.755408229103</v>
      </c>
      <c r="B235" s="1" t="str">
        <f ca="1">IFERROR(__xludf.DUMMYFUNCTION("""COMPUTED_VALUE"""),"India")</f>
        <v>India</v>
      </c>
      <c r="C235" s="1">
        <f ca="1">IFERROR(__xludf.DUMMYFUNCTION("""COMPUTED_VALUE"""),122002)</f>
        <v>122002</v>
      </c>
      <c r="D235" s="3" t="str">
        <f ca="1">IFERROR(__xludf.DUMMYFUNCTION("""COMPUTED_VALUE"""),"Male")</f>
        <v>Male</v>
      </c>
      <c r="E235" s="1" t="str">
        <f ca="1">IFERROR(__xludf.DUMMYFUNCTION("""COMPUTED_VALUE"""),"People who have changed the world for better")</f>
        <v>People who have changed the world for better</v>
      </c>
      <c r="F235" s="1" t="str">
        <f ca="1">IFERROR(__xludf.DUMMYFUNCTION("""COMPUTED_VALUE"""),"Yes, I will earn and do that")</f>
        <v>Yes, I will earn and do that</v>
      </c>
      <c r="G235" s="1" t="str">
        <f ca="1">IFERROR(__xludf.DUMMYFUNCTION("""COMPUTED_VALUE"""),"No way, 3 years with one employer is crazy")</f>
        <v>No way, 3 years with one employer is crazy</v>
      </c>
      <c r="H235" s="1" t="str">
        <f ca="1">IFERROR(__xludf.DUMMYFUNCTION("""COMPUTED_VALUE"""),"No")</f>
        <v>No</v>
      </c>
      <c r="I235" s="1" t="str">
        <f ca="1">IFERROR(__xludf.DUMMYFUNCTION("""COMPUTED_VALUE"""),"Will NOT work for them")</f>
        <v>Will NOT work for them</v>
      </c>
      <c r="J235" s="1">
        <f ca="1">IFERROR(__xludf.DUMMYFUNCTION("""COMPUTED_VALUE"""),7)</f>
        <v>7</v>
      </c>
      <c r="K235" s="1" t="str">
        <f ca="1">IFERROR(__xludf.DUMMYFUNCTION("""COMPUTED_VALUE"""),"Hybrid Working Environment with less than 15 days a month at office")</f>
        <v>Hybrid Working Environment with less than 15 days a month at office</v>
      </c>
      <c r="L235" s="1" t="str">
        <f ca="1">IFERROR(__xludf.DUMMYFUNCTION("""COMPUTED_VALUE"""),"Employer who rewards learning and enables that environment")</f>
        <v>Employer who rewards learning and enables that environment</v>
      </c>
      <c r="M235" s="1" t="str">
        <f ca="1">IFERROR(__xludf.DUMMYFUNCTION("""COMPUTED_VALUE"""),"Self Paced Learning Portals, Instructor or Expert Learning Programs")</f>
        <v>Self Paced Learning Portals, Instructor or Expert Learning Programs</v>
      </c>
      <c r="N235" s="1" t="str">
        <f ca="1">IFERROR(__xludf.DUMMYFUNCTION("""COMPUTED_VALUE"""),"Teaching in any of the institutes/online or Offline, Manage and drive End-to-End Projects or Products, Design and Develop amazing software")</f>
        <v>Teaching in any of the institutes/online or Offline, Manage and drive End-to-End Projects or Products, Design and Develop amazing software</v>
      </c>
      <c r="O235" s="1" t="str">
        <f ca="1">IFERROR(__xludf.DUMMYFUNCTION("""COMPUTED_VALUE"""),"Manager who explains what is expected, sets a goal and helps achieve it")</f>
        <v>Manager who explains what is expected, sets a goal and helps achieve it</v>
      </c>
      <c r="P235" s="1" t="str">
        <f ca="1">IFERROR(__xludf.DUMMYFUNCTION("""COMPUTED_VALUE"""),"Work with 5 to 6 people in my team")</f>
        <v>Work with 5 to 6 people in my team</v>
      </c>
      <c r="Q235" s="1"/>
    </row>
    <row r="236" spans="1:17" ht="13.2" x14ac:dyDescent="0.25">
      <c r="A236" s="2">
        <f ca="1">IFERROR(__xludf.DUMMYFUNCTION("""COMPUTED_VALUE"""),44916.758823912)</f>
        <v>44916.758823912001</v>
      </c>
      <c r="B236" s="1" t="str">
        <f ca="1">IFERROR(__xludf.DUMMYFUNCTION("""COMPUTED_VALUE"""),"India")</f>
        <v>India</v>
      </c>
      <c r="C236" s="1">
        <f ca="1">IFERROR(__xludf.DUMMYFUNCTION("""COMPUTED_VALUE"""),605102)</f>
        <v>605102</v>
      </c>
      <c r="D236" s="3" t="str">
        <f ca="1">IFERROR(__xludf.DUMMYFUNCTION("""COMPUTED_VALUE"""),"Female")</f>
        <v>Female</v>
      </c>
      <c r="E236" s="1" t="str">
        <f ca="1">IFERROR(__xludf.DUMMYFUNCTION("""COMPUTED_VALUE"""),"My Parents")</f>
        <v>My Parents</v>
      </c>
      <c r="F236" s="1" t="str">
        <f ca="1">IFERROR(__xludf.DUMMYFUNCTION("""COMPUTED_VALUE"""),"Yes, I will earn and do that")</f>
        <v>Yes, I will earn and do that</v>
      </c>
      <c r="G236" s="1" t="str">
        <f ca="1">IFERROR(__xludf.DUMMYFUNCTION("""COMPUTED_VALUE"""),"This will be hard to do, but if it is the right company I would try")</f>
        <v>This will be hard to do, but if it is the right company I would try</v>
      </c>
      <c r="H236" s="1" t="str">
        <f ca="1">IFERROR(__xludf.DUMMYFUNCTION("""COMPUTED_VALUE"""),"Yes")</f>
        <v>Yes</v>
      </c>
      <c r="I236" s="1" t="str">
        <f ca="1">IFERROR(__xludf.DUMMYFUNCTION("""COMPUTED_VALUE"""),"Will work for them")</f>
        <v>Will work for them</v>
      </c>
      <c r="J236" s="1">
        <f ca="1">IFERROR(__xludf.DUMMYFUNCTION("""COMPUTED_VALUE"""),5)</f>
        <v>5</v>
      </c>
      <c r="K236" s="1" t="str">
        <f ca="1">IFERROR(__xludf.DUMMYFUNCTION("""COMPUTED_VALUE"""),"Every Day Office Environment")</f>
        <v>Every Day Office Environment</v>
      </c>
      <c r="L236" s="1" t="str">
        <f ca="1">IFERROR(__xludf.DUMMYFUNCTION("""COMPUTED_VALUE"""),"Employer who appreciates learning and enables that environment")</f>
        <v>Employer who appreciates learning and enables that environment</v>
      </c>
      <c r="M236" s="1" t="str">
        <f ca="1">IFERROR(__xludf.DUMMYFUNCTION("""COMPUTED_VALUE"""),"Self Paced Learning Portals, Instructor or Expert Learning Programs")</f>
        <v>Self Paced Learning Portals, Instructor or Expert Learning Programs</v>
      </c>
      <c r="N236"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236" s="1" t="str">
        <f ca="1">IFERROR(__xludf.DUMMYFUNCTION("""COMPUTED_VALUE"""),"Manager who sets targets and expects me to achieve it")</f>
        <v>Manager who sets targets and expects me to achieve it</v>
      </c>
      <c r="P236" s="1" t="str">
        <f ca="1">IFERROR(__xludf.DUMMYFUNCTION("""COMPUTED_VALUE"""),"Work with 7 to 10 or more people in my team")</f>
        <v>Work with 7 to 10 or more people in my team</v>
      </c>
      <c r="Q236" s="1"/>
    </row>
    <row r="237" spans="1:17" ht="13.2" x14ac:dyDescent="0.25">
      <c r="A237" s="2">
        <f ca="1">IFERROR(__xludf.DUMMYFUNCTION("""COMPUTED_VALUE"""),44916.8914125925)</f>
        <v>44916.8914125925</v>
      </c>
      <c r="B237" s="1" t="str">
        <f ca="1">IFERROR(__xludf.DUMMYFUNCTION("""COMPUTED_VALUE"""),"India")</f>
        <v>India</v>
      </c>
      <c r="C237" s="1">
        <f ca="1">IFERROR(__xludf.DUMMYFUNCTION("""COMPUTED_VALUE"""),607001)</f>
        <v>607001</v>
      </c>
      <c r="D237" s="3" t="str">
        <f ca="1">IFERROR(__xludf.DUMMYFUNCTION("""COMPUTED_VALUE"""),"Male")</f>
        <v>Male</v>
      </c>
      <c r="E237" s="1" t="str">
        <f ca="1">IFERROR(__xludf.DUMMYFUNCTION("""COMPUTED_VALUE"""),"Social Media like LinkedIn")</f>
        <v>Social Media like LinkedIn</v>
      </c>
      <c r="F237" s="1" t="str">
        <f ca="1">IFERROR(__xludf.DUMMYFUNCTION("""COMPUTED_VALUE"""),"No, But if someone could bare the cost I will")</f>
        <v>No, But if someone could bare the cost I will</v>
      </c>
      <c r="G237" s="1" t="str">
        <f ca="1">IFERROR(__xludf.DUMMYFUNCTION("""COMPUTED_VALUE"""),"This will be hard to do, but if it is the right company I would try")</f>
        <v>This will be hard to do, but if it is the right company I would try</v>
      </c>
      <c r="H237" s="1" t="str">
        <f ca="1">IFERROR(__xludf.DUMMYFUNCTION("""COMPUTED_VALUE"""),"Yes")</f>
        <v>Yes</v>
      </c>
      <c r="I237" s="1" t="str">
        <f ca="1">IFERROR(__xludf.DUMMYFUNCTION("""COMPUTED_VALUE"""),"Will work for them")</f>
        <v>Will work for them</v>
      </c>
      <c r="J237" s="1">
        <f ca="1">IFERROR(__xludf.DUMMYFUNCTION("""COMPUTED_VALUE"""),5)</f>
        <v>5</v>
      </c>
      <c r="K237" s="1" t="str">
        <f ca="1">IFERROR(__xludf.DUMMYFUNCTION("""COMPUTED_VALUE"""),"Hybrid Working Environment with less than 15 days a month at office")</f>
        <v>Hybrid Working Environment with less than 15 days a month at office</v>
      </c>
      <c r="L237" s="1" t="str">
        <f ca="1">IFERROR(__xludf.DUMMYFUNCTION("""COMPUTED_VALUE"""),"Employer who pushes your limits by enabling an learning environment, and rewards you at the end")</f>
        <v>Employer who pushes your limits by enabling an learning environment, and rewards you at the end</v>
      </c>
      <c r="M237" s="1" t="str">
        <f ca="1">IFERROR(__xludf.DUMMYFUNCTION("""COMPUTED_VALUE"""),"Self Paced Learning Portals, Learning by observing others")</f>
        <v>Self Paced Learning Portals, Learning by observing others</v>
      </c>
      <c r="N23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37" s="1" t="str">
        <f ca="1">IFERROR(__xludf.DUMMYFUNCTION("""COMPUTED_VALUE"""),"Manager who explains what is expected, sets a goal and helps achieve it")</f>
        <v>Manager who explains what is expected, sets a goal and helps achieve it</v>
      </c>
      <c r="P237" s="1" t="str">
        <f ca="1">IFERROR(__xludf.DUMMYFUNCTION("""COMPUTED_VALUE"""),"Work with 2 to 3 people in my team")</f>
        <v>Work with 2 to 3 people in my team</v>
      </c>
      <c r="Q237" s="1"/>
    </row>
    <row r="238" spans="1:17" ht="13.2" x14ac:dyDescent="0.25">
      <c r="A238" s="2">
        <f ca="1">IFERROR(__xludf.DUMMYFUNCTION("""COMPUTED_VALUE"""),44916.9028311226)</f>
        <v>44916.902831122599</v>
      </c>
      <c r="B238" s="1" t="str">
        <f ca="1">IFERROR(__xludf.DUMMYFUNCTION("""COMPUTED_VALUE"""),"India")</f>
        <v>India</v>
      </c>
      <c r="C238" s="1">
        <f ca="1">IFERROR(__xludf.DUMMYFUNCTION("""COMPUTED_VALUE"""),605102)</f>
        <v>605102</v>
      </c>
      <c r="D238" s="3" t="str">
        <f ca="1">IFERROR(__xludf.DUMMYFUNCTION("""COMPUTED_VALUE"""),"Female")</f>
        <v>Female</v>
      </c>
      <c r="E238" s="1" t="str">
        <f ca="1">IFERROR(__xludf.DUMMYFUNCTION("""COMPUTED_VALUE"""),"My Parents")</f>
        <v>My Parents</v>
      </c>
      <c r="F238" s="1" t="str">
        <f ca="1">IFERROR(__xludf.DUMMYFUNCTION("""COMPUTED_VALUE"""),"Yes, I will earn and do that")</f>
        <v>Yes, I will earn and do that</v>
      </c>
      <c r="G238" s="1" t="str">
        <f ca="1">IFERROR(__xludf.DUMMYFUNCTION("""COMPUTED_VALUE"""),"Will work for 3 years or more")</f>
        <v>Will work for 3 years or more</v>
      </c>
      <c r="H238" s="1" t="str">
        <f ca="1">IFERROR(__xludf.DUMMYFUNCTION("""COMPUTED_VALUE"""),"Yes")</f>
        <v>Yes</v>
      </c>
      <c r="I238" s="1" t="str">
        <f ca="1">IFERROR(__xludf.DUMMYFUNCTION("""COMPUTED_VALUE"""),"Will work for them")</f>
        <v>Will work for them</v>
      </c>
      <c r="J238" s="1">
        <f ca="1">IFERROR(__xludf.DUMMYFUNCTION("""COMPUTED_VALUE"""),1)</f>
        <v>1</v>
      </c>
      <c r="K238" s="1" t="str">
        <f ca="1">IFERROR(__xludf.DUMMYFUNCTION("""COMPUTED_VALUE"""),"Every Day Office Environment")</f>
        <v>Every Day Office Environment</v>
      </c>
      <c r="L238" s="1" t="str">
        <f ca="1">IFERROR(__xludf.DUMMYFUNCTION("""COMPUTED_VALUE"""),"Employer who appreciates learning and enables that environment")</f>
        <v>Employer who appreciates learning and enables that environment</v>
      </c>
      <c r="M238" s="1" t="str">
        <f ca="1">IFERROR(__xludf.DUMMYFUNCTION("""COMPUTED_VALUE"""),"Self Paced Learning Portals, Learning by observing others")</f>
        <v>Self Paced Learning Portals, Learning by observing others</v>
      </c>
      <c r="N238" s="1" t="str">
        <f ca="1">IFERROR(__xludf.DUMMYFUNCTION("""COMPUTED_VALUE"""),"Design and Creative strategy in any company, Work in a BPO setup for some well known client, Become a content Creator in some platform")</f>
        <v>Design and Creative strategy in any company, Work in a BPO setup for some well known client, Become a content Creator in some platform</v>
      </c>
      <c r="O238" s="1" t="str">
        <f ca="1">IFERROR(__xludf.DUMMYFUNCTION("""COMPUTED_VALUE"""),"Manager who sets goal and helps me achieve it")</f>
        <v>Manager who sets goal and helps me achieve it</v>
      </c>
      <c r="P238" s="1" t="str">
        <f ca="1">IFERROR(__xludf.DUMMYFUNCTION("""COMPUTED_VALUE"""),"Work with 7 to 10 or more people in my team")</f>
        <v>Work with 7 to 10 or more people in my team</v>
      </c>
      <c r="Q238" s="1"/>
    </row>
    <row r="239" spans="1:17" ht="13.2" x14ac:dyDescent="0.25">
      <c r="A239" s="2">
        <f ca="1">IFERROR(__xludf.DUMMYFUNCTION("""COMPUTED_VALUE"""),44917.3138558912)</f>
        <v>44917.313855891203</v>
      </c>
      <c r="B239" s="1" t="str">
        <f ca="1">IFERROR(__xludf.DUMMYFUNCTION("""COMPUTED_VALUE"""),"India")</f>
        <v>India</v>
      </c>
      <c r="C239" s="1">
        <f ca="1">IFERROR(__xludf.DUMMYFUNCTION("""COMPUTED_VALUE"""),500026)</f>
        <v>500026</v>
      </c>
      <c r="D239" s="3" t="str">
        <f ca="1">IFERROR(__xludf.DUMMYFUNCTION("""COMPUTED_VALUE"""),"Female")</f>
        <v>Female</v>
      </c>
      <c r="E239" s="1" t="str">
        <f ca="1">IFERROR(__xludf.DUMMYFUNCTION("""COMPUTED_VALUE"""),"People who have changed the world for better")</f>
        <v>People who have changed the world for better</v>
      </c>
      <c r="F239" s="1" t="str">
        <f ca="1">IFERROR(__xludf.DUMMYFUNCTION("""COMPUTED_VALUE"""),"No I would not be pursuing Higher Education outside of India")</f>
        <v>No I would not be pursuing Higher Education outside of India</v>
      </c>
      <c r="G239" s="1" t="str">
        <f ca="1">IFERROR(__xludf.DUMMYFUNCTION("""COMPUTED_VALUE"""),"This will be hard to do, but if it is the right company I would try")</f>
        <v>This will be hard to do, but if it is the right company I would try</v>
      </c>
      <c r="H239" s="1" t="str">
        <f ca="1">IFERROR(__xludf.DUMMYFUNCTION("""COMPUTED_VALUE"""),"No")</f>
        <v>No</v>
      </c>
      <c r="I239" s="1" t="str">
        <f ca="1">IFERROR(__xludf.DUMMYFUNCTION("""COMPUTED_VALUE"""),"Will NOT work for them")</f>
        <v>Will NOT work for them</v>
      </c>
      <c r="J239" s="1">
        <f ca="1">IFERROR(__xludf.DUMMYFUNCTION("""COMPUTED_VALUE"""),7)</f>
        <v>7</v>
      </c>
      <c r="K239" s="1" t="str">
        <f ca="1">IFERROR(__xludf.DUMMYFUNCTION("""COMPUTED_VALUE"""),"Hybrid Working Environment with less than 10 days a month at office")</f>
        <v>Hybrid Working Environment with less than 10 days a month at office</v>
      </c>
      <c r="L239" s="1" t="str">
        <f ca="1">IFERROR(__xludf.DUMMYFUNCTION("""COMPUTED_VALUE"""),"Employer who pushes your limits by enabling an learning environment, and rewards you at the end")</f>
        <v>Employer who pushes your limits by enabling an learning environment, and rewards you at the end</v>
      </c>
      <c r="M239" s="1" t="str">
        <f ca="1">IFERROR(__xludf.DUMMYFUNCTION("""COMPUTED_VALUE"""),"Self Paced Learning Portals, Instructor or Expert Learning Programs")</f>
        <v>Self Paced Learning Portals, Instructor or Expert Learning Programs</v>
      </c>
      <c r="N239"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39" s="1" t="str">
        <f ca="1">IFERROR(__xludf.DUMMYFUNCTION("""COMPUTED_VALUE"""),"Manager who explains what is expected, sets a goal and helps achieve it")</f>
        <v>Manager who explains what is expected, sets a goal and helps achieve it</v>
      </c>
      <c r="P239" s="1" t="str">
        <f ca="1">IFERROR(__xludf.DUMMYFUNCTION("""COMPUTED_VALUE"""),"Work with 5 to 6 people in my team")</f>
        <v>Work with 5 to 6 people in my team</v>
      </c>
      <c r="Q239" s="1"/>
    </row>
    <row r="240" spans="1:17" ht="13.2" x14ac:dyDescent="0.25">
      <c r="A240" s="2">
        <f ca="1">IFERROR(__xludf.DUMMYFUNCTION("""COMPUTED_VALUE"""),44917.3672387963)</f>
        <v>44917.367238796302</v>
      </c>
      <c r="B240" s="1" t="str">
        <f ca="1">IFERROR(__xludf.DUMMYFUNCTION("""COMPUTED_VALUE"""),"India")</f>
        <v>India</v>
      </c>
      <c r="C240" s="1">
        <f ca="1">IFERROR(__xludf.DUMMYFUNCTION("""COMPUTED_VALUE"""),500030)</f>
        <v>500030</v>
      </c>
      <c r="D240" s="3" t="str">
        <f ca="1">IFERROR(__xludf.DUMMYFUNCTION("""COMPUTED_VALUE"""),"Female")</f>
        <v>Female</v>
      </c>
      <c r="E240" s="1" t="str">
        <f ca="1">IFERROR(__xludf.DUMMYFUNCTION("""COMPUTED_VALUE"""),"Social Media like LinkedIn")</f>
        <v>Social Media like LinkedIn</v>
      </c>
      <c r="F240" s="1" t="str">
        <f ca="1">IFERROR(__xludf.DUMMYFUNCTION("""COMPUTED_VALUE"""),"Yes, I will earn and do that")</f>
        <v>Yes, I will earn and do that</v>
      </c>
      <c r="G240" s="1" t="str">
        <f ca="1">IFERROR(__xludf.DUMMYFUNCTION("""COMPUTED_VALUE"""),"This will be hard to do, but if it is the right company I would try")</f>
        <v>This will be hard to do, but if it is the right company I would try</v>
      </c>
      <c r="H240" s="1" t="str">
        <f ca="1">IFERROR(__xludf.DUMMYFUNCTION("""COMPUTED_VALUE"""),"No")</f>
        <v>No</v>
      </c>
      <c r="I240" s="1" t="str">
        <f ca="1">IFERROR(__xludf.DUMMYFUNCTION("""COMPUTED_VALUE"""),"Will NOT work for them")</f>
        <v>Will NOT work for them</v>
      </c>
      <c r="J240" s="1">
        <f ca="1">IFERROR(__xludf.DUMMYFUNCTION("""COMPUTED_VALUE"""),5)</f>
        <v>5</v>
      </c>
      <c r="K240" s="1" t="str">
        <f ca="1">IFERROR(__xludf.DUMMYFUNCTION("""COMPUTED_VALUE"""),"Every Day Office Environment")</f>
        <v>Every Day Office Environment</v>
      </c>
      <c r="L240" s="1" t="str">
        <f ca="1">IFERROR(__xludf.DUMMYFUNCTION("""COMPUTED_VALUE"""),"Employer who appreciates learning and enables that environment")</f>
        <v>Employer who appreciates learning and enables that environment</v>
      </c>
      <c r="M240" s="1" t="str">
        <f ca="1">IFERROR(__xludf.DUMMYFUNCTION("""COMPUTED_VALUE"""),"Instructor or Expert Learning Programs, Learning by observing others")</f>
        <v>Instructor or Expert Learning Programs, Learning by observing others</v>
      </c>
      <c r="N240"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40" s="1" t="str">
        <f ca="1">IFERROR(__xludf.DUMMYFUNCTION("""COMPUTED_VALUE"""),"Manager who explains what is expected, sets a goal and helps achieve it")</f>
        <v>Manager who explains what is expected, sets a goal and helps achieve it</v>
      </c>
      <c r="P240" s="1" t="str">
        <f ca="1">IFERROR(__xludf.DUMMYFUNCTION("""COMPUTED_VALUE"""),"Work with 7 to 10 or more people in my team")</f>
        <v>Work with 7 to 10 or more people in my team</v>
      </c>
      <c r="Q240" s="1"/>
    </row>
    <row r="241" spans="1:17" ht="13.2" x14ac:dyDescent="0.25">
      <c r="A241" s="2">
        <f ca="1">IFERROR(__xludf.DUMMYFUNCTION("""COMPUTED_VALUE"""),44917.4499190277)</f>
        <v>44917.449919027698</v>
      </c>
      <c r="B241" s="1" t="str">
        <f ca="1">IFERROR(__xludf.DUMMYFUNCTION("""COMPUTED_VALUE"""),"India")</f>
        <v>India</v>
      </c>
      <c r="C241" s="1">
        <f ca="1">IFERROR(__xludf.DUMMYFUNCTION("""COMPUTED_VALUE"""),462043)</f>
        <v>462043</v>
      </c>
      <c r="D241" s="3" t="str">
        <f ca="1">IFERROR(__xludf.DUMMYFUNCTION("""COMPUTED_VALUE"""),"Female")</f>
        <v>Female</v>
      </c>
      <c r="E241" s="1" t="str">
        <f ca="1">IFERROR(__xludf.DUMMYFUNCTION("""COMPUTED_VALUE"""),"People who have changed the world for better")</f>
        <v>People who have changed the world for better</v>
      </c>
      <c r="F241" s="1" t="str">
        <f ca="1">IFERROR(__xludf.DUMMYFUNCTION("""COMPUTED_VALUE"""),"Yes, I will earn and do that")</f>
        <v>Yes, I will earn and do that</v>
      </c>
      <c r="G241" s="1" t="str">
        <f ca="1">IFERROR(__xludf.DUMMYFUNCTION("""COMPUTED_VALUE"""),"This will be hard to do, but if it is the right company I would try")</f>
        <v>This will be hard to do, but if it is the right company I would try</v>
      </c>
      <c r="H241" s="1" t="str">
        <f ca="1">IFERROR(__xludf.DUMMYFUNCTION("""COMPUTED_VALUE"""),"No")</f>
        <v>No</v>
      </c>
      <c r="I241" s="1" t="str">
        <f ca="1">IFERROR(__xludf.DUMMYFUNCTION("""COMPUTED_VALUE"""),"Will NOT work for them")</f>
        <v>Will NOT work for them</v>
      </c>
      <c r="J241" s="1">
        <f ca="1">IFERROR(__xludf.DUMMYFUNCTION("""COMPUTED_VALUE"""),8)</f>
        <v>8</v>
      </c>
      <c r="K241" s="1" t="str">
        <f ca="1">IFERROR(__xludf.DUMMYFUNCTION("""COMPUTED_VALUE"""),"Every Day Office Environment")</f>
        <v>Every Day Office Environment</v>
      </c>
      <c r="L241" s="1" t="str">
        <f ca="1">IFERROR(__xludf.DUMMYFUNCTION("""COMPUTED_VALUE"""),"Employer who pushes your limits by enabling an learning environment, and rewards you at the end")</f>
        <v>Employer who pushes your limits by enabling an learning environment, and rewards you at the end</v>
      </c>
      <c r="M241" s="1" t="str">
        <f ca="1">IFERROR(__xludf.DUMMYFUNCTION("""COMPUTED_VALUE"""),"Instructor or Expert Learning Programs, Trial and error by doing side projects within the company")</f>
        <v>Instructor or Expert Learning Programs, Trial and error by doing side projects within the company</v>
      </c>
      <c r="N241"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41" s="1" t="str">
        <f ca="1">IFERROR(__xludf.DUMMYFUNCTION("""COMPUTED_VALUE"""),"Manager who sets goal and helps me achieve it")</f>
        <v>Manager who sets goal and helps me achieve it</v>
      </c>
      <c r="P241" s="1" t="str">
        <f ca="1">IFERROR(__xludf.DUMMYFUNCTION("""COMPUTED_VALUE"""),"Work alone, Work with 2 to 3 people in my team, Work with 5 to 6 people in my team")</f>
        <v>Work alone, Work with 2 to 3 people in my team, Work with 5 to 6 people in my team</v>
      </c>
      <c r="Q241" s="1"/>
    </row>
    <row r="242" spans="1:17" ht="13.2" x14ac:dyDescent="0.25">
      <c r="A242" s="2">
        <f ca="1">IFERROR(__xludf.DUMMYFUNCTION("""COMPUTED_VALUE"""),44917.4868687037)</f>
        <v>44917.486868703701</v>
      </c>
      <c r="B242" s="1" t="str">
        <f ca="1">IFERROR(__xludf.DUMMYFUNCTION("""COMPUTED_VALUE"""),"India")</f>
        <v>India</v>
      </c>
      <c r="C242" s="1">
        <f ca="1">IFERROR(__xludf.DUMMYFUNCTION("""COMPUTED_VALUE"""),786001)</f>
        <v>786001</v>
      </c>
      <c r="D242" s="3" t="str">
        <f ca="1">IFERROR(__xludf.DUMMYFUNCTION("""COMPUTED_VALUE"""),"Male")</f>
        <v>Male</v>
      </c>
      <c r="E242" s="1" t="str">
        <f ca="1">IFERROR(__xludf.DUMMYFUNCTION("""COMPUTED_VALUE"""),"People from my circle, but not family members")</f>
        <v>People from my circle, but not family members</v>
      </c>
      <c r="F242" s="1" t="str">
        <f ca="1">IFERROR(__xludf.DUMMYFUNCTION("""COMPUTED_VALUE"""),"No, But if someone could bare the cost I will")</f>
        <v>No, But if someone could bare the cost I will</v>
      </c>
      <c r="G242" s="1" t="str">
        <f ca="1">IFERROR(__xludf.DUMMYFUNCTION("""COMPUTED_VALUE"""),"This will be hard to do, but if it is the right company I would try")</f>
        <v>This will be hard to do, but if it is the right company I would try</v>
      </c>
      <c r="H242" s="1" t="str">
        <f ca="1">IFERROR(__xludf.DUMMYFUNCTION("""COMPUTED_VALUE"""),"No")</f>
        <v>No</v>
      </c>
      <c r="I242" s="1" t="str">
        <f ca="1">IFERROR(__xludf.DUMMYFUNCTION("""COMPUTED_VALUE"""),"Will work for them")</f>
        <v>Will work for them</v>
      </c>
      <c r="J242" s="1">
        <f ca="1">IFERROR(__xludf.DUMMYFUNCTION("""COMPUTED_VALUE"""),9)</f>
        <v>9</v>
      </c>
      <c r="K242" s="1" t="str">
        <f ca="1">IFERROR(__xludf.DUMMYFUNCTION("""COMPUTED_VALUE"""),"Hybrid Working Environment with less than 15 days a month at office")</f>
        <v>Hybrid Working Environment with less than 15 days a month at office</v>
      </c>
      <c r="L242" s="1" t="str">
        <f ca="1">IFERROR(__xludf.DUMMYFUNCTION("""COMPUTED_VALUE"""),"Employer who pushes your limits by enabling an learning environment, and rewards you at the end")</f>
        <v>Employer who pushes your limits by enabling an learning environment, and rewards you at the end</v>
      </c>
      <c r="M242" s="1" t="str">
        <f ca="1">IFERROR(__xludf.DUMMYFUNCTION("""COMPUTED_VALUE"""),"Instructor or Expert Learning Programs, Trial and error by doing side projects within the company")</f>
        <v>Instructor or Expert Learning Programs, Trial and error by doing side projects within the company</v>
      </c>
      <c r="N242"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242" s="1" t="str">
        <f ca="1">IFERROR(__xludf.DUMMYFUNCTION("""COMPUTED_VALUE"""),"Manager who explains what is expected, sets a goal and helps achieve it")</f>
        <v>Manager who explains what is expected, sets a goal and helps achieve it</v>
      </c>
      <c r="P242" s="1" t="str">
        <f ca="1">IFERROR(__xludf.DUMMYFUNCTION("""COMPUTED_VALUE"""),"Work with 7 to 10 or more people in my team")</f>
        <v>Work with 7 to 10 or more people in my team</v>
      </c>
      <c r="Q242" s="1"/>
    </row>
    <row r="243" spans="1:17" ht="13.2" x14ac:dyDescent="0.25">
      <c r="A243" s="2">
        <f ca="1">IFERROR(__xludf.DUMMYFUNCTION("""COMPUTED_VALUE"""),44917.5189604166)</f>
        <v>44917.518960416601</v>
      </c>
      <c r="B243" s="1" t="str">
        <f ca="1">IFERROR(__xludf.DUMMYFUNCTION("""COMPUTED_VALUE"""),"India")</f>
        <v>India</v>
      </c>
      <c r="C243" s="1">
        <f ca="1">IFERROR(__xludf.DUMMYFUNCTION("""COMPUTED_VALUE"""),605004)</f>
        <v>605004</v>
      </c>
      <c r="D243" s="3" t="str">
        <f ca="1">IFERROR(__xludf.DUMMYFUNCTION("""COMPUTED_VALUE"""),"Male")</f>
        <v>Male</v>
      </c>
      <c r="E243" s="1" t="str">
        <f ca="1">IFERROR(__xludf.DUMMYFUNCTION("""COMPUTED_VALUE"""),"Influencers who had successful careers")</f>
        <v>Influencers who had successful careers</v>
      </c>
      <c r="F243" s="1" t="str">
        <f ca="1">IFERROR(__xludf.DUMMYFUNCTION("""COMPUTED_VALUE"""),"Yes, I will earn and do that")</f>
        <v>Yes, I will earn and do that</v>
      </c>
      <c r="G243" s="1" t="str">
        <f ca="1">IFERROR(__xludf.DUMMYFUNCTION("""COMPUTED_VALUE"""),"This will be hard to do, but if it is the right company I would try")</f>
        <v>This will be hard to do, but if it is the right company I would try</v>
      </c>
      <c r="H243" s="1" t="str">
        <f ca="1">IFERROR(__xludf.DUMMYFUNCTION("""COMPUTED_VALUE"""),"No")</f>
        <v>No</v>
      </c>
      <c r="I243" s="1" t="str">
        <f ca="1">IFERROR(__xludf.DUMMYFUNCTION("""COMPUTED_VALUE"""),"Will NOT work for them")</f>
        <v>Will NOT work for them</v>
      </c>
      <c r="J243" s="1">
        <f ca="1">IFERROR(__xludf.DUMMYFUNCTION("""COMPUTED_VALUE"""),3)</f>
        <v>3</v>
      </c>
      <c r="K243" s="1" t="str">
        <f ca="1">IFERROR(__xludf.DUMMYFUNCTION("""COMPUTED_VALUE"""),"Hybrid Working Environment with less than 15 days a month at office")</f>
        <v>Hybrid Working Environment with less than 15 days a month at office</v>
      </c>
      <c r="L243" s="1" t="str">
        <f ca="1">IFERROR(__xludf.DUMMYFUNCTION("""COMPUTED_VALUE"""),"Employer who pushes your limits by enabling an learning environment, and rewards you at the end")</f>
        <v>Employer who pushes your limits by enabling an learning environment, and rewards you at the end</v>
      </c>
      <c r="M243" s="1" t="str">
        <f ca="1">IFERROR(__xludf.DUMMYFUNCTION("""COMPUTED_VALUE"""),"Instructor or Expert Learning Programs, Trial and error by doing side projects within the company")</f>
        <v>Instructor or Expert Learning Programs, Trial and error by doing side projects within the company</v>
      </c>
      <c r="N24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43" s="1" t="str">
        <f ca="1">IFERROR(__xludf.DUMMYFUNCTION("""COMPUTED_VALUE"""),"Manager who explains what is expected, sets a goal and helps achieve it")</f>
        <v>Manager who explains what is expected, sets a goal and helps achieve it</v>
      </c>
      <c r="P243" s="1" t="str">
        <f ca="1">IFERROR(__xludf.DUMMYFUNCTION("""COMPUTED_VALUE"""),"Work alone, Work with 5 to 6 people in my team")</f>
        <v>Work alone, Work with 5 to 6 people in my team</v>
      </c>
      <c r="Q243" s="1"/>
    </row>
    <row r="244" spans="1:17" ht="13.2" x14ac:dyDescent="0.25">
      <c r="A244" s="2">
        <f ca="1">IFERROR(__xludf.DUMMYFUNCTION("""COMPUTED_VALUE"""),44917.5281405555)</f>
        <v>44917.5281405555</v>
      </c>
      <c r="B244" s="1" t="str">
        <f ca="1">IFERROR(__xludf.DUMMYFUNCTION("""COMPUTED_VALUE"""),"India")</f>
        <v>India</v>
      </c>
      <c r="C244" s="1">
        <f ca="1">IFERROR(__xludf.DUMMYFUNCTION("""COMPUTED_VALUE"""),700041)</f>
        <v>700041</v>
      </c>
      <c r="D244" s="3" t="str">
        <f ca="1">IFERROR(__xludf.DUMMYFUNCTION("""COMPUTED_VALUE"""),"Male")</f>
        <v>Male</v>
      </c>
      <c r="E244" s="1" t="str">
        <f ca="1">IFERROR(__xludf.DUMMYFUNCTION("""COMPUTED_VALUE"""),"People who have changed the world for better")</f>
        <v>People who have changed the world for better</v>
      </c>
      <c r="F244" s="1" t="str">
        <f ca="1">IFERROR(__xludf.DUMMYFUNCTION("""COMPUTED_VALUE"""),"No I would not be pursuing Higher Education outside of India")</f>
        <v>No I would not be pursuing Higher Education outside of India</v>
      </c>
      <c r="G244" s="1" t="str">
        <f ca="1">IFERROR(__xludf.DUMMYFUNCTION("""COMPUTED_VALUE"""),"This will be hard to do, but if it is the right company I would try")</f>
        <v>This will be hard to do, but if it is the right company I would try</v>
      </c>
      <c r="H244" s="1" t="str">
        <f ca="1">IFERROR(__xludf.DUMMYFUNCTION("""COMPUTED_VALUE"""),"No")</f>
        <v>No</v>
      </c>
      <c r="I244" s="1" t="str">
        <f ca="1">IFERROR(__xludf.DUMMYFUNCTION("""COMPUTED_VALUE"""),"Will NOT work for them")</f>
        <v>Will NOT work for them</v>
      </c>
      <c r="J244" s="1">
        <f ca="1">IFERROR(__xludf.DUMMYFUNCTION("""COMPUTED_VALUE"""),3)</f>
        <v>3</v>
      </c>
      <c r="K244" s="1" t="str">
        <f ca="1">IFERROR(__xludf.DUMMYFUNCTION("""COMPUTED_VALUE"""),"Fully Remote with Options to travel as and when needed")</f>
        <v>Fully Remote with Options to travel as and when needed</v>
      </c>
      <c r="L244" s="1" t="str">
        <f ca="1">IFERROR(__xludf.DUMMYFUNCTION("""COMPUTED_VALUE"""),"Employer who pushes your limits by enabling an learning environment, and rewards you at the end")</f>
        <v>Employer who pushes your limits by enabling an learning environment, and rewards you at the end</v>
      </c>
      <c r="M244" s="1" t="str">
        <f ca="1">IFERROR(__xludf.DUMMYFUNCTION("""COMPUTED_VALUE"""),"Instructor or Expert Learning Programs, Trial and error by doing side projects within the company")</f>
        <v>Instructor or Expert Learning Programs, Trial and error by doing side projects within the company</v>
      </c>
      <c r="N24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4" s="1" t="str">
        <f ca="1">IFERROR(__xludf.DUMMYFUNCTION("""COMPUTED_VALUE"""),"Manager who explains what is expected, sets a goal and helps achieve it")</f>
        <v>Manager who explains what is expected, sets a goal and helps achieve it</v>
      </c>
      <c r="P244" s="1" t="str">
        <f ca="1">IFERROR(__xludf.DUMMYFUNCTION("""COMPUTED_VALUE"""),"Work with 2 to 3 people in my team")</f>
        <v>Work with 2 to 3 people in my team</v>
      </c>
      <c r="Q244" s="1"/>
    </row>
    <row r="245" spans="1:17" ht="13.2" x14ac:dyDescent="0.25">
      <c r="A245" s="2">
        <f ca="1">IFERROR(__xludf.DUMMYFUNCTION("""COMPUTED_VALUE"""),44917.5326362962)</f>
        <v>44917.532636296201</v>
      </c>
      <c r="B245" s="1" t="str">
        <f ca="1">IFERROR(__xludf.DUMMYFUNCTION("""COMPUTED_VALUE"""),"India")</f>
        <v>India</v>
      </c>
      <c r="C245" s="1">
        <f ca="1">IFERROR(__xludf.DUMMYFUNCTION("""COMPUTED_VALUE"""),700041)</f>
        <v>700041</v>
      </c>
      <c r="D245" s="3" t="str">
        <f ca="1">IFERROR(__xludf.DUMMYFUNCTION("""COMPUTED_VALUE"""),"Female")</f>
        <v>Female</v>
      </c>
      <c r="E245" s="1" t="str">
        <f ca="1">IFERROR(__xludf.DUMMYFUNCTION("""COMPUTED_VALUE"""),"My Parents")</f>
        <v>My Parents</v>
      </c>
      <c r="F245" s="1" t="str">
        <f ca="1">IFERROR(__xludf.DUMMYFUNCTION("""COMPUTED_VALUE"""),"No I would not be pursuing Higher Education outside of India")</f>
        <v>No I would not be pursuing Higher Education outside of India</v>
      </c>
      <c r="G245" s="1" t="str">
        <f ca="1">IFERROR(__xludf.DUMMYFUNCTION("""COMPUTED_VALUE"""),"This will be hard to do, but if it is the right company I would try")</f>
        <v>This will be hard to do, but if it is the right company I would try</v>
      </c>
      <c r="H245" s="1" t="str">
        <f ca="1">IFERROR(__xludf.DUMMYFUNCTION("""COMPUTED_VALUE"""),"No")</f>
        <v>No</v>
      </c>
      <c r="I245" s="1" t="str">
        <f ca="1">IFERROR(__xludf.DUMMYFUNCTION("""COMPUTED_VALUE"""),"Will NOT work for them")</f>
        <v>Will NOT work for them</v>
      </c>
      <c r="J245" s="1">
        <f ca="1">IFERROR(__xludf.DUMMYFUNCTION("""COMPUTED_VALUE"""),9)</f>
        <v>9</v>
      </c>
      <c r="K245" s="1" t="str">
        <f ca="1">IFERROR(__xludf.DUMMYFUNCTION("""COMPUTED_VALUE"""),"Fully Remote with Options to travel as and when needed")</f>
        <v>Fully Remote with Options to travel as and when needed</v>
      </c>
      <c r="L245" s="1" t="str">
        <f ca="1">IFERROR(__xludf.DUMMYFUNCTION("""COMPUTED_VALUE"""),"Employer who appreciates learning and enables that environment")</f>
        <v>Employer who appreciates learning and enables that environment</v>
      </c>
      <c r="M245" s="1" t="str">
        <f ca="1">IFERROR(__xludf.DUMMYFUNCTION("""COMPUTED_VALUE"""),"Instructor or Expert Learning Programs, Trial and error by doing side projects within the company")</f>
        <v>Instructor or Expert Learning Programs, Trial and error by doing side projects within the company</v>
      </c>
      <c r="N245"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5" s="1" t="str">
        <f ca="1">IFERROR(__xludf.DUMMYFUNCTION("""COMPUTED_VALUE"""),"Manager who sets goal and helps me achieve it")</f>
        <v>Manager who sets goal and helps me achieve it</v>
      </c>
      <c r="P245" s="1" t="str">
        <f ca="1">IFERROR(__xludf.DUMMYFUNCTION("""COMPUTED_VALUE"""),"Work alone, Work with 2 to 3 people in my team")</f>
        <v>Work alone, Work with 2 to 3 people in my team</v>
      </c>
      <c r="Q245" s="1"/>
    </row>
    <row r="246" spans="1:17" ht="13.2" x14ac:dyDescent="0.25">
      <c r="A246" s="2">
        <f ca="1">IFERROR(__xludf.DUMMYFUNCTION("""COMPUTED_VALUE"""),44917.6240018749)</f>
        <v>44917.624001874901</v>
      </c>
      <c r="B246" s="1" t="str">
        <f ca="1">IFERROR(__xludf.DUMMYFUNCTION("""COMPUTED_VALUE"""),"India")</f>
        <v>India</v>
      </c>
      <c r="C246" s="1">
        <f ca="1">IFERROR(__xludf.DUMMYFUNCTION("""COMPUTED_VALUE"""),828114)</f>
        <v>828114</v>
      </c>
      <c r="D246" s="3" t="str">
        <f ca="1">IFERROR(__xludf.DUMMYFUNCTION("""COMPUTED_VALUE"""),"Male")</f>
        <v>Male</v>
      </c>
      <c r="E246" s="1" t="str">
        <f ca="1">IFERROR(__xludf.DUMMYFUNCTION("""COMPUTED_VALUE"""),"Influencers who had successful careers")</f>
        <v>Influencers who had successful careers</v>
      </c>
      <c r="F246" s="1" t="str">
        <f ca="1">IFERROR(__xludf.DUMMYFUNCTION("""COMPUTED_VALUE"""),"Yes, I will earn and do that")</f>
        <v>Yes, I will earn and do that</v>
      </c>
      <c r="G246" s="1" t="str">
        <f ca="1">IFERROR(__xludf.DUMMYFUNCTION("""COMPUTED_VALUE"""),"This will be hard to do, but if it is the right company I would try")</f>
        <v>This will be hard to do, but if it is the right company I would try</v>
      </c>
      <c r="H246" s="1" t="str">
        <f ca="1">IFERROR(__xludf.DUMMYFUNCTION("""COMPUTED_VALUE"""),"No")</f>
        <v>No</v>
      </c>
      <c r="I246" s="1" t="str">
        <f ca="1">IFERROR(__xludf.DUMMYFUNCTION("""COMPUTED_VALUE"""),"Will NOT work for them")</f>
        <v>Will NOT work for them</v>
      </c>
      <c r="J246" s="1">
        <f ca="1">IFERROR(__xludf.DUMMYFUNCTION("""COMPUTED_VALUE"""),7)</f>
        <v>7</v>
      </c>
      <c r="K246" s="1" t="str">
        <f ca="1">IFERROR(__xludf.DUMMYFUNCTION("""COMPUTED_VALUE"""),"Hybrid Working Environment with less than 15 days a month at office")</f>
        <v>Hybrid Working Environment with less than 15 days a month at office</v>
      </c>
      <c r="L246" s="1" t="str">
        <f ca="1">IFERROR(__xludf.DUMMYFUNCTION("""COMPUTED_VALUE"""),"Employer who pushes your limits by enabling an learning environment, and rewards you at the end")</f>
        <v>Employer who pushes your limits by enabling an learning environment, and rewards you at the end</v>
      </c>
      <c r="M246" s="1" t="str">
        <f ca="1">IFERROR(__xludf.DUMMYFUNCTION("""COMPUTED_VALUE"""),"Self Paced Learning Portals, Instructor or Expert Learning Programs")</f>
        <v>Self Paced Learning Portals, Instructor or Expert Learning Programs</v>
      </c>
      <c r="N246"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246" s="1" t="str">
        <f ca="1">IFERROR(__xludf.DUMMYFUNCTION("""COMPUTED_VALUE"""),"Manager who sets goal and helps me achieve it")</f>
        <v>Manager who sets goal and helps me achieve it</v>
      </c>
      <c r="P246" s="1" t="str">
        <f ca="1">IFERROR(__xludf.DUMMYFUNCTION("""COMPUTED_VALUE"""),"Work with 5 to 6 people in my team")</f>
        <v>Work with 5 to 6 people in my team</v>
      </c>
      <c r="Q246" s="1"/>
    </row>
    <row r="247" spans="1:17" ht="13.2" x14ac:dyDescent="0.25">
      <c r="A247" s="2">
        <f ca="1">IFERROR(__xludf.DUMMYFUNCTION("""COMPUTED_VALUE"""),44917.6491581713)</f>
        <v>44917.649158171298</v>
      </c>
      <c r="B247" s="1" t="str">
        <f ca="1">IFERROR(__xludf.DUMMYFUNCTION("""COMPUTED_VALUE"""),"Germany")</f>
        <v>Germany</v>
      </c>
      <c r="C247" s="1">
        <f ca="1">IFERROR(__xludf.DUMMYFUNCTION("""COMPUTED_VALUE"""),85368)</f>
        <v>85368</v>
      </c>
      <c r="D247" s="3" t="str">
        <f ca="1">IFERROR(__xludf.DUMMYFUNCTION("""COMPUTED_VALUE"""),"Female")</f>
        <v>Female</v>
      </c>
      <c r="E247" s="1" t="str">
        <f ca="1">IFERROR(__xludf.DUMMYFUNCTION("""COMPUTED_VALUE"""),"People who have changed the world for better")</f>
        <v>People who have changed the world for better</v>
      </c>
      <c r="F247" s="1" t="str">
        <f ca="1">IFERROR(__xludf.DUMMYFUNCTION("""COMPUTED_VALUE"""),"Yes, I will earn and do that")</f>
        <v>Yes, I will earn and do that</v>
      </c>
      <c r="G247" s="1" t="str">
        <f ca="1">IFERROR(__xludf.DUMMYFUNCTION("""COMPUTED_VALUE"""),"This will be hard to do, but if it is the right company I would try")</f>
        <v>This will be hard to do, but if it is the right company I would try</v>
      </c>
      <c r="H247" s="1" t="str">
        <f ca="1">IFERROR(__xludf.DUMMYFUNCTION("""COMPUTED_VALUE"""),"No")</f>
        <v>No</v>
      </c>
      <c r="I247" s="1" t="str">
        <f ca="1">IFERROR(__xludf.DUMMYFUNCTION("""COMPUTED_VALUE"""),"Will NOT work for them")</f>
        <v>Will NOT work for them</v>
      </c>
      <c r="J247" s="1">
        <f ca="1">IFERROR(__xludf.DUMMYFUNCTION("""COMPUTED_VALUE"""),5)</f>
        <v>5</v>
      </c>
      <c r="K247" s="1" t="str">
        <f ca="1">IFERROR(__xludf.DUMMYFUNCTION("""COMPUTED_VALUE"""),"Fully Remote with Options to travel as and when needed")</f>
        <v>Fully Remote with Options to travel as and when needed</v>
      </c>
      <c r="L247" s="1" t="str">
        <f ca="1">IFERROR(__xludf.DUMMYFUNCTION("""COMPUTED_VALUE"""),"Employer who appreciates learning and enables that environment")</f>
        <v>Employer who appreciates learning and enables that environment</v>
      </c>
      <c r="M247" s="1" t="str">
        <f ca="1">IFERROR(__xludf.DUMMYFUNCTION("""COMPUTED_VALUE"""),"Self Paced Learning Portals, Instructor or Expert Learning Programs")</f>
        <v>Self Paced Learning Portals, Instructor or Expert Learning Programs</v>
      </c>
      <c r="N247"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47" s="1" t="str">
        <f ca="1">IFERROR(__xludf.DUMMYFUNCTION("""COMPUTED_VALUE"""),"Manager who clearly describes what she/he needs")</f>
        <v>Manager who clearly describes what she/he needs</v>
      </c>
      <c r="P247" s="1" t="str">
        <f ca="1">IFERROR(__xludf.DUMMYFUNCTION("""COMPUTED_VALUE"""),"Work with 2 to 3 people in my team")</f>
        <v>Work with 2 to 3 people in my team</v>
      </c>
      <c r="Q247" s="1"/>
    </row>
    <row r="248" spans="1:17" ht="13.2" x14ac:dyDescent="0.25">
      <c r="A248" s="2">
        <f ca="1">IFERROR(__xludf.DUMMYFUNCTION("""COMPUTED_VALUE"""),44917.6510586111)</f>
        <v>44917.651058611104</v>
      </c>
      <c r="B248" s="1" t="str">
        <f ca="1">IFERROR(__xludf.DUMMYFUNCTION("""COMPUTED_VALUE"""),"Germany")</f>
        <v>Germany</v>
      </c>
      <c r="C248" s="1">
        <f ca="1">IFERROR(__xludf.DUMMYFUNCTION("""COMPUTED_VALUE"""),81369)</f>
        <v>81369</v>
      </c>
      <c r="D248" s="3" t="str">
        <f ca="1">IFERROR(__xludf.DUMMYFUNCTION("""COMPUTED_VALUE"""),"Female")</f>
        <v>Female</v>
      </c>
      <c r="E248" s="1" t="str">
        <f ca="1">IFERROR(__xludf.DUMMYFUNCTION("""COMPUTED_VALUE"""),"My Parents")</f>
        <v>My Parents</v>
      </c>
      <c r="F248" s="1" t="str">
        <f ca="1">IFERROR(__xludf.DUMMYFUNCTION("""COMPUTED_VALUE"""),"Yes, I will earn and do that")</f>
        <v>Yes, I will earn and do that</v>
      </c>
      <c r="G248" s="1" t="str">
        <f ca="1">IFERROR(__xludf.DUMMYFUNCTION("""COMPUTED_VALUE"""),"This will be hard to do, but if it is the right company I would try")</f>
        <v>This will be hard to do, but if it is the right company I would try</v>
      </c>
      <c r="H248" s="1" t="str">
        <f ca="1">IFERROR(__xludf.DUMMYFUNCTION("""COMPUTED_VALUE"""),"Yes")</f>
        <v>Yes</v>
      </c>
      <c r="I248" s="1" t="str">
        <f ca="1">IFERROR(__xludf.DUMMYFUNCTION("""COMPUTED_VALUE"""),"Will work for them")</f>
        <v>Will work for them</v>
      </c>
      <c r="J248" s="1">
        <f ca="1">IFERROR(__xludf.DUMMYFUNCTION("""COMPUTED_VALUE"""),10)</f>
        <v>10</v>
      </c>
      <c r="K248" s="1" t="str">
        <f ca="1">IFERROR(__xludf.DUMMYFUNCTION("""COMPUTED_VALUE"""),"Hybrid Working Environment with less than 10 days a month at office")</f>
        <v>Hybrid Working Environment with less than 10 days a month at office</v>
      </c>
      <c r="L248" s="1" t="str">
        <f ca="1">IFERROR(__xludf.DUMMYFUNCTION("""COMPUTED_VALUE"""),"Employer who rewards learning and enables that environment")</f>
        <v>Employer who rewards learning and enables that environment</v>
      </c>
      <c r="M248" s="1" t="str">
        <f ca="1">IFERROR(__xludf.DUMMYFUNCTION("""COMPUTED_VALUE"""),"Self Paced Learning Portals, Trial and error by doing side projects within the company")</f>
        <v>Self Paced Learning Portals, Trial and error by doing side projects within the company</v>
      </c>
      <c r="N248"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48" s="1" t="str">
        <f ca="1">IFERROR(__xludf.DUMMYFUNCTION("""COMPUTED_VALUE"""),"Manager who explains what is expected, sets a goal and helps achieve it")</f>
        <v>Manager who explains what is expected, sets a goal and helps achieve it</v>
      </c>
      <c r="P248" s="1" t="str">
        <f ca="1">IFERROR(__xludf.DUMMYFUNCTION("""COMPUTED_VALUE"""),"Work with 2 to 3 people in my team")</f>
        <v>Work with 2 to 3 people in my team</v>
      </c>
      <c r="Q248" s="1"/>
    </row>
    <row r="249" spans="1:17" ht="13.2" x14ac:dyDescent="0.25">
      <c r="A249" s="2">
        <f ca="1">IFERROR(__xludf.DUMMYFUNCTION("""COMPUTED_VALUE"""),44917.7131009027)</f>
        <v>44917.7131009027</v>
      </c>
      <c r="B249" s="1" t="str">
        <f ca="1">IFERROR(__xludf.DUMMYFUNCTION("""COMPUTED_VALUE"""),"India")</f>
        <v>India</v>
      </c>
      <c r="C249" s="1">
        <f ca="1">IFERROR(__xludf.DUMMYFUNCTION("""COMPUTED_VALUE"""),81241)</f>
        <v>81241</v>
      </c>
      <c r="D249" s="3" t="str">
        <f ca="1">IFERROR(__xludf.DUMMYFUNCTION("""COMPUTED_VALUE"""),"Male")</f>
        <v>Male</v>
      </c>
      <c r="E249" s="1" t="str">
        <f ca="1">IFERROR(__xludf.DUMMYFUNCTION("""COMPUTED_VALUE"""),"People who have changed the world for better")</f>
        <v>People who have changed the world for better</v>
      </c>
      <c r="F249" s="1" t="str">
        <f ca="1">IFERROR(__xludf.DUMMYFUNCTION("""COMPUTED_VALUE"""),"Yes, I will earn and do that")</f>
        <v>Yes, I will earn and do that</v>
      </c>
      <c r="G249" s="1" t="str">
        <f ca="1">IFERROR(__xludf.DUMMYFUNCTION("""COMPUTED_VALUE"""),"This will be hard to do, but if it is the right company I would try")</f>
        <v>This will be hard to do, but if it is the right company I would try</v>
      </c>
      <c r="H249" s="1" t="str">
        <f ca="1">IFERROR(__xludf.DUMMYFUNCTION("""COMPUTED_VALUE"""),"No")</f>
        <v>No</v>
      </c>
      <c r="I249" s="1" t="str">
        <f ca="1">IFERROR(__xludf.DUMMYFUNCTION("""COMPUTED_VALUE"""),"Will NOT work for them")</f>
        <v>Will NOT work for them</v>
      </c>
      <c r="J249" s="1">
        <f ca="1">IFERROR(__xludf.DUMMYFUNCTION("""COMPUTED_VALUE"""),5)</f>
        <v>5</v>
      </c>
      <c r="K249" s="1" t="str">
        <f ca="1">IFERROR(__xludf.DUMMYFUNCTION("""COMPUTED_VALUE"""),"Hybrid Working Environment with less than 15 days a month at office")</f>
        <v>Hybrid Working Environment with less than 15 days a month at office</v>
      </c>
      <c r="L249" s="1" t="str">
        <f ca="1">IFERROR(__xludf.DUMMYFUNCTION("""COMPUTED_VALUE"""),"Employer who pushes your limits by enabling an learning environment, and rewards you at the end")</f>
        <v>Employer who pushes your limits by enabling an learning environment, and rewards you at the end</v>
      </c>
      <c r="M249" s="1" t="str">
        <f ca="1">IFERROR(__xludf.DUMMYFUNCTION("""COMPUTED_VALUE"""),"Instructor or Expert Learning Programs, Trial and error by doing side projects within the company")</f>
        <v>Instructor or Expert Learning Programs, Trial and error by doing side projects within the company</v>
      </c>
      <c r="N24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49" s="1" t="str">
        <f ca="1">IFERROR(__xludf.DUMMYFUNCTION("""COMPUTED_VALUE"""),"Manager who explains what is expected, sets a goal and helps achieve it")</f>
        <v>Manager who explains what is expected, sets a goal and helps achieve it</v>
      </c>
      <c r="P249" s="1" t="str">
        <f ca="1">IFERROR(__xludf.DUMMYFUNCTION("""COMPUTED_VALUE"""),"Work with 5 to 6 people in my team")</f>
        <v>Work with 5 to 6 people in my team</v>
      </c>
      <c r="Q249" s="1"/>
    </row>
    <row r="250" spans="1:17" ht="13.2" x14ac:dyDescent="0.25">
      <c r="A250" s="2">
        <f ca="1">IFERROR(__xludf.DUMMYFUNCTION("""COMPUTED_VALUE"""),44917.7221082523)</f>
        <v>44917.722108252303</v>
      </c>
      <c r="B250" s="1" t="str">
        <f ca="1">IFERROR(__xludf.DUMMYFUNCTION("""COMPUTED_VALUE"""),"India")</f>
        <v>India</v>
      </c>
      <c r="C250" s="1">
        <f ca="1">IFERROR(__xludf.DUMMYFUNCTION("""COMPUTED_VALUE"""),176022)</f>
        <v>176022</v>
      </c>
      <c r="D250" s="3" t="str">
        <f ca="1">IFERROR(__xludf.DUMMYFUNCTION("""COMPUTED_VALUE"""),"Male")</f>
        <v>Male</v>
      </c>
      <c r="E250" s="1" t="str">
        <f ca="1">IFERROR(__xludf.DUMMYFUNCTION("""COMPUTED_VALUE"""),"Social Media like LinkedIn")</f>
        <v>Social Media like LinkedIn</v>
      </c>
      <c r="F250" s="1" t="str">
        <f ca="1">IFERROR(__xludf.DUMMYFUNCTION("""COMPUTED_VALUE"""),"Yes, I will earn and do that")</f>
        <v>Yes, I will earn and do that</v>
      </c>
      <c r="G250" s="1" t="str">
        <f ca="1">IFERROR(__xludf.DUMMYFUNCTION("""COMPUTED_VALUE"""),"Will work for 3 years or more")</f>
        <v>Will work for 3 years or more</v>
      </c>
      <c r="H250" s="1" t="str">
        <f ca="1">IFERROR(__xludf.DUMMYFUNCTION("""COMPUTED_VALUE"""),"No")</f>
        <v>No</v>
      </c>
      <c r="I250" s="1" t="str">
        <f ca="1">IFERROR(__xludf.DUMMYFUNCTION("""COMPUTED_VALUE"""),"Will work for them")</f>
        <v>Will work for them</v>
      </c>
      <c r="J250" s="1">
        <f ca="1">IFERROR(__xludf.DUMMYFUNCTION("""COMPUTED_VALUE"""),7)</f>
        <v>7</v>
      </c>
      <c r="K250" s="1" t="str">
        <f ca="1">IFERROR(__xludf.DUMMYFUNCTION("""COMPUTED_VALUE"""),"Hybrid Working Environment with less than 10 days a month at office")</f>
        <v>Hybrid Working Environment with less than 10 days a month at office</v>
      </c>
      <c r="L250" s="1" t="str">
        <f ca="1">IFERROR(__xludf.DUMMYFUNCTION("""COMPUTED_VALUE"""),"Employer who rewards learning and enables that environment")</f>
        <v>Employer who rewards learning and enables that environment</v>
      </c>
      <c r="M250" s="1" t="str">
        <f ca="1">IFERROR(__xludf.DUMMYFUNCTION("""COMPUTED_VALUE"""),"Self Paced Learning Portals, Learning by observing others")</f>
        <v>Self Paced Learning Portals, Learning by observing others</v>
      </c>
      <c r="N250"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50" s="1" t="str">
        <f ca="1">IFERROR(__xludf.DUMMYFUNCTION("""COMPUTED_VALUE"""),"Manager who sets targets and expects me to achieve it")</f>
        <v>Manager who sets targets and expects me to achieve it</v>
      </c>
      <c r="P250" s="1" t="str">
        <f ca="1">IFERROR(__xludf.DUMMYFUNCTION("""COMPUTED_VALUE"""),"Work with 5 to 6 people in my team")</f>
        <v>Work with 5 to 6 people in my team</v>
      </c>
      <c r="Q250" s="1"/>
    </row>
    <row r="251" spans="1:17" ht="13.2" x14ac:dyDescent="0.25">
      <c r="A251" s="2">
        <f ca="1">IFERROR(__xludf.DUMMYFUNCTION("""COMPUTED_VALUE"""),44917.8960301736)</f>
        <v>44917.896030173601</v>
      </c>
      <c r="B251" s="1" t="str">
        <f ca="1">IFERROR(__xludf.DUMMYFUNCTION("""COMPUTED_VALUE"""),"Canada")</f>
        <v>Canada</v>
      </c>
      <c r="C251" s="1" t="str">
        <f ca="1">IFERROR(__xludf.DUMMYFUNCTION("""COMPUTED_VALUE"""),"N2H6M6")</f>
        <v>N2H6M6</v>
      </c>
      <c r="D251" s="3" t="str">
        <f ca="1">IFERROR(__xludf.DUMMYFUNCTION("""COMPUTED_VALUE"""),"Male")</f>
        <v>Male</v>
      </c>
      <c r="E251" s="1" t="str">
        <f ca="1">IFERROR(__xludf.DUMMYFUNCTION("""COMPUTED_VALUE"""),"People who have changed the world for better")</f>
        <v>People who have changed the world for better</v>
      </c>
      <c r="F251" s="1" t="str">
        <f ca="1">IFERROR(__xludf.DUMMYFUNCTION("""COMPUTED_VALUE"""),"Yes, I will earn and do that")</f>
        <v>Yes, I will earn and do that</v>
      </c>
      <c r="G251" s="1" t="str">
        <f ca="1">IFERROR(__xludf.DUMMYFUNCTION("""COMPUTED_VALUE"""),"This will be hard to do, but if it is the right company I would try")</f>
        <v>This will be hard to do, but if it is the right company I would try</v>
      </c>
      <c r="H251" s="1" t="str">
        <f ca="1">IFERROR(__xludf.DUMMYFUNCTION("""COMPUTED_VALUE"""),"No")</f>
        <v>No</v>
      </c>
      <c r="I251" s="1" t="str">
        <f ca="1">IFERROR(__xludf.DUMMYFUNCTION("""COMPUTED_VALUE"""),"Will NOT work for them")</f>
        <v>Will NOT work for them</v>
      </c>
      <c r="J251" s="1">
        <f ca="1">IFERROR(__xludf.DUMMYFUNCTION("""COMPUTED_VALUE"""),5)</f>
        <v>5</v>
      </c>
      <c r="K251" s="1" t="str">
        <f ca="1">IFERROR(__xludf.DUMMYFUNCTION("""COMPUTED_VALUE"""),"Hybrid Working Environment with less than 15 days a month at office")</f>
        <v>Hybrid Working Environment with less than 15 days a month at office</v>
      </c>
      <c r="L251" s="1" t="str">
        <f ca="1">IFERROR(__xludf.DUMMYFUNCTION("""COMPUTED_VALUE"""),"Employer who pushes your limits by enabling an learning environment, and rewards you at the end")</f>
        <v>Employer who pushes your limits by enabling an learning environment, and rewards you at the end</v>
      </c>
      <c r="M251" s="1" t="str">
        <f ca="1">IFERROR(__xludf.DUMMYFUNCTION("""COMPUTED_VALUE"""),"Instructor or Expert Learning Programs, Trial and error by doing side projects within the company")</f>
        <v>Instructor or Expert Learning Programs, Trial and error by doing side projects within the company</v>
      </c>
      <c r="N25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1" s="1" t="str">
        <f ca="1">IFERROR(__xludf.DUMMYFUNCTION("""COMPUTED_VALUE"""),"Manager who explains what is expected, sets a goal and helps achieve it")</f>
        <v>Manager who explains what is expected, sets a goal and helps achieve it</v>
      </c>
      <c r="P251" s="1" t="str">
        <f ca="1">IFERROR(__xludf.DUMMYFUNCTION("""COMPUTED_VALUE"""),"Work with more than 10 people in my team")</f>
        <v>Work with more than 10 people in my team</v>
      </c>
      <c r="Q251" s="1"/>
    </row>
    <row r="252" spans="1:17" ht="13.2" x14ac:dyDescent="0.25">
      <c r="A252" s="2">
        <f ca="1">IFERROR(__xludf.DUMMYFUNCTION("""COMPUTED_VALUE"""),44917.9577746875)</f>
        <v>44917.9577746875</v>
      </c>
      <c r="B252" s="1" t="str">
        <f ca="1">IFERROR(__xludf.DUMMYFUNCTION("""COMPUTED_VALUE"""),"India")</f>
        <v>India</v>
      </c>
      <c r="C252" s="1">
        <f ca="1">IFERROR(__xludf.DUMMYFUNCTION("""COMPUTED_VALUE"""),500078)</f>
        <v>500078</v>
      </c>
      <c r="D252" s="3" t="str">
        <f ca="1">IFERROR(__xludf.DUMMYFUNCTION("""COMPUTED_VALUE"""),"Male")</f>
        <v>Male</v>
      </c>
      <c r="E252" s="1" t="str">
        <f ca="1">IFERROR(__xludf.DUMMYFUNCTION("""COMPUTED_VALUE"""),"My Parents")</f>
        <v>My Parents</v>
      </c>
      <c r="F252" s="1" t="str">
        <f ca="1">IFERROR(__xludf.DUMMYFUNCTION("""COMPUTED_VALUE"""),"No, But if someone could bare the cost I will")</f>
        <v>No, But if someone could bare the cost I will</v>
      </c>
      <c r="G252" s="1" t="str">
        <f ca="1">IFERROR(__xludf.DUMMYFUNCTION("""COMPUTED_VALUE"""),"This will be hard to do, but if it is the right company I would try")</f>
        <v>This will be hard to do, but if it is the right company I would try</v>
      </c>
      <c r="H252" s="1" t="str">
        <f ca="1">IFERROR(__xludf.DUMMYFUNCTION("""COMPUTED_VALUE"""),"Yes")</f>
        <v>Yes</v>
      </c>
      <c r="I252" s="1" t="str">
        <f ca="1">IFERROR(__xludf.DUMMYFUNCTION("""COMPUTED_VALUE"""),"Will work for them")</f>
        <v>Will work for them</v>
      </c>
      <c r="J252" s="1">
        <f ca="1">IFERROR(__xludf.DUMMYFUNCTION("""COMPUTED_VALUE"""),8)</f>
        <v>8</v>
      </c>
      <c r="K252" s="1" t="str">
        <f ca="1">IFERROR(__xludf.DUMMYFUNCTION("""COMPUTED_VALUE"""),"Hybrid Working Environment with less than 15 days a month at office")</f>
        <v>Hybrid Working Environment with less than 15 days a month at office</v>
      </c>
      <c r="L252" s="1" t="str">
        <f ca="1">IFERROR(__xludf.DUMMYFUNCTION("""COMPUTED_VALUE"""),"Employer who rewards learning and enables that environment")</f>
        <v>Employer who rewards learning and enables that environment</v>
      </c>
      <c r="M252" s="1" t="str">
        <f ca="1">IFERROR(__xludf.DUMMYFUNCTION("""COMPUTED_VALUE"""),"Self Paced Learning Portals, Learning by observing others")</f>
        <v>Self Paced Learning Portals, Learning by observing others</v>
      </c>
      <c r="N252" s="1" t="str">
        <f ca="1">IFERROR(__xludf.DUMMYFUNCTION("""COMPUTED_VALUE"""),"Manage and drive End-to-End Projects or Products, Design and Develop amazing software, Work as a freelancer and do my thing my way")</f>
        <v>Manage and drive End-to-End Projects or Products, Design and Develop amazing software, Work as a freelancer and do my thing my way</v>
      </c>
      <c r="O252" s="1" t="str">
        <f ca="1">IFERROR(__xludf.DUMMYFUNCTION("""COMPUTED_VALUE"""),"Manager who explains what is expected, sets a goal and helps achieve it")</f>
        <v>Manager who explains what is expected, sets a goal and helps achieve it</v>
      </c>
      <c r="P252" s="1" t="str">
        <f ca="1">IFERROR(__xludf.DUMMYFUNCTION("""COMPUTED_VALUE"""),"Work with 2 to 3 people in my team, Work with 5 to 6 people in my team")</f>
        <v>Work with 2 to 3 people in my team, Work with 5 to 6 people in my team</v>
      </c>
      <c r="Q252" s="1"/>
    </row>
    <row r="253" spans="1:17" ht="13.2" x14ac:dyDescent="0.25">
      <c r="A253" s="2">
        <f ca="1">IFERROR(__xludf.DUMMYFUNCTION("""COMPUTED_VALUE"""),44918.0644536458)</f>
        <v>44918.064453645798</v>
      </c>
      <c r="B253" s="1" t="str">
        <f ca="1">IFERROR(__xludf.DUMMYFUNCTION("""COMPUTED_VALUE"""),"Germany")</f>
        <v>Germany</v>
      </c>
      <c r="C253" s="1">
        <f ca="1">IFERROR(__xludf.DUMMYFUNCTION("""COMPUTED_VALUE"""),81241)</f>
        <v>81241</v>
      </c>
      <c r="D253" s="3" t="str">
        <f ca="1">IFERROR(__xludf.DUMMYFUNCTION("""COMPUTED_VALUE"""),"Male")</f>
        <v>Male</v>
      </c>
      <c r="E253" s="1" t="str">
        <f ca="1">IFERROR(__xludf.DUMMYFUNCTION("""COMPUTED_VALUE"""),"My Parents")</f>
        <v>My Parents</v>
      </c>
      <c r="F253" s="1" t="str">
        <f ca="1">IFERROR(__xludf.DUMMYFUNCTION("""COMPUTED_VALUE"""),"Yes, I will earn and do that")</f>
        <v>Yes, I will earn and do that</v>
      </c>
      <c r="G253" s="1" t="str">
        <f ca="1">IFERROR(__xludf.DUMMYFUNCTION("""COMPUTED_VALUE"""),"This will be hard to do, but if it is the right company I would try")</f>
        <v>This will be hard to do, but if it is the right company I would try</v>
      </c>
      <c r="H253" s="1" t="str">
        <f ca="1">IFERROR(__xludf.DUMMYFUNCTION("""COMPUTED_VALUE"""),"No")</f>
        <v>No</v>
      </c>
      <c r="I253" s="1" t="str">
        <f ca="1">IFERROR(__xludf.DUMMYFUNCTION("""COMPUTED_VALUE"""),"Will NOT work for them")</f>
        <v>Will NOT work for them</v>
      </c>
      <c r="J253" s="1">
        <f ca="1">IFERROR(__xludf.DUMMYFUNCTION("""COMPUTED_VALUE"""),3)</f>
        <v>3</v>
      </c>
      <c r="K253" s="1" t="str">
        <f ca="1">IFERROR(__xludf.DUMMYFUNCTION("""COMPUTED_VALUE"""),"Hybrid Working Environment with less than 15 days a month at office")</f>
        <v>Hybrid Working Environment with less than 15 days a month at office</v>
      </c>
      <c r="L253" s="1" t="str">
        <f ca="1">IFERROR(__xludf.DUMMYFUNCTION("""COMPUTED_VALUE"""),"Employer who rewards learning and enables that environment")</f>
        <v>Employer who rewards learning and enables that environment</v>
      </c>
      <c r="M253" s="1" t="str">
        <f ca="1">IFERROR(__xludf.DUMMYFUNCTION("""COMPUTED_VALUE"""),"Self Paced Learning Portals, Instructor or Expert Learning Programs")</f>
        <v>Self Paced Learning Portals, Instructor or Expert Learning Programs</v>
      </c>
      <c r="N25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3" s="1" t="str">
        <f ca="1">IFERROR(__xludf.DUMMYFUNCTION("""COMPUTED_VALUE"""),"Manager who sets goal and helps me achieve it")</f>
        <v>Manager who sets goal and helps me achieve it</v>
      </c>
      <c r="P253" s="1" t="str">
        <f ca="1">IFERROR(__xludf.DUMMYFUNCTION("""COMPUTED_VALUE"""),"Work with 2 to 3 people in my team")</f>
        <v>Work with 2 to 3 people in my team</v>
      </c>
      <c r="Q253" s="1"/>
    </row>
    <row r="254" spans="1:17" ht="13.2" x14ac:dyDescent="0.25">
      <c r="A254" s="2">
        <f ca="1">IFERROR(__xludf.DUMMYFUNCTION("""COMPUTED_VALUE"""),44918.7190850925)</f>
        <v>44918.719085092504</v>
      </c>
      <c r="B254" s="1" t="str">
        <f ca="1">IFERROR(__xludf.DUMMYFUNCTION("""COMPUTED_VALUE"""),"India")</f>
        <v>India</v>
      </c>
      <c r="C254" s="1">
        <f ca="1">IFERROR(__xludf.DUMMYFUNCTION("""COMPUTED_VALUE"""),305901)</f>
        <v>305901</v>
      </c>
      <c r="D254" s="3" t="str">
        <f ca="1">IFERROR(__xludf.DUMMYFUNCTION("""COMPUTED_VALUE"""),"Male")</f>
        <v>Male</v>
      </c>
      <c r="E254" s="1" t="str">
        <f ca="1">IFERROR(__xludf.DUMMYFUNCTION("""COMPUTED_VALUE"""),"People from my circle, but not family members")</f>
        <v>People from my circle, but not family members</v>
      </c>
      <c r="F254" s="1" t="str">
        <f ca="1">IFERROR(__xludf.DUMMYFUNCTION("""COMPUTED_VALUE"""),"Yes, I will earn and do that")</f>
        <v>Yes, I will earn and do that</v>
      </c>
      <c r="G254" s="1" t="str">
        <f ca="1">IFERROR(__xludf.DUMMYFUNCTION("""COMPUTED_VALUE"""),"This will be hard to do, but if it is the right company I would try")</f>
        <v>This will be hard to do, but if it is the right company I would try</v>
      </c>
      <c r="H254" s="1" t="str">
        <f ca="1">IFERROR(__xludf.DUMMYFUNCTION("""COMPUTED_VALUE"""),"No")</f>
        <v>No</v>
      </c>
      <c r="I254" s="1" t="str">
        <f ca="1">IFERROR(__xludf.DUMMYFUNCTION("""COMPUTED_VALUE"""),"Will NOT work for them")</f>
        <v>Will NOT work for them</v>
      </c>
      <c r="J254" s="1">
        <f ca="1">IFERROR(__xludf.DUMMYFUNCTION("""COMPUTED_VALUE"""),6)</f>
        <v>6</v>
      </c>
      <c r="K254" s="1" t="str">
        <f ca="1">IFERROR(__xludf.DUMMYFUNCTION("""COMPUTED_VALUE"""),"Hybrid Working Environment with less than 15 days a month at office")</f>
        <v>Hybrid Working Environment with less than 15 days a month at office</v>
      </c>
      <c r="L254" s="1" t="str">
        <f ca="1">IFERROR(__xludf.DUMMYFUNCTION("""COMPUTED_VALUE"""),"Employer who pushes your limits by enabling an learning environment, and rewards you at the end")</f>
        <v>Employer who pushes your limits by enabling an learning environment, and rewards you at the end</v>
      </c>
      <c r="M254" s="1" t="str">
        <f ca="1">IFERROR(__xludf.DUMMYFUNCTION("""COMPUTED_VALUE"""),"Instructor or Expert Learning Programs, Learning by observing others")</f>
        <v>Instructor or Expert Learning Programs, Learning by observing others</v>
      </c>
      <c r="N254"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254" s="1" t="str">
        <f ca="1">IFERROR(__xludf.DUMMYFUNCTION("""COMPUTED_VALUE"""),"Manager who explains what is expected, sets a goal and helps achieve it")</f>
        <v>Manager who explains what is expected, sets a goal and helps achieve it</v>
      </c>
      <c r="P254" s="1" t="str">
        <f ca="1">IFERROR(__xludf.DUMMYFUNCTION("""COMPUTED_VALUE"""),"Work with 5 to 6 people in my team")</f>
        <v>Work with 5 to 6 people in my team</v>
      </c>
      <c r="Q254" s="1"/>
    </row>
    <row r="255" spans="1:17" ht="13.2" x14ac:dyDescent="0.25">
      <c r="A255" s="2">
        <f ca="1">IFERROR(__xludf.DUMMYFUNCTION("""COMPUTED_VALUE"""),44918.760680243)</f>
        <v>44918.760680243002</v>
      </c>
      <c r="B255" s="1" t="str">
        <f ca="1">IFERROR(__xludf.DUMMYFUNCTION("""COMPUTED_VALUE"""),"India")</f>
        <v>India</v>
      </c>
      <c r="C255" s="1">
        <f ca="1">IFERROR(__xludf.DUMMYFUNCTION("""COMPUTED_VALUE"""),385001)</f>
        <v>385001</v>
      </c>
      <c r="D255" s="3" t="str">
        <f ca="1">IFERROR(__xludf.DUMMYFUNCTION("""COMPUTED_VALUE"""),"Female")</f>
        <v>Female</v>
      </c>
      <c r="E255" s="1" t="str">
        <f ca="1">IFERROR(__xludf.DUMMYFUNCTION("""COMPUTED_VALUE"""),"My Parents")</f>
        <v>My Parents</v>
      </c>
      <c r="F255" s="1" t="str">
        <f ca="1">IFERROR(__xludf.DUMMYFUNCTION("""COMPUTED_VALUE"""),"No I would not be pursuing Higher Education outside of India")</f>
        <v>No I would not be pursuing Higher Education outside of India</v>
      </c>
      <c r="G255" s="1" t="str">
        <f ca="1">IFERROR(__xludf.DUMMYFUNCTION("""COMPUTED_VALUE"""),"This will be hard to do, but if it is the right company I would try")</f>
        <v>This will be hard to do, but if it is the right company I would try</v>
      </c>
      <c r="H255" s="1" t="str">
        <f ca="1">IFERROR(__xludf.DUMMYFUNCTION("""COMPUTED_VALUE"""),"Yes")</f>
        <v>Yes</v>
      </c>
      <c r="I255" s="1" t="str">
        <f ca="1">IFERROR(__xludf.DUMMYFUNCTION("""COMPUTED_VALUE"""),"Will work for them")</f>
        <v>Will work for them</v>
      </c>
      <c r="J255" s="1">
        <f ca="1">IFERROR(__xludf.DUMMYFUNCTION("""COMPUTED_VALUE"""),10)</f>
        <v>10</v>
      </c>
      <c r="K255" s="1" t="str">
        <f ca="1">IFERROR(__xludf.DUMMYFUNCTION("""COMPUTED_VALUE"""),"Fully Remote with Options to travel as and when needed")</f>
        <v>Fully Remote with Options to travel as and when needed</v>
      </c>
      <c r="L255" s="1" t="str">
        <f ca="1">IFERROR(__xludf.DUMMYFUNCTION("""COMPUTED_VALUE"""),"Employer who appreciates learning and enables that environment")</f>
        <v>Employer who appreciates learning and enables that environment</v>
      </c>
      <c r="M255" s="1" t="str">
        <f ca="1">IFERROR(__xludf.DUMMYFUNCTION("""COMPUTED_VALUE"""),"Learning by observing others, Trial and error by doing side projects within the company")</f>
        <v>Learning by observing others, Trial and error by doing side projects within the company</v>
      </c>
      <c r="N255" s="1" t="str">
        <f ca="1">IFERROR(__xludf.DUMMYFUNCTION("""COMPUTED_VALUE"""),"Design and Creative strategy in any company, Build and develop a Team, Work in a BPO setup for some well known client")</f>
        <v>Design and Creative strategy in any company, Build and develop a Team, Work in a BPO setup for some well known client</v>
      </c>
      <c r="O255" s="1" t="str">
        <f ca="1">IFERROR(__xludf.DUMMYFUNCTION("""COMPUTED_VALUE"""),"Manager who clearly describes what she/he needs")</f>
        <v>Manager who clearly describes what she/he needs</v>
      </c>
      <c r="P255" s="1" t="str">
        <f ca="1">IFERROR(__xludf.DUMMYFUNCTION("""COMPUTED_VALUE"""),"Work alone")</f>
        <v>Work alone</v>
      </c>
      <c r="Q255" s="1"/>
    </row>
    <row r="256" spans="1:17" ht="13.2" x14ac:dyDescent="0.25">
      <c r="A256" s="2">
        <f ca="1">IFERROR(__xludf.DUMMYFUNCTION("""COMPUTED_VALUE"""),44918.7615345601)</f>
        <v>44918.761534560101</v>
      </c>
      <c r="B256" s="1" t="str">
        <f ca="1">IFERROR(__xludf.DUMMYFUNCTION("""COMPUTED_VALUE"""),"India")</f>
        <v>India</v>
      </c>
      <c r="C256" s="1">
        <f ca="1">IFERROR(__xludf.DUMMYFUNCTION("""COMPUTED_VALUE"""),385001)</f>
        <v>385001</v>
      </c>
      <c r="D256" s="3" t="str">
        <f ca="1">IFERROR(__xludf.DUMMYFUNCTION("""COMPUTED_VALUE"""),"Female")</f>
        <v>Female</v>
      </c>
      <c r="E256" s="1" t="str">
        <f ca="1">IFERROR(__xludf.DUMMYFUNCTION("""COMPUTED_VALUE"""),"My Parents")</f>
        <v>My Parents</v>
      </c>
      <c r="F256" s="1" t="str">
        <f ca="1">IFERROR(__xludf.DUMMYFUNCTION("""COMPUTED_VALUE"""),"No I would not be pursuing Higher Education outside of India")</f>
        <v>No I would not be pursuing Higher Education outside of India</v>
      </c>
      <c r="G256" s="1" t="str">
        <f ca="1">IFERROR(__xludf.DUMMYFUNCTION("""COMPUTED_VALUE"""),"This will be hard to do, but if it is the right company I would try")</f>
        <v>This will be hard to do, but if it is the right company I would try</v>
      </c>
      <c r="H256" s="1" t="str">
        <f ca="1">IFERROR(__xludf.DUMMYFUNCTION("""COMPUTED_VALUE"""),"Yes")</f>
        <v>Yes</v>
      </c>
      <c r="I256" s="1" t="str">
        <f ca="1">IFERROR(__xludf.DUMMYFUNCTION("""COMPUTED_VALUE"""),"Will work for them")</f>
        <v>Will work for them</v>
      </c>
      <c r="J256" s="1">
        <f ca="1">IFERROR(__xludf.DUMMYFUNCTION("""COMPUTED_VALUE"""),4)</f>
        <v>4</v>
      </c>
      <c r="K256" s="1" t="str">
        <f ca="1">IFERROR(__xludf.DUMMYFUNCTION("""COMPUTED_VALUE"""),"Every Day Office Environment")</f>
        <v>Every Day Office Environment</v>
      </c>
      <c r="L256" s="1" t="str">
        <f ca="1">IFERROR(__xludf.DUMMYFUNCTION("""COMPUTED_VALUE"""),"Employer who appreciates learning and enables that environment")</f>
        <v>Employer who appreciates learning and enables that environment</v>
      </c>
      <c r="M256" s="1" t="str">
        <f ca="1">IFERROR(__xludf.DUMMYFUNCTION("""COMPUTED_VALUE"""),"Self Paced Learning Portals, Instructor or Expert Learning Programs")</f>
        <v>Self Paced Learning Portals, Instructor or Expert Learning Programs</v>
      </c>
      <c r="N25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56" s="1" t="str">
        <f ca="1">IFERROR(__xludf.DUMMYFUNCTION("""COMPUTED_VALUE"""),"Manager who explains what is expected, sets a goal and helps achieve it")</f>
        <v>Manager who explains what is expected, sets a goal and helps achieve it</v>
      </c>
      <c r="P256" s="1" t="str">
        <f ca="1">IFERROR(__xludf.DUMMYFUNCTION("""COMPUTED_VALUE"""),"Work with 5 to 6 people in my team")</f>
        <v>Work with 5 to 6 people in my team</v>
      </c>
      <c r="Q256" s="1"/>
    </row>
    <row r="257" spans="1:17" ht="13.2" x14ac:dyDescent="0.25">
      <c r="A257" s="2">
        <f ca="1">IFERROR(__xludf.DUMMYFUNCTION("""COMPUTED_VALUE"""),44918.761956574)</f>
        <v>44918.761956574002</v>
      </c>
      <c r="B257" s="1" t="str">
        <f ca="1">IFERROR(__xludf.DUMMYFUNCTION("""COMPUTED_VALUE"""),"India")</f>
        <v>India</v>
      </c>
      <c r="C257" s="1">
        <f ca="1">IFERROR(__xludf.DUMMYFUNCTION("""COMPUTED_VALUE"""),380052)</f>
        <v>380052</v>
      </c>
      <c r="D257" s="3" t="str">
        <f ca="1">IFERROR(__xludf.DUMMYFUNCTION("""COMPUTED_VALUE"""),"Female")</f>
        <v>Female</v>
      </c>
      <c r="E257" s="1" t="str">
        <f ca="1">IFERROR(__xludf.DUMMYFUNCTION("""COMPUTED_VALUE"""),"My Parents")</f>
        <v>My Parents</v>
      </c>
      <c r="F257" s="1" t="str">
        <f ca="1">IFERROR(__xludf.DUMMYFUNCTION("""COMPUTED_VALUE"""),"Yes, I will earn and do that")</f>
        <v>Yes, I will earn and do that</v>
      </c>
      <c r="G257" s="1" t="str">
        <f ca="1">IFERROR(__xludf.DUMMYFUNCTION("""COMPUTED_VALUE"""),"Will work for 3 years or more")</f>
        <v>Will work for 3 years or more</v>
      </c>
      <c r="H257" s="1" t="str">
        <f ca="1">IFERROR(__xludf.DUMMYFUNCTION("""COMPUTED_VALUE"""),"Yes")</f>
        <v>Yes</v>
      </c>
      <c r="I257" s="1" t="str">
        <f ca="1">IFERROR(__xludf.DUMMYFUNCTION("""COMPUTED_VALUE"""),"Will NOT work for them")</f>
        <v>Will NOT work for them</v>
      </c>
      <c r="J257" s="1">
        <f ca="1">IFERROR(__xludf.DUMMYFUNCTION("""COMPUTED_VALUE"""),10)</f>
        <v>10</v>
      </c>
      <c r="K257" s="1" t="str">
        <f ca="1">IFERROR(__xludf.DUMMYFUNCTION("""COMPUTED_VALUE"""),"Hybrid Working Environment with less than 3 days a month at office")</f>
        <v>Hybrid Working Environment with less than 3 days a month at office</v>
      </c>
      <c r="L257" s="1" t="str">
        <f ca="1">IFERROR(__xludf.DUMMYFUNCTION("""COMPUTED_VALUE"""),"Employer who pushes your limits by enabling an learning environment, and rewards you at the end")</f>
        <v>Employer who pushes your limits by enabling an learning environment, and rewards you at the end</v>
      </c>
      <c r="M257" s="1" t="str">
        <f ca="1">IFERROR(__xludf.DUMMYFUNCTION("""COMPUTED_VALUE"""),"Instructor or Expert Learning Programs, Learning by observing others")</f>
        <v>Instructor or Expert Learning Programs, Learning by observing others</v>
      </c>
      <c r="N257"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57" s="1" t="str">
        <f ca="1">IFERROR(__xludf.DUMMYFUNCTION("""COMPUTED_VALUE"""),"Manager who explains what is expected, sets a goal and helps achieve it")</f>
        <v>Manager who explains what is expected, sets a goal and helps achieve it</v>
      </c>
      <c r="P257" s="1" t="str">
        <f ca="1">IFERROR(__xludf.DUMMYFUNCTION("""COMPUTED_VALUE"""),"Work with 2 to 3 people in my team")</f>
        <v>Work with 2 to 3 people in my team</v>
      </c>
      <c r="Q257" s="1"/>
    </row>
    <row r="258" spans="1:17" ht="13.2" x14ac:dyDescent="0.25">
      <c r="A258" s="2">
        <f ca="1">IFERROR(__xludf.DUMMYFUNCTION("""COMPUTED_VALUE"""),44918.7841929629)</f>
        <v>44918.784192962899</v>
      </c>
      <c r="B258" s="1" t="str">
        <f ca="1">IFERROR(__xludf.DUMMYFUNCTION("""COMPUTED_VALUE"""),"India")</f>
        <v>India</v>
      </c>
      <c r="C258" s="1">
        <f ca="1">IFERROR(__xludf.DUMMYFUNCTION("""COMPUTED_VALUE"""),576213)</f>
        <v>576213</v>
      </c>
      <c r="D258" s="3" t="str">
        <f ca="1">IFERROR(__xludf.DUMMYFUNCTION("""COMPUTED_VALUE"""),"Male")</f>
        <v>Male</v>
      </c>
      <c r="E258" s="1" t="str">
        <f ca="1">IFERROR(__xludf.DUMMYFUNCTION("""COMPUTED_VALUE"""),"People who have changed the world for better")</f>
        <v>People who have changed the world for better</v>
      </c>
      <c r="F258" s="1" t="str">
        <f ca="1">IFERROR(__xludf.DUMMYFUNCTION("""COMPUTED_VALUE"""),"No, But if someone could bare the cost I will")</f>
        <v>No, But if someone could bare the cost I will</v>
      </c>
      <c r="G258" s="1" t="str">
        <f ca="1">IFERROR(__xludf.DUMMYFUNCTION("""COMPUTED_VALUE"""),"Will work for 3 years or more")</f>
        <v>Will work for 3 years or more</v>
      </c>
      <c r="H258" s="1" t="str">
        <f ca="1">IFERROR(__xludf.DUMMYFUNCTION("""COMPUTED_VALUE"""),"No")</f>
        <v>No</v>
      </c>
      <c r="I258" s="1" t="str">
        <f ca="1">IFERROR(__xludf.DUMMYFUNCTION("""COMPUTED_VALUE"""),"Will work for them")</f>
        <v>Will work for them</v>
      </c>
      <c r="J258" s="1">
        <f ca="1">IFERROR(__xludf.DUMMYFUNCTION("""COMPUTED_VALUE"""),3)</f>
        <v>3</v>
      </c>
      <c r="K258" s="1" t="str">
        <f ca="1">IFERROR(__xludf.DUMMYFUNCTION("""COMPUTED_VALUE"""),"Hybrid Working Environment with less than 10 days a month at office")</f>
        <v>Hybrid Working Environment with less than 10 days a month at office</v>
      </c>
      <c r="L258" s="1" t="str">
        <f ca="1">IFERROR(__xludf.DUMMYFUNCTION("""COMPUTED_VALUE"""),"Employer who appreciates learning and enables that environment")</f>
        <v>Employer who appreciates learning and enables that environment</v>
      </c>
      <c r="M258" s="1" t="str">
        <f ca="1">IFERROR(__xludf.DUMMYFUNCTION("""COMPUTED_VALUE"""),"Self Paced Learning Portals, Learning by observing others")</f>
        <v>Self Paced Learning Portals, Learning by observing others</v>
      </c>
      <c r="N25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58" s="1" t="str">
        <f ca="1">IFERROR(__xludf.DUMMYFUNCTION("""COMPUTED_VALUE"""),"Manager who explains what is expected, sets a goal and helps achieve it")</f>
        <v>Manager who explains what is expected, sets a goal and helps achieve it</v>
      </c>
      <c r="P258" s="1" t="str">
        <f ca="1">IFERROR(__xludf.DUMMYFUNCTION("""COMPUTED_VALUE"""),"Work with 5 to 6 people in my team")</f>
        <v>Work with 5 to 6 people in my team</v>
      </c>
      <c r="Q258" s="1"/>
    </row>
    <row r="259" spans="1:17" ht="13.2" x14ac:dyDescent="0.25">
      <c r="A259" s="2">
        <f ca="1">IFERROR(__xludf.DUMMYFUNCTION("""COMPUTED_VALUE"""),44918.7863765393)</f>
        <v>44918.786376539298</v>
      </c>
      <c r="B259" s="1" t="str">
        <f ca="1">IFERROR(__xludf.DUMMYFUNCTION("""COMPUTED_VALUE"""),"India")</f>
        <v>India</v>
      </c>
      <c r="C259" s="1">
        <f ca="1">IFERROR(__xludf.DUMMYFUNCTION("""COMPUTED_VALUE"""),576213)</f>
        <v>576213</v>
      </c>
      <c r="D259" s="3" t="str">
        <f ca="1">IFERROR(__xludf.DUMMYFUNCTION("""COMPUTED_VALUE"""),"Female")</f>
        <v>Female</v>
      </c>
      <c r="E259" s="1" t="str">
        <f ca="1">IFERROR(__xludf.DUMMYFUNCTION("""COMPUTED_VALUE"""),"Influencers who had successful careers")</f>
        <v>Influencers who had successful careers</v>
      </c>
      <c r="F259" s="1" t="str">
        <f ca="1">IFERROR(__xludf.DUMMYFUNCTION("""COMPUTED_VALUE"""),"No, But if someone could bare the cost I will")</f>
        <v>No, But if someone could bare the cost I will</v>
      </c>
      <c r="G259" s="1" t="str">
        <f ca="1">IFERROR(__xludf.DUMMYFUNCTION("""COMPUTED_VALUE"""),"This will be hard to do, but if it is the right company I would try")</f>
        <v>This will be hard to do, but if it is the right company I would try</v>
      </c>
      <c r="H259" s="1" t="str">
        <f ca="1">IFERROR(__xludf.DUMMYFUNCTION("""COMPUTED_VALUE"""),"Yes")</f>
        <v>Yes</v>
      </c>
      <c r="I259" s="1" t="str">
        <f ca="1">IFERROR(__xludf.DUMMYFUNCTION("""COMPUTED_VALUE"""),"Will NOT work for them")</f>
        <v>Will NOT work for them</v>
      </c>
      <c r="J259" s="1">
        <f ca="1">IFERROR(__xludf.DUMMYFUNCTION("""COMPUTED_VALUE"""),5)</f>
        <v>5</v>
      </c>
      <c r="K259" s="1" t="str">
        <f ca="1">IFERROR(__xludf.DUMMYFUNCTION("""COMPUTED_VALUE"""),"Hybrid Working Environment with less than 15 days a month at office")</f>
        <v>Hybrid Working Environment with less than 15 days a month at office</v>
      </c>
      <c r="L259" s="1" t="str">
        <f ca="1">IFERROR(__xludf.DUMMYFUNCTION("""COMPUTED_VALUE"""),"Employer who pushes your limits by enabling an learning environment, and rewards you at the end")</f>
        <v>Employer who pushes your limits by enabling an learning environment, and rewards you at the end</v>
      </c>
      <c r="M259" s="1" t="str">
        <f ca="1">IFERROR(__xludf.DUMMYFUNCTION("""COMPUTED_VALUE"""),"Instructor or Expert Learning Programs, Trial and error by doing side projects within the company")</f>
        <v>Instructor or Expert Learning Programs, Trial and error by doing side projects within the company</v>
      </c>
      <c r="N25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259" s="1" t="str">
        <f ca="1">IFERROR(__xludf.DUMMYFUNCTION("""COMPUTED_VALUE"""),"Manager who clearly describes what she/he needs")</f>
        <v>Manager who clearly describes what she/he needs</v>
      </c>
      <c r="P259" s="1" t="str">
        <f ca="1">IFERROR(__xludf.DUMMYFUNCTION("""COMPUTED_VALUE"""),"Work with 7 to 10 or more people in my team")</f>
        <v>Work with 7 to 10 or more people in my team</v>
      </c>
      <c r="Q259" s="1"/>
    </row>
    <row r="260" spans="1:17" ht="13.2" x14ac:dyDescent="0.25">
      <c r="A260" s="2">
        <f ca="1">IFERROR(__xludf.DUMMYFUNCTION("""COMPUTED_VALUE"""),44918.7905257986)</f>
        <v>44918.790525798599</v>
      </c>
      <c r="B260" s="1" t="str">
        <f ca="1">IFERROR(__xludf.DUMMYFUNCTION("""COMPUTED_VALUE"""),"India")</f>
        <v>India</v>
      </c>
      <c r="C260" s="1">
        <f ca="1">IFERROR(__xludf.DUMMYFUNCTION("""COMPUTED_VALUE"""),385210)</f>
        <v>385210</v>
      </c>
      <c r="D260" s="3" t="str">
        <f ca="1">IFERROR(__xludf.DUMMYFUNCTION("""COMPUTED_VALUE"""),"Male")</f>
        <v>Male</v>
      </c>
      <c r="E260" s="1" t="str">
        <f ca="1">IFERROR(__xludf.DUMMYFUNCTION("""COMPUTED_VALUE"""),"Influencers who had successful careers")</f>
        <v>Influencers who had successful careers</v>
      </c>
      <c r="F260" s="1" t="str">
        <f ca="1">IFERROR(__xludf.DUMMYFUNCTION("""COMPUTED_VALUE"""),"No I would not be pursuing Higher Education outside of India")</f>
        <v>No I would not be pursuing Higher Education outside of India</v>
      </c>
      <c r="G260" s="1" t="str">
        <f ca="1">IFERROR(__xludf.DUMMYFUNCTION("""COMPUTED_VALUE"""),"Will work for 3 years or more")</f>
        <v>Will work for 3 years or more</v>
      </c>
      <c r="H260" s="1" t="str">
        <f ca="1">IFERROR(__xludf.DUMMYFUNCTION("""COMPUTED_VALUE"""),"Yes")</f>
        <v>Yes</v>
      </c>
      <c r="I260" s="1" t="str">
        <f ca="1">IFERROR(__xludf.DUMMYFUNCTION("""COMPUTED_VALUE"""),"Will work for them")</f>
        <v>Will work for them</v>
      </c>
      <c r="J260" s="1">
        <f ca="1">IFERROR(__xludf.DUMMYFUNCTION("""COMPUTED_VALUE"""),10)</f>
        <v>10</v>
      </c>
      <c r="K260" s="1" t="str">
        <f ca="1">IFERROR(__xludf.DUMMYFUNCTION("""COMPUTED_VALUE"""),"Fully Remote with Options to travel as and when needed")</f>
        <v>Fully Remote with Options to travel as and when needed</v>
      </c>
      <c r="L260" s="1" t="str">
        <f ca="1">IFERROR(__xludf.DUMMYFUNCTION("""COMPUTED_VALUE"""),"Employer who pushes your limits by enabling an learning environment, and rewards you at the end")</f>
        <v>Employer who pushes your limits by enabling an learning environment, and rewards you at the end</v>
      </c>
      <c r="M260" s="1" t="str">
        <f ca="1">IFERROR(__xludf.DUMMYFUNCTION("""COMPUTED_VALUE"""),"Self Paced Learning Portals, Learning by observing others")</f>
        <v>Self Paced Learning Portals, Learning by observing others</v>
      </c>
      <c r="N26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60" s="1" t="str">
        <f ca="1">IFERROR(__xludf.DUMMYFUNCTION("""COMPUTED_VALUE"""),"Manager who sets targets and expects me to achieve it")</f>
        <v>Manager who sets targets and expects me to achieve it</v>
      </c>
      <c r="P260" s="1" t="str">
        <f ca="1">IFERROR(__xludf.DUMMYFUNCTION("""COMPUTED_VALUE"""),"Work with 2 to 3 people in my team")</f>
        <v>Work with 2 to 3 people in my team</v>
      </c>
      <c r="Q260" s="1"/>
    </row>
    <row r="261" spans="1:17" ht="13.2" x14ac:dyDescent="0.25">
      <c r="A261" s="2">
        <f ca="1">IFERROR(__xludf.DUMMYFUNCTION("""COMPUTED_VALUE"""),44918.7920242245)</f>
        <v>44918.792024224502</v>
      </c>
      <c r="B261" s="1" t="str">
        <f ca="1">IFERROR(__xludf.DUMMYFUNCTION("""COMPUTED_VALUE"""),"India")</f>
        <v>India</v>
      </c>
      <c r="C261" s="1">
        <f ca="1">IFERROR(__xludf.DUMMYFUNCTION("""COMPUTED_VALUE"""),575007)</f>
        <v>575007</v>
      </c>
      <c r="D261" s="3" t="str">
        <f ca="1">IFERROR(__xludf.DUMMYFUNCTION("""COMPUTED_VALUE"""),"Female")</f>
        <v>Female</v>
      </c>
      <c r="E261" s="1" t="str">
        <f ca="1">IFERROR(__xludf.DUMMYFUNCTION("""COMPUTED_VALUE"""),"My Parents")</f>
        <v>My Parents</v>
      </c>
      <c r="F261" s="1" t="str">
        <f ca="1">IFERROR(__xludf.DUMMYFUNCTION("""COMPUTED_VALUE"""),"No I would not be pursuing Higher Education outside of India")</f>
        <v>No I would not be pursuing Higher Education outside of India</v>
      </c>
      <c r="G261" s="1" t="str">
        <f ca="1">IFERROR(__xludf.DUMMYFUNCTION("""COMPUTED_VALUE"""),"This will be hard to do, but if it is the right company I would try")</f>
        <v>This will be hard to do, but if it is the right company I would try</v>
      </c>
      <c r="H261" s="1" t="str">
        <f ca="1">IFERROR(__xludf.DUMMYFUNCTION("""COMPUTED_VALUE"""),"No")</f>
        <v>No</v>
      </c>
      <c r="I261" s="1" t="str">
        <f ca="1">IFERROR(__xludf.DUMMYFUNCTION("""COMPUTED_VALUE"""),"Will NOT work for them")</f>
        <v>Will NOT work for them</v>
      </c>
      <c r="J261" s="1">
        <f ca="1">IFERROR(__xludf.DUMMYFUNCTION("""COMPUTED_VALUE"""),5)</f>
        <v>5</v>
      </c>
      <c r="K261" s="1" t="str">
        <f ca="1">IFERROR(__xludf.DUMMYFUNCTION("""COMPUTED_VALUE"""),"Hybrid Working Environment with less than 15 days a month at office")</f>
        <v>Hybrid Working Environment with less than 15 days a month at office</v>
      </c>
      <c r="L261" s="1" t="str">
        <f ca="1">IFERROR(__xludf.DUMMYFUNCTION("""COMPUTED_VALUE"""),"Employer who pushes your limits by enabling an learning environment, and rewards you at the end")</f>
        <v>Employer who pushes your limits by enabling an learning environment, and rewards you at the end</v>
      </c>
      <c r="M261" s="1" t="str">
        <f ca="1">IFERROR(__xludf.DUMMYFUNCTION("""COMPUTED_VALUE"""),"Instructor or Expert Learning Programs, Trial and error by doing side projects within the company")</f>
        <v>Instructor or Expert Learning Programs, Trial and error by doing side projects within the company</v>
      </c>
      <c r="N261" s="1" t="str">
        <f ca="1">IFERROR(__xludf.DUMMYFUNCTION("""COMPUTED_VALUE"""),"Business Operations in any organization, Work in a BPO setup for some well known client, Work as a freelancer and do my thing my way")</f>
        <v>Business Operations in any organization, Work in a BPO setup for some well known client, Work as a freelancer and do my thing my way</v>
      </c>
      <c r="O261" s="1" t="str">
        <f ca="1">IFERROR(__xludf.DUMMYFUNCTION("""COMPUTED_VALUE"""),"Manager who explains what is expected, sets a goal and helps achieve it")</f>
        <v>Manager who explains what is expected, sets a goal and helps achieve it</v>
      </c>
      <c r="P261" s="1" t="str">
        <f ca="1">IFERROR(__xludf.DUMMYFUNCTION("""COMPUTED_VALUE"""),"Work with 2 to 3 people in my team")</f>
        <v>Work with 2 to 3 people in my team</v>
      </c>
      <c r="Q261" s="1"/>
    </row>
    <row r="262" spans="1:17" ht="13.2" x14ac:dyDescent="0.25">
      <c r="A262" s="2">
        <f ca="1">IFERROR(__xludf.DUMMYFUNCTION("""COMPUTED_VALUE"""),44918.7955985995)</f>
        <v>44918.795598599499</v>
      </c>
      <c r="B262" s="1" t="str">
        <f ca="1">IFERROR(__xludf.DUMMYFUNCTION("""COMPUTED_VALUE"""),"India")</f>
        <v>India</v>
      </c>
      <c r="C262" s="1">
        <f ca="1">IFERROR(__xludf.DUMMYFUNCTION("""COMPUTED_VALUE"""),385001)</f>
        <v>385001</v>
      </c>
      <c r="D262" s="3" t="str">
        <f ca="1">IFERROR(__xludf.DUMMYFUNCTION("""COMPUTED_VALUE"""),"Female")</f>
        <v>Female</v>
      </c>
      <c r="E262" s="1" t="str">
        <f ca="1">IFERROR(__xludf.DUMMYFUNCTION("""COMPUTED_VALUE"""),"My Parents")</f>
        <v>My Parents</v>
      </c>
      <c r="F262" s="1" t="str">
        <f ca="1">IFERROR(__xludf.DUMMYFUNCTION("""COMPUTED_VALUE"""),"Yes, I will earn and do that")</f>
        <v>Yes, I will earn and do that</v>
      </c>
      <c r="G262" s="1" t="str">
        <f ca="1">IFERROR(__xludf.DUMMYFUNCTION("""COMPUTED_VALUE"""),"Will work for 3 years or more")</f>
        <v>Will work for 3 years or more</v>
      </c>
      <c r="H262" s="1" t="str">
        <f ca="1">IFERROR(__xludf.DUMMYFUNCTION("""COMPUTED_VALUE"""),"Yes")</f>
        <v>Yes</v>
      </c>
      <c r="I262" s="1" t="str">
        <f ca="1">IFERROR(__xludf.DUMMYFUNCTION("""COMPUTED_VALUE"""),"Will work for them")</f>
        <v>Will work for them</v>
      </c>
      <c r="J262" s="1">
        <f ca="1">IFERROR(__xludf.DUMMYFUNCTION("""COMPUTED_VALUE"""),1)</f>
        <v>1</v>
      </c>
      <c r="K262" s="1" t="str">
        <f ca="1">IFERROR(__xludf.DUMMYFUNCTION("""COMPUTED_VALUE"""),"Every Day Office Environment")</f>
        <v>Every Day Office Environment</v>
      </c>
      <c r="L262" s="1" t="str">
        <f ca="1">IFERROR(__xludf.DUMMYFUNCTION("""COMPUTED_VALUE"""),"Employer who appreciates learning and enables that environment")</f>
        <v>Employer who appreciates learning and enables that environment</v>
      </c>
      <c r="M262" s="1" t="str">
        <f ca="1">IFERROR(__xludf.DUMMYFUNCTION("""COMPUTED_VALUE"""),"Self Paced Learning Portals, Instructor or Expert Learning Programs")</f>
        <v>Self Paced Learning Portals, Instructor or Expert Learning Programs</v>
      </c>
      <c r="N26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62" s="1" t="str">
        <f ca="1">IFERROR(__xludf.DUMMYFUNCTION("""COMPUTED_VALUE"""),"Manager who clearly describes what she/he needs")</f>
        <v>Manager who clearly describes what she/he needs</v>
      </c>
      <c r="P262" s="1" t="str">
        <f ca="1">IFERROR(__xludf.DUMMYFUNCTION("""COMPUTED_VALUE"""),"Work with more than 10 people in my team")</f>
        <v>Work with more than 10 people in my team</v>
      </c>
      <c r="Q262" s="1"/>
    </row>
    <row r="263" spans="1:17" ht="13.2" x14ac:dyDescent="0.25">
      <c r="A263" s="2">
        <f ca="1">IFERROR(__xludf.DUMMYFUNCTION("""COMPUTED_VALUE"""),44918.7956388773)</f>
        <v>44918.795638877302</v>
      </c>
      <c r="B263" s="1" t="str">
        <f ca="1">IFERROR(__xludf.DUMMYFUNCTION("""COMPUTED_VALUE"""),"India")</f>
        <v>India</v>
      </c>
      <c r="C263" s="1">
        <f ca="1">IFERROR(__xludf.DUMMYFUNCTION("""COMPUTED_VALUE"""),574141)</f>
        <v>574141</v>
      </c>
      <c r="D263" s="3" t="str">
        <f ca="1">IFERROR(__xludf.DUMMYFUNCTION("""COMPUTED_VALUE"""),"Female")</f>
        <v>Female</v>
      </c>
      <c r="E263" s="1" t="str">
        <f ca="1">IFERROR(__xludf.DUMMYFUNCTION("""COMPUTED_VALUE"""),"My Parents")</f>
        <v>My Parents</v>
      </c>
      <c r="F263" s="1" t="str">
        <f ca="1">IFERROR(__xludf.DUMMYFUNCTION("""COMPUTED_VALUE"""),"No I would not be pursuing Higher Education outside of India")</f>
        <v>No I would not be pursuing Higher Education outside of India</v>
      </c>
      <c r="G263" s="1" t="str">
        <f ca="1">IFERROR(__xludf.DUMMYFUNCTION("""COMPUTED_VALUE"""),"Will work for 3 years or more")</f>
        <v>Will work for 3 years or more</v>
      </c>
      <c r="H263" s="1" t="str">
        <f ca="1">IFERROR(__xludf.DUMMYFUNCTION("""COMPUTED_VALUE"""),"No")</f>
        <v>No</v>
      </c>
      <c r="I263" s="1" t="str">
        <f ca="1">IFERROR(__xludf.DUMMYFUNCTION("""COMPUTED_VALUE"""),"Will NOT work for them")</f>
        <v>Will NOT work for them</v>
      </c>
      <c r="J263" s="1">
        <f ca="1">IFERROR(__xludf.DUMMYFUNCTION("""COMPUTED_VALUE"""),5)</f>
        <v>5</v>
      </c>
      <c r="K263" s="1" t="str">
        <f ca="1">IFERROR(__xludf.DUMMYFUNCTION("""COMPUTED_VALUE"""),"Every Day Office Environment")</f>
        <v>Every Day Office Environment</v>
      </c>
      <c r="L263" s="1" t="str">
        <f ca="1">IFERROR(__xludf.DUMMYFUNCTION("""COMPUTED_VALUE"""),"Employer who pushes your limits by enabling an learning environment, and rewards you at the end")</f>
        <v>Employer who pushes your limits by enabling an learning environment, and rewards you at the end</v>
      </c>
      <c r="M263" s="1" t="str">
        <f ca="1">IFERROR(__xludf.DUMMYFUNCTION("""COMPUTED_VALUE"""),"Instructor or Expert Learning Programs, Learning by observing others")</f>
        <v>Instructor or Expert Learning Programs, Learning by observing others</v>
      </c>
      <c r="N263"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63" s="1" t="str">
        <f ca="1">IFERROR(__xludf.DUMMYFUNCTION("""COMPUTED_VALUE"""),"Manager who explains what is expected, sets a goal and helps achieve it")</f>
        <v>Manager who explains what is expected, sets a goal and helps achieve it</v>
      </c>
      <c r="P263" s="1" t="str">
        <f ca="1">IFERROR(__xludf.DUMMYFUNCTION("""COMPUTED_VALUE"""),"Work with 2 to 3 people in my team")</f>
        <v>Work with 2 to 3 people in my team</v>
      </c>
      <c r="Q263" s="1"/>
    </row>
    <row r="264" spans="1:17" ht="13.2" x14ac:dyDescent="0.25">
      <c r="A264" s="2">
        <f ca="1">IFERROR(__xludf.DUMMYFUNCTION("""COMPUTED_VALUE"""),44918.7964545949)</f>
        <v>44918.7964545949</v>
      </c>
      <c r="B264" s="1" t="str">
        <f ca="1">IFERROR(__xludf.DUMMYFUNCTION("""COMPUTED_VALUE"""),"India")</f>
        <v>India</v>
      </c>
      <c r="C264" s="1">
        <f ca="1">IFERROR(__xludf.DUMMYFUNCTION("""COMPUTED_VALUE"""),385001)</f>
        <v>385001</v>
      </c>
      <c r="D264" s="3" t="str">
        <f ca="1">IFERROR(__xludf.DUMMYFUNCTION("""COMPUTED_VALUE"""),"Male")</f>
        <v>Male</v>
      </c>
      <c r="E264" s="1" t="str">
        <f ca="1">IFERROR(__xludf.DUMMYFUNCTION("""COMPUTED_VALUE"""),"My Parents")</f>
        <v>My Parents</v>
      </c>
      <c r="F264" s="1" t="str">
        <f ca="1">IFERROR(__xludf.DUMMYFUNCTION("""COMPUTED_VALUE"""),"Yes, I will earn and do that")</f>
        <v>Yes, I will earn and do that</v>
      </c>
      <c r="G264" s="1" t="str">
        <f ca="1">IFERROR(__xludf.DUMMYFUNCTION("""COMPUTED_VALUE"""),"Will work for 3 years or more")</f>
        <v>Will work for 3 years or more</v>
      </c>
      <c r="H264" s="1" t="str">
        <f ca="1">IFERROR(__xludf.DUMMYFUNCTION("""COMPUTED_VALUE"""),"Yes")</f>
        <v>Yes</v>
      </c>
      <c r="I264" s="1" t="str">
        <f ca="1">IFERROR(__xludf.DUMMYFUNCTION("""COMPUTED_VALUE"""),"Will work for them")</f>
        <v>Will work for them</v>
      </c>
      <c r="J264" s="1">
        <f ca="1">IFERROR(__xludf.DUMMYFUNCTION("""COMPUTED_VALUE"""),4)</f>
        <v>4</v>
      </c>
      <c r="K264" s="1" t="str">
        <f ca="1">IFERROR(__xludf.DUMMYFUNCTION("""COMPUTED_VALUE"""),"Every Day Office Environment")</f>
        <v>Every Day Office Environment</v>
      </c>
      <c r="L264" s="1" t="str">
        <f ca="1">IFERROR(__xludf.DUMMYFUNCTION("""COMPUTED_VALUE"""),"Employer who pushes your limits by enabling an learning environment, and rewards you at the end")</f>
        <v>Employer who pushes your limits by enabling an learning environment, and rewards you at the end</v>
      </c>
      <c r="M264" s="1" t="str">
        <f ca="1">IFERROR(__xludf.DUMMYFUNCTION("""COMPUTED_VALUE"""),"Learning by observing others, Trial and error by doing side projects within the company")</f>
        <v>Learning by observing others, Trial and error by doing side projects within the company</v>
      </c>
      <c r="N264"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264" s="1" t="str">
        <f ca="1">IFERROR(__xludf.DUMMYFUNCTION("""COMPUTED_VALUE"""),"Manager who sets goal and helps me achieve it")</f>
        <v>Manager who sets goal and helps me achieve it</v>
      </c>
      <c r="P26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264" s="1"/>
    </row>
    <row r="265" spans="1:17" ht="13.2" x14ac:dyDescent="0.25">
      <c r="A265" s="2">
        <f ca="1">IFERROR(__xludf.DUMMYFUNCTION("""COMPUTED_VALUE"""),44918.7971707986)</f>
        <v>44918.7971707986</v>
      </c>
      <c r="B265" s="1" t="str">
        <f ca="1">IFERROR(__xludf.DUMMYFUNCTION("""COMPUTED_VALUE"""),"India")</f>
        <v>India</v>
      </c>
      <c r="C265" s="1">
        <f ca="1">IFERROR(__xludf.DUMMYFUNCTION("""COMPUTED_VALUE"""),576221)</f>
        <v>576221</v>
      </c>
      <c r="D265" s="3" t="str">
        <f ca="1">IFERROR(__xludf.DUMMYFUNCTION("""COMPUTED_VALUE"""),"Female")</f>
        <v>Female</v>
      </c>
      <c r="E265" s="1" t="str">
        <f ca="1">IFERROR(__xludf.DUMMYFUNCTION("""COMPUTED_VALUE"""),"People who have changed the world for better")</f>
        <v>People who have changed the world for better</v>
      </c>
      <c r="F265" s="1" t="str">
        <f ca="1">IFERROR(__xludf.DUMMYFUNCTION("""COMPUTED_VALUE"""),"No I would not be pursuing Higher Education outside of India")</f>
        <v>No I would not be pursuing Higher Education outside of India</v>
      </c>
      <c r="G265" s="1" t="str">
        <f ca="1">IFERROR(__xludf.DUMMYFUNCTION("""COMPUTED_VALUE"""),"This will be hard to do, but if it is the right company I would try")</f>
        <v>This will be hard to do, but if it is the right company I would try</v>
      </c>
      <c r="H265" s="1" t="str">
        <f ca="1">IFERROR(__xludf.DUMMYFUNCTION("""COMPUTED_VALUE"""),"No")</f>
        <v>No</v>
      </c>
      <c r="I265" s="1" t="str">
        <f ca="1">IFERROR(__xludf.DUMMYFUNCTION("""COMPUTED_VALUE"""),"Will NOT work for them")</f>
        <v>Will NOT work for them</v>
      </c>
      <c r="J265" s="1">
        <f ca="1">IFERROR(__xludf.DUMMYFUNCTION("""COMPUTED_VALUE"""),3)</f>
        <v>3</v>
      </c>
      <c r="K265" s="1" t="str">
        <f ca="1">IFERROR(__xludf.DUMMYFUNCTION("""COMPUTED_VALUE"""),"Every Day Office Environment")</f>
        <v>Every Day Office Environment</v>
      </c>
      <c r="L265" s="1" t="str">
        <f ca="1">IFERROR(__xludf.DUMMYFUNCTION("""COMPUTED_VALUE"""),"Employer who appreciates learning and enables that environment")</f>
        <v>Employer who appreciates learning and enables that environment</v>
      </c>
      <c r="M265" s="1" t="str">
        <f ca="1">IFERROR(__xludf.DUMMYFUNCTION("""COMPUTED_VALUE"""),"Instructor or Expert Learning Programs, Trial and error by doing side projects within the company")</f>
        <v>Instructor or Expert Learning Programs, Trial and error by doing side projects within the company</v>
      </c>
      <c r="N265"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65" s="1" t="str">
        <f ca="1">IFERROR(__xludf.DUMMYFUNCTION("""COMPUTED_VALUE"""),"Manager who explains what is expected, sets a goal and helps achieve it")</f>
        <v>Manager who explains what is expected, sets a goal and helps achieve it</v>
      </c>
      <c r="P265" s="1" t="str">
        <f ca="1">IFERROR(__xludf.DUMMYFUNCTION("""COMPUTED_VALUE"""),"Work with 7 to 10 or more people in my team")</f>
        <v>Work with 7 to 10 or more people in my team</v>
      </c>
      <c r="Q265" s="1"/>
    </row>
    <row r="266" spans="1:17" ht="13.2" x14ac:dyDescent="0.25">
      <c r="A266" s="2">
        <f ca="1">IFERROR(__xludf.DUMMYFUNCTION("""COMPUTED_VALUE"""),44918.7983800115)</f>
        <v>44918.798380011503</v>
      </c>
      <c r="B266" s="1" t="str">
        <f ca="1">IFERROR(__xludf.DUMMYFUNCTION("""COMPUTED_VALUE"""),"India")</f>
        <v>India</v>
      </c>
      <c r="C266" s="1">
        <f ca="1">IFERROR(__xludf.DUMMYFUNCTION("""COMPUTED_VALUE"""),385001)</f>
        <v>385001</v>
      </c>
      <c r="D266" s="3" t="str">
        <f ca="1">IFERROR(__xludf.DUMMYFUNCTION("""COMPUTED_VALUE"""),"Male")</f>
        <v>Male</v>
      </c>
      <c r="E266" s="1" t="str">
        <f ca="1">IFERROR(__xludf.DUMMYFUNCTION("""COMPUTED_VALUE"""),"People who have changed the world for better")</f>
        <v>People who have changed the world for better</v>
      </c>
      <c r="F266" s="1" t="str">
        <f ca="1">IFERROR(__xludf.DUMMYFUNCTION("""COMPUTED_VALUE"""),"Yes, I will earn and do that")</f>
        <v>Yes, I will earn and do that</v>
      </c>
      <c r="G266" s="1" t="str">
        <f ca="1">IFERROR(__xludf.DUMMYFUNCTION("""COMPUTED_VALUE"""),"This will be hard to do, but if it is the right company I would try")</f>
        <v>This will be hard to do, but if it is the right company I would try</v>
      </c>
      <c r="H266" s="1" t="str">
        <f ca="1">IFERROR(__xludf.DUMMYFUNCTION("""COMPUTED_VALUE"""),"No")</f>
        <v>No</v>
      </c>
      <c r="I266" s="1" t="str">
        <f ca="1">IFERROR(__xludf.DUMMYFUNCTION("""COMPUTED_VALUE"""),"Will NOT work for them")</f>
        <v>Will NOT work for them</v>
      </c>
      <c r="J266" s="1">
        <f ca="1">IFERROR(__xludf.DUMMYFUNCTION("""COMPUTED_VALUE"""),10)</f>
        <v>10</v>
      </c>
      <c r="K266" s="1" t="str">
        <f ca="1">IFERROR(__xludf.DUMMYFUNCTION("""COMPUTED_VALUE"""),"Every Day Office Environment")</f>
        <v>Every Day Office Environment</v>
      </c>
      <c r="L266" s="1" t="str">
        <f ca="1">IFERROR(__xludf.DUMMYFUNCTION("""COMPUTED_VALUE"""),"Employer who pushes your limits by enabling an learning environment, and rewards you at the end")</f>
        <v>Employer who pushes your limits by enabling an learning environment, and rewards you at the end</v>
      </c>
      <c r="M266" s="1" t="str">
        <f ca="1">IFERROR(__xludf.DUMMYFUNCTION("""COMPUTED_VALUE"""),"Instructor or Expert Learning Programs, Trial and error by doing side projects within the company")</f>
        <v>Instructor or Expert Learning Programs, Trial and error by doing side projects within the company</v>
      </c>
      <c r="N266"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266" s="1" t="str">
        <f ca="1">IFERROR(__xludf.DUMMYFUNCTION("""COMPUTED_VALUE"""),"Manager who explains what is expected, sets a goal and helps achieve it")</f>
        <v>Manager who explains what is expected, sets a goal and helps achieve it</v>
      </c>
      <c r="P266" s="1" t="str">
        <f ca="1">IFERROR(__xludf.DUMMYFUNCTION("""COMPUTED_VALUE"""),"Work with 2 to 3 people in my team")</f>
        <v>Work with 2 to 3 people in my team</v>
      </c>
      <c r="Q266" s="1"/>
    </row>
    <row r="267" spans="1:17" ht="13.2" x14ac:dyDescent="0.25">
      <c r="A267" s="2">
        <f ca="1">IFERROR(__xludf.DUMMYFUNCTION("""COMPUTED_VALUE"""),44918.7990545833)</f>
        <v>44918.799054583302</v>
      </c>
      <c r="B267" s="1" t="str">
        <f ca="1">IFERROR(__xludf.DUMMYFUNCTION("""COMPUTED_VALUE"""),"India")</f>
        <v>India</v>
      </c>
      <c r="C267" s="1">
        <f ca="1">IFERROR(__xludf.DUMMYFUNCTION("""COMPUTED_VALUE"""),574227)</f>
        <v>574227</v>
      </c>
      <c r="D267" s="3" t="str">
        <f ca="1">IFERROR(__xludf.DUMMYFUNCTION("""COMPUTED_VALUE"""),"Male")</f>
        <v>Male</v>
      </c>
      <c r="E267" s="1" t="str">
        <f ca="1">IFERROR(__xludf.DUMMYFUNCTION("""COMPUTED_VALUE"""),"My Parents")</f>
        <v>My Parents</v>
      </c>
      <c r="F267" s="1" t="str">
        <f ca="1">IFERROR(__xludf.DUMMYFUNCTION("""COMPUTED_VALUE"""),"No, But if someone could bare the cost I will")</f>
        <v>No, But if someone could bare the cost I will</v>
      </c>
      <c r="G267" s="1" t="str">
        <f ca="1">IFERROR(__xludf.DUMMYFUNCTION("""COMPUTED_VALUE"""),"This will be hard to do, but if it is the right company I would try")</f>
        <v>This will be hard to do, but if it is the right company I would try</v>
      </c>
      <c r="H267" s="1" t="str">
        <f ca="1">IFERROR(__xludf.DUMMYFUNCTION("""COMPUTED_VALUE"""),"Yes")</f>
        <v>Yes</v>
      </c>
      <c r="I267" s="1" t="str">
        <f ca="1">IFERROR(__xludf.DUMMYFUNCTION("""COMPUTED_VALUE"""),"Will NOT work for them")</f>
        <v>Will NOT work for them</v>
      </c>
      <c r="J267" s="1">
        <f ca="1">IFERROR(__xludf.DUMMYFUNCTION("""COMPUTED_VALUE"""),2)</f>
        <v>2</v>
      </c>
      <c r="K267" s="1" t="str">
        <f ca="1">IFERROR(__xludf.DUMMYFUNCTION("""COMPUTED_VALUE"""),"Fully Remote with Options to travel as and when needed")</f>
        <v>Fully Remote with Options to travel as and when needed</v>
      </c>
      <c r="L267" s="1" t="str">
        <f ca="1">IFERROR(__xludf.DUMMYFUNCTION("""COMPUTED_VALUE"""),"Employer who pushes your limits by enabling an learning environment, and rewards you at the end")</f>
        <v>Employer who pushes your limits by enabling an learning environment, and rewards you at the end</v>
      </c>
      <c r="M267" s="1" t="str">
        <f ca="1">IFERROR(__xludf.DUMMYFUNCTION("""COMPUTED_VALUE"""),"Instructor or Expert Learning Programs, Trial and error by doing side projects within the company")</f>
        <v>Instructor or Expert Learning Programs, Trial and error by doing side projects within the company</v>
      </c>
      <c r="N2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267" s="1" t="str">
        <f ca="1">IFERROR(__xludf.DUMMYFUNCTION("""COMPUTED_VALUE"""),"Manager who sets goal and helps me achieve it")</f>
        <v>Manager who sets goal and helps me achieve it</v>
      </c>
      <c r="P267" s="1" t="str">
        <f ca="1">IFERROR(__xludf.DUMMYFUNCTION("""COMPUTED_VALUE"""),"Work with 5 to 6 people in my team, Work with 7 to 10 or more people in my team")</f>
        <v>Work with 5 to 6 people in my team, Work with 7 to 10 or more people in my team</v>
      </c>
      <c r="Q267" s="1"/>
    </row>
    <row r="268" spans="1:17" ht="13.2" x14ac:dyDescent="0.25">
      <c r="A268" s="2">
        <f ca="1">IFERROR(__xludf.DUMMYFUNCTION("""COMPUTED_VALUE"""),44918.801559537)</f>
        <v>44918.801559537002</v>
      </c>
      <c r="B268" s="1" t="str">
        <f ca="1">IFERROR(__xludf.DUMMYFUNCTION("""COMPUTED_VALUE"""),"India")</f>
        <v>India</v>
      </c>
      <c r="C268" s="1">
        <f ca="1">IFERROR(__xludf.DUMMYFUNCTION("""COMPUTED_VALUE"""),385001)</f>
        <v>385001</v>
      </c>
      <c r="D268" s="3" t="str">
        <f ca="1">IFERROR(__xludf.DUMMYFUNCTION("""COMPUTED_VALUE"""),"Female")</f>
        <v>Female</v>
      </c>
      <c r="E268" s="1" t="str">
        <f ca="1">IFERROR(__xludf.DUMMYFUNCTION("""COMPUTED_VALUE"""),"My Parents")</f>
        <v>My Parents</v>
      </c>
      <c r="F268" s="1" t="str">
        <f ca="1">IFERROR(__xludf.DUMMYFUNCTION("""COMPUTED_VALUE"""),"Yes, I will earn and do that")</f>
        <v>Yes, I will earn and do that</v>
      </c>
      <c r="G268" s="1" t="str">
        <f ca="1">IFERROR(__xludf.DUMMYFUNCTION("""COMPUTED_VALUE"""),"This will be hard to do, but if it is the right company I would try")</f>
        <v>This will be hard to do, but if it is the right company I would try</v>
      </c>
      <c r="H268" s="1" t="str">
        <f ca="1">IFERROR(__xludf.DUMMYFUNCTION("""COMPUTED_VALUE"""),"No")</f>
        <v>No</v>
      </c>
      <c r="I268" s="1" t="str">
        <f ca="1">IFERROR(__xludf.DUMMYFUNCTION("""COMPUTED_VALUE"""),"Will NOT work for them")</f>
        <v>Will NOT work for them</v>
      </c>
      <c r="J268" s="1">
        <f ca="1">IFERROR(__xludf.DUMMYFUNCTION("""COMPUTED_VALUE"""),5)</f>
        <v>5</v>
      </c>
      <c r="K268" s="1" t="str">
        <f ca="1">IFERROR(__xludf.DUMMYFUNCTION("""COMPUTED_VALUE"""),"Fully Remote with Options to travel as and when needed")</f>
        <v>Fully Remote with Options to travel as and when needed</v>
      </c>
      <c r="L268" s="1" t="str">
        <f ca="1">IFERROR(__xludf.DUMMYFUNCTION("""COMPUTED_VALUE"""),"Employer who pushes your limits by enabling an learning environment, and rewards you at the end")</f>
        <v>Employer who pushes your limits by enabling an learning environment, and rewards you at the end</v>
      </c>
      <c r="M268" s="1" t="str">
        <f ca="1">IFERROR(__xludf.DUMMYFUNCTION("""COMPUTED_VALUE"""),"Learning by observing others, Trial and error by doing side projects within the company")</f>
        <v>Learning by observing others, Trial and error by doing side projects within the company</v>
      </c>
      <c r="N268"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268" s="1" t="str">
        <f ca="1">IFERROR(__xludf.DUMMYFUNCTION("""COMPUTED_VALUE"""),"Manager who explains what is expected, sets a goal and helps achieve it")</f>
        <v>Manager who explains what is expected, sets a goal and helps achieve it</v>
      </c>
      <c r="P268" s="1" t="str">
        <f ca="1">IFERROR(__xludf.DUMMYFUNCTION("""COMPUTED_VALUE"""),"Work with 5 to 6 people in my team")</f>
        <v>Work with 5 to 6 people in my team</v>
      </c>
      <c r="Q268" s="1"/>
    </row>
    <row r="269" spans="1:17" ht="13.2" x14ac:dyDescent="0.25">
      <c r="A269" s="2">
        <f ca="1">IFERROR(__xludf.DUMMYFUNCTION("""COMPUTED_VALUE"""),44918.8042593981)</f>
        <v>44918.804259398101</v>
      </c>
      <c r="B269" s="1" t="str">
        <f ca="1">IFERROR(__xludf.DUMMYFUNCTION("""COMPUTED_VALUE"""),"India")</f>
        <v>India</v>
      </c>
      <c r="C269" s="1">
        <f ca="1">IFERROR(__xludf.DUMMYFUNCTION("""COMPUTED_VALUE"""),576106)</f>
        <v>576106</v>
      </c>
      <c r="D269" s="3" t="str">
        <f ca="1">IFERROR(__xludf.DUMMYFUNCTION("""COMPUTED_VALUE"""),"Male")</f>
        <v>Male</v>
      </c>
      <c r="E269" s="1" t="str">
        <f ca="1">IFERROR(__xludf.DUMMYFUNCTION("""COMPUTED_VALUE"""),"My Parents")</f>
        <v>My Parents</v>
      </c>
      <c r="F269" s="1" t="str">
        <f ca="1">IFERROR(__xludf.DUMMYFUNCTION("""COMPUTED_VALUE"""),"No I would not be pursuing Higher Education outside of India")</f>
        <v>No I would not be pursuing Higher Education outside of India</v>
      </c>
      <c r="G269" s="1" t="str">
        <f ca="1">IFERROR(__xludf.DUMMYFUNCTION("""COMPUTED_VALUE"""),"Will work for 3 years or more")</f>
        <v>Will work for 3 years or more</v>
      </c>
      <c r="H269" s="1" t="str">
        <f ca="1">IFERROR(__xludf.DUMMYFUNCTION("""COMPUTED_VALUE"""),"No")</f>
        <v>No</v>
      </c>
      <c r="I269" s="1" t="str">
        <f ca="1">IFERROR(__xludf.DUMMYFUNCTION("""COMPUTED_VALUE"""),"Will NOT work for them")</f>
        <v>Will NOT work for them</v>
      </c>
      <c r="J269" s="1">
        <f ca="1">IFERROR(__xludf.DUMMYFUNCTION("""COMPUTED_VALUE"""),1)</f>
        <v>1</v>
      </c>
      <c r="K269" s="1" t="str">
        <f ca="1">IFERROR(__xludf.DUMMYFUNCTION("""COMPUTED_VALUE"""),"Fully Remote with Options to travel as and when needed")</f>
        <v>Fully Remote with Options to travel as and when needed</v>
      </c>
      <c r="L269" s="1" t="str">
        <f ca="1">IFERROR(__xludf.DUMMYFUNCTION("""COMPUTED_VALUE"""),"Employer who appreciates learning and enables that environment")</f>
        <v>Employer who appreciates learning and enables that environment</v>
      </c>
      <c r="M269" s="1" t="str">
        <f ca="1">IFERROR(__xludf.DUMMYFUNCTION("""COMPUTED_VALUE"""),"Self Paced Learning Portals, Learning by observing others")</f>
        <v>Self Paced Learning Portals, Learning by observing others</v>
      </c>
      <c r="N269"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69" s="1" t="str">
        <f ca="1">IFERROR(__xludf.DUMMYFUNCTION("""COMPUTED_VALUE"""),"Manager who sets goal and helps me achieve it")</f>
        <v>Manager who sets goal and helps me achieve it</v>
      </c>
      <c r="P269" s="1" t="str">
        <f ca="1">IFERROR(__xludf.DUMMYFUNCTION("""COMPUTED_VALUE"""),"Work with more than 10 people in my team")</f>
        <v>Work with more than 10 people in my team</v>
      </c>
      <c r="Q269" s="1"/>
    </row>
    <row r="270" spans="1:17" ht="13.2" x14ac:dyDescent="0.25">
      <c r="A270" s="2">
        <f ca="1">IFERROR(__xludf.DUMMYFUNCTION("""COMPUTED_VALUE"""),44918.8044140277)</f>
        <v>44918.804414027698</v>
      </c>
      <c r="B270" s="1" t="s">
        <v>5</v>
      </c>
      <c r="C270" s="1">
        <f ca="1">IFERROR(__xludf.DUMMYFUNCTION("""COMPUTED_VALUE"""),420)</f>
        <v>420</v>
      </c>
      <c r="D270" s="3" t="str">
        <f ca="1">IFERROR(__xludf.DUMMYFUNCTION("""COMPUTED_VALUE"""),"Female")</f>
        <v>Female</v>
      </c>
      <c r="E270" s="1" t="str">
        <f ca="1">IFERROR(__xludf.DUMMYFUNCTION("""COMPUTED_VALUE"""),"People who have changed the world for better")</f>
        <v>People who have changed the world for better</v>
      </c>
      <c r="F270" s="1" t="str">
        <f ca="1">IFERROR(__xludf.DUMMYFUNCTION("""COMPUTED_VALUE"""),"No I would not be pursuing Higher Education outside of India")</f>
        <v>No I would not be pursuing Higher Education outside of India</v>
      </c>
      <c r="G270" s="1" t="str">
        <f ca="1">IFERROR(__xludf.DUMMYFUNCTION("""COMPUTED_VALUE"""),"No way, 3 years with one employer is crazy")</f>
        <v>No way, 3 years with one employer is crazy</v>
      </c>
      <c r="H270" s="1" t="str">
        <f ca="1">IFERROR(__xludf.DUMMYFUNCTION("""COMPUTED_VALUE"""),"No")</f>
        <v>No</v>
      </c>
      <c r="I270" s="1" t="str">
        <f ca="1">IFERROR(__xludf.DUMMYFUNCTION("""COMPUTED_VALUE"""),"Will NOT work for them")</f>
        <v>Will NOT work for them</v>
      </c>
      <c r="J270" s="1">
        <f ca="1">IFERROR(__xludf.DUMMYFUNCTION("""COMPUTED_VALUE"""),1)</f>
        <v>1</v>
      </c>
      <c r="K270" s="1" t="str">
        <f ca="1">IFERROR(__xludf.DUMMYFUNCTION("""COMPUTED_VALUE"""),"Fully Remote with No option to visit offices")</f>
        <v>Fully Remote with No option to visit offices</v>
      </c>
      <c r="L270" s="1" t="str">
        <f ca="1">IFERROR(__xludf.DUMMYFUNCTION("""COMPUTED_VALUE"""),"Employers who appreciates learning but doesn't enables an learning environment")</f>
        <v>Employers who appreciates learning but doesn't enables an learning environment</v>
      </c>
      <c r="M270" s="1" t="str">
        <f ca="1">IFERROR(__xludf.DUMMYFUNCTION("""COMPUTED_VALUE"""),"Learning by observing others, Trial and error by doing side projects within the company")</f>
        <v>Learning by observing others, Trial and error by doing side projects within the company</v>
      </c>
      <c r="N270" s="1" t="str">
        <f ca="1">IFERROR(__xludf.DUMMYFUNCTION("""COMPUTED_VALUE"""),"Work in a BPO setup for some well known client, Work as a freelancer and do my thing my way, Become a content Creator in some platform")</f>
        <v>Work in a BPO setup for some well known client, Work as a freelancer and do my thing my way, Become a content Creator in some platform</v>
      </c>
      <c r="O270" s="1" t="str">
        <f ca="1">IFERROR(__xludf.DUMMYFUNCTION("""COMPUTED_VALUE"""),"Manager who sets unrealistic targets")</f>
        <v>Manager who sets unrealistic targets</v>
      </c>
      <c r="P270" s="1" t="str">
        <f ca="1">IFERROR(__xludf.DUMMYFUNCTION("""COMPUTED_VALUE"""),"Work alone")</f>
        <v>Work alone</v>
      </c>
      <c r="Q270" s="1"/>
    </row>
    <row r="271" spans="1:17" ht="13.2" x14ac:dyDescent="0.25">
      <c r="A271" s="2">
        <f ca="1">IFERROR(__xludf.DUMMYFUNCTION("""COMPUTED_VALUE"""),44918.8096292361)</f>
        <v>44918.809629236101</v>
      </c>
      <c r="B271" s="1" t="str">
        <f ca="1">IFERROR(__xludf.DUMMYFUNCTION("""COMPUTED_VALUE"""),"India")</f>
        <v>India</v>
      </c>
      <c r="C271" s="1">
        <f ca="1">IFERROR(__xludf.DUMMYFUNCTION("""COMPUTED_VALUE"""),576213)</f>
        <v>576213</v>
      </c>
      <c r="D271" s="3" t="str">
        <f ca="1">IFERROR(__xludf.DUMMYFUNCTION("""COMPUTED_VALUE"""),"Female")</f>
        <v>Female</v>
      </c>
      <c r="E271" s="1" t="str">
        <f ca="1">IFERROR(__xludf.DUMMYFUNCTION("""COMPUTED_VALUE"""),"People from my circle, but not family members")</f>
        <v>People from my circle, but not family members</v>
      </c>
      <c r="F271" s="1" t="str">
        <f ca="1">IFERROR(__xludf.DUMMYFUNCTION("""COMPUTED_VALUE"""),"No I would not be pursuing Higher Education outside of India")</f>
        <v>No I would not be pursuing Higher Education outside of India</v>
      </c>
      <c r="G271" s="1" t="str">
        <f ca="1">IFERROR(__xludf.DUMMYFUNCTION("""COMPUTED_VALUE"""),"This will be hard to do, but if it is the right company I would try")</f>
        <v>This will be hard to do, but if it is the right company I would try</v>
      </c>
      <c r="H271" s="1" t="str">
        <f ca="1">IFERROR(__xludf.DUMMYFUNCTION("""COMPUTED_VALUE"""),"Yes")</f>
        <v>Yes</v>
      </c>
      <c r="I271" s="1" t="str">
        <f ca="1">IFERROR(__xludf.DUMMYFUNCTION("""COMPUTED_VALUE"""),"Will NOT work for them")</f>
        <v>Will NOT work for them</v>
      </c>
      <c r="J271" s="1">
        <f ca="1">IFERROR(__xludf.DUMMYFUNCTION("""COMPUTED_VALUE"""),8)</f>
        <v>8</v>
      </c>
      <c r="K271" s="1" t="str">
        <f ca="1">IFERROR(__xludf.DUMMYFUNCTION("""COMPUTED_VALUE"""),"Hybrid Working Environment with less than 10 days a month at office")</f>
        <v>Hybrid Working Environment with less than 10 days a month at office</v>
      </c>
      <c r="L271" s="1" t="str">
        <f ca="1">IFERROR(__xludf.DUMMYFUNCTION("""COMPUTED_VALUE"""),"Employer who appreciates learning and enables that environment")</f>
        <v>Employer who appreciates learning and enables that environment</v>
      </c>
      <c r="M271" s="1" t="str">
        <f ca="1">IFERROR(__xludf.DUMMYFUNCTION("""COMPUTED_VALUE"""),"Instructor or Expert Learning Programs, Trial and error by doing side projects within the company")</f>
        <v>Instructor or Expert Learning Programs, Trial and error by doing side projects within the company</v>
      </c>
      <c r="N27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1" s="1" t="str">
        <f ca="1">IFERROR(__xludf.DUMMYFUNCTION("""COMPUTED_VALUE"""),"Manager who explains what is expected, sets a goal and helps achieve it")</f>
        <v>Manager who explains what is expected, sets a goal and helps achieve it</v>
      </c>
      <c r="P271" s="1" t="str">
        <f ca="1">IFERROR(__xludf.DUMMYFUNCTION("""COMPUTED_VALUE"""),"Work with 7 to 10 or more people in my team")</f>
        <v>Work with 7 to 10 or more people in my team</v>
      </c>
      <c r="Q271" s="1"/>
    </row>
    <row r="272" spans="1:17" ht="13.2" x14ac:dyDescent="0.25">
      <c r="A272" s="2">
        <f ca="1">IFERROR(__xludf.DUMMYFUNCTION("""COMPUTED_VALUE"""),44918.8157517013)</f>
        <v>44918.815751701302</v>
      </c>
      <c r="B272" s="1" t="str">
        <f ca="1">IFERROR(__xludf.DUMMYFUNCTION("""COMPUTED_VALUE"""),"India")</f>
        <v>India</v>
      </c>
      <c r="C272" s="1">
        <f ca="1">IFERROR(__xludf.DUMMYFUNCTION("""COMPUTED_VALUE"""),576210)</f>
        <v>576210</v>
      </c>
      <c r="D272" s="3" t="str">
        <f ca="1">IFERROR(__xludf.DUMMYFUNCTION("""COMPUTED_VALUE"""),"Female")</f>
        <v>Female</v>
      </c>
      <c r="E272" s="1" t="str">
        <f ca="1">IFERROR(__xludf.DUMMYFUNCTION("""COMPUTED_VALUE"""),"My Parents")</f>
        <v>My Parents</v>
      </c>
      <c r="F272" s="1" t="str">
        <f ca="1">IFERROR(__xludf.DUMMYFUNCTION("""COMPUTED_VALUE"""),"Yes, I will earn and do that")</f>
        <v>Yes, I will earn and do that</v>
      </c>
      <c r="G272" s="1" t="str">
        <f ca="1">IFERROR(__xludf.DUMMYFUNCTION("""COMPUTED_VALUE"""),"Will work for 3 years or more")</f>
        <v>Will work for 3 years or more</v>
      </c>
      <c r="H272" s="1" t="str">
        <f ca="1">IFERROR(__xludf.DUMMYFUNCTION("""COMPUTED_VALUE"""),"No")</f>
        <v>No</v>
      </c>
      <c r="I272" s="1" t="str">
        <f ca="1">IFERROR(__xludf.DUMMYFUNCTION("""COMPUTED_VALUE"""),"Will NOT work for them")</f>
        <v>Will NOT work for them</v>
      </c>
      <c r="J272" s="1">
        <f ca="1">IFERROR(__xludf.DUMMYFUNCTION("""COMPUTED_VALUE"""),5)</f>
        <v>5</v>
      </c>
      <c r="K272" s="1" t="str">
        <f ca="1">IFERROR(__xludf.DUMMYFUNCTION("""COMPUTED_VALUE"""),"Every Day Office Environment")</f>
        <v>Every Day Office Environment</v>
      </c>
      <c r="L272" s="1" t="str">
        <f ca="1">IFERROR(__xludf.DUMMYFUNCTION("""COMPUTED_VALUE"""),"Employer who appreciates learning and enables that environment")</f>
        <v>Employer who appreciates learning and enables that environment</v>
      </c>
      <c r="M272" s="1" t="str">
        <f ca="1">IFERROR(__xludf.DUMMYFUNCTION("""COMPUTED_VALUE"""),"Self Paced Learning Portals, Instructor or Expert Learning Programs")</f>
        <v>Self Paced Learning Portals, Instructor or Expert Learning Programs</v>
      </c>
      <c r="N27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272" s="1" t="str">
        <f ca="1">IFERROR(__xludf.DUMMYFUNCTION("""COMPUTED_VALUE"""),"Manager who clearly describes what she/he needs")</f>
        <v>Manager who clearly describes what she/he needs</v>
      </c>
      <c r="P272" s="1" t="str">
        <f ca="1">IFERROR(__xludf.DUMMYFUNCTION("""COMPUTED_VALUE"""),"Work with more than 10 people in my team")</f>
        <v>Work with more than 10 people in my team</v>
      </c>
      <c r="Q272" s="1"/>
    </row>
    <row r="273" spans="1:17" ht="13.2" x14ac:dyDescent="0.25">
      <c r="A273" s="2">
        <f ca="1">IFERROR(__xludf.DUMMYFUNCTION("""COMPUTED_VALUE"""),44918.8177486921)</f>
        <v>44918.817748692098</v>
      </c>
      <c r="B273" s="1" t="str">
        <f ca="1">IFERROR(__xludf.DUMMYFUNCTION("""COMPUTED_VALUE"""),"India")</f>
        <v>India</v>
      </c>
      <c r="C273" s="1">
        <f ca="1">IFERROR(__xludf.DUMMYFUNCTION("""COMPUTED_VALUE"""),385001)</f>
        <v>385001</v>
      </c>
      <c r="D273" s="3" t="str">
        <f ca="1">IFERROR(__xludf.DUMMYFUNCTION("""COMPUTED_VALUE"""),"Female")</f>
        <v>Female</v>
      </c>
      <c r="E273" s="1" t="str">
        <f ca="1">IFERROR(__xludf.DUMMYFUNCTION("""COMPUTED_VALUE"""),"My Parents")</f>
        <v>My Parents</v>
      </c>
      <c r="F273" s="1" t="str">
        <f ca="1">IFERROR(__xludf.DUMMYFUNCTION("""COMPUTED_VALUE"""),"No I would not be pursuing Higher Education outside of India")</f>
        <v>No I would not be pursuing Higher Education outside of India</v>
      </c>
      <c r="G273" s="1" t="str">
        <f ca="1">IFERROR(__xludf.DUMMYFUNCTION("""COMPUTED_VALUE"""),"This will be hard to do, but if it is the right company I would try")</f>
        <v>This will be hard to do, but if it is the right company I would try</v>
      </c>
      <c r="H273" s="1" t="str">
        <f ca="1">IFERROR(__xludf.DUMMYFUNCTION("""COMPUTED_VALUE"""),"No")</f>
        <v>No</v>
      </c>
      <c r="I273" s="1" t="str">
        <f ca="1">IFERROR(__xludf.DUMMYFUNCTION("""COMPUTED_VALUE"""),"Will NOT work for them")</f>
        <v>Will NOT work for them</v>
      </c>
      <c r="J273" s="1">
        <f ca="1">IFERROR(__xludf.DUMMYFUNCTION("""COMPUTED_VALUE"""),3)</f>
        <v>3</v>
      </c>
      <c r="K273" s="1" t="str">
        <f ca="1">IFERROR(__xludf.DUMMYFUNCTION("""COMPUTED_VALUE"""),"Every Day Office Environment")</f>
        <v>Every Day Office Environment</v>
      </c>
      <c r="L273" s="1" t="str">
        <f ca="1">IFERROR(__xludf.DUMMYFUNCTION("""COMPUTED_VALUE"""),"Employer who appreciates learning and enables that environment")</f>
        <v>Employer who appreciates learning and enables that environment</v>
      </c>
      <c r="M273" s="1" t="str">
        <f ca="1">IFERROR(__xludf.DUMMYFUNCTION("""COMPUTED_VALUE"""),"Self Paced Learning Portals, Learning by observing others")</f>
        <v>Self Paced Learning Portals, Learning by observing others</v>
      </c>
      <c r="N273"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3" s="1" t="str">
        <f ca="1">IFERROR(__xludf.DUMMYFUNCTION("""COMPUTED_VALUE"""),"Manager who clearly describes what she/he needs")</f>
        <v>Manager who clearly describes what she/he needs</v>
      </c>
      <c r="P273" s="1" t="str">
        <f ca="1">IFERROR(__xludf.DUMMYFUNCTION("""COMPUTED_VALUE"""),"Work with more than 10 people in my team")</f>
        <v>Work with more than 10 people in my team</v>
      </c>
      <c r="Q273" s="1"/>
    </row>
    <row r="274" spans="1:17" ht="13.2" x14ac:dyDescent="0.25">
      <c r="A274" s="2">
        <f ca="1">IFERROR(__xludf.DUMMYFUNCTION("""COMPUTED_VALUE"""),44918.8226930208)</f>
        <v>44918.822693020797</v>
      </c>
      <c r="B274" s="1" t="str">
        <f ca="1">IFERROR(__xludf.DUMMYFUNCTION("""COMPUTED_VALUE"""),"India")</f>
        <v>India</v>
      </c>
      <c r="C274" s="1">
        <f ca="1">IFERROR(__xludf.DUMMYFUNCTION("""COMPUTED_VALUE"""),385001)</f>
        <v>385001</v>
      </c>
      <c r="D274" s="3" t="str">
        <f ca="1">IFERROR(__xludf.DUMMYFUNCTION("""COMPUTED_VALUE"""),"Female")</f>
        <v>Female</v>
      </c>
      <c r="E274" s="1" t="str">
        <f ca="1">IFERROR(__xludf.DUMMYFUNCTION("""COMPUTED_VALUE"""),"My Parents")</f>
        <v>My Parents</v>
      </c>
      <c r="F274" s="1" t="str">
        <f ca="1">IFERROR(__xludf.DUMMYFUNCTION("""COMPUTED_VALUE"""),"No I would not be pursuing Higher Education outside of India")</f>
        <v>No I would not be pursuing Higher Education outside of India</v>
      </c>
      <c r="G274" s="1" t="str">
        <f ca="1">IFERROR(__xludf.DUMMYFUNCTION("""COMPUTED_VALUE"""),"This will be hard to do, but if it is the right company I would try")</f>
        <v>This will be hard to do, but if it is the right company I would try</v>
      </c>
      <c r="H274" s="1" t="str">
        <f ca="1">IFERROR(__xludf.DUMMYFUNCTION("""COMPUTED_VALUE"""),"Yes")</f>
        <v>Yes</v>
      </c>
      <c r="I274" s="1" t="str">
        <f ca="1">IFERROR(__xludf.DUMMYFUNCTION("""COMPUTED_VALUE"""),"Will work for them")</f>
        <v>Will work for them</v>
      </c>
      <c r="J274" s="1">
        <f ca="1">IFERROR(__xludf.DUMMYFUNCTION("""COMPUTED_VALUE"""),9)</f>
        <v>9</v>
      </c>
      <c r="K274" s="1" t="str">
        <f ca="1">IFERROR(__xludf.DUMMYFUNCTION("""COMPUTED_VALUE"""),"Every Day Office Environment")</f>
        <v>Every Day Office Environment</v>
      </c>
      <c r="L274" s="1" t="str">
        <f ca="1">IFERROR(__xludf.DUMMYFUNCTION("""COMPUTED_VALUE"""),"Employer who pushes your limits and doesn't enables learning environment and never rewards you")</f>
        <v>Employer who pushes your limits and doesn't enables learning environment and never rewards you</v>
      </c>
      <c r="M274" s="1" t="str">
        <f ca="1">IFERROR(__xludf.DUMMYFUNCTION("""COMPUTED_VALUE"""),"Self Paced Learning Portals, Trial and error by doing side projects within the company")</f>
        <v>Self Paced Learning Portals, Trial and error by doing side projects within the company</v>
      </c>
      <c r="N274"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74" s="1" t="str">
        <f ca="1">IFERROR(__xludf.DUMMYFUNCTION("""COMPUTED_VALUE"""),"Manager who explains what is expected, sets a goal and helps achieve it")</f>
        <v>Manager who explains what is expected, sets a goal and helps achieve it</v>
      </c>
      <c r="P274" s="1" t="str">
        <f ca="1">IFERROR(__xludf.DUMMYFUNCTION("""COMPUTED_VALUE"""),"Work with 7 to 10 or more people in my team")</f>
        <v>Work with 7 to 10 or more people in my team</v>
      </c>
      <c r="Q274" s="1"/>
    </row>
    <row r="275" spans="1:17" ht="13.2" x14ac:dyDescent="0.25">
      <c r="A275" s="2">
        <f ca="1">IFERROR(__xludf.DUMMYFUNCTION("""COMPUTED_VALUE"""),44918.8316146412)</f>
        <v>44918.831614641203</v>
      </c>
      <c r="B275" s="1" t="str">
        <f ca="1">IFERROR(__xludf.DUMMYFUNCTION("""COMPUTED_VALUE"""),"India")</f>
        <v>India</v>
      </c>
      <c r="C275" s="1">
        <f ca="1">IFERROR(__xludf.DUMMYFUNCTION("""COMPUTED_VALUE"""),574102)</f>
        <v>574102</v>
      </c>
      <c r="D275" s="3" t="str">
        <f ca="1">IFERROR(__xludf.DUMMYFUNCTION("""COMPUTED_VALUE"""),"Male")</f>
        <v>Male</v>
      </c>
      <c r="E275" s="1" t="str">
        <f ca="1">IFERROR(__xludf.DUMMYFUNCTION("""COMPUTED_VALUE"""),"People from my circle, but not family members")</f>
        <v>People from my circle, but not family members</v>
      </c>
      <c r="F275" s="1" t="str">
        <f ca="1">IFERROR(__xludf.DUMMYFUNCTION("""COMPUTED_VALUE"""),"Yes, I will earn and do that")</f>
        <v>Yes, I will earn and do that</v>
      </c>
      <c r="G275" s="1" t="str">
        <f ca="1">IFERROR(__xludf.DUMMYFUNCTION("""COMPUTED_VALUE"""),"Will work for 3 years or more")</f>
        <v>Will work for 3 years or more</v>
      </c>
      <c r="H275" s="1" t="str">
        <f ca="1">IFERROR(__xludf.DUMMYFUNCTION("""COMPUTED_VALUE"""),"Yes")</f>
        <v>Yes</v>
      </c>
      <c r="I275" s="1" t="str">
        <f ca="1">IFERROR(__xludf.DUMMYFUNCTION("""COMPUTED_VALUE"""),"Will NOT work for them")</f>
        <v>Will NOT work for them</v>
      </c>
      <c r="J275" s="1">
        <f ca="1">IFERROR(__xludf.DUMMYFUNCTION("""COMPUTED_VALUE"""),9)</f>
        <v>9</v>
      </c>
      <c r="K275" s="1" t="str">
        <f ca="1">IFERROR(__xludf.DUMMYFUNCTION("""COMPUTED_VALUE"""),"Fully Remote with Options to travel as and when needed")</f>
        <v>Fully Remote with Options to travel as and when needed</v>
      </c>
      <c r="L275" s="1" t="str">
        <f ca="1">IFERROR(__xludf.DUMMYFUNCTION("""COMPUTED_VALUE"""),"Employer who rewards learning and enables that environment")</f>
        <v>Employer who rewards learning and enables that environment</v>
      </c>
      <c r="M275" s="1" t="str">
        <f ca="1">IFERROR(__xludf.DUMMYFUNCTION("""COMPUTED_VALUE"""),"Instructor or Expert Learning Programs, Trial and error by doing side projects within the company")</f>
        <v>Instructor or Expert Learning Programs, Trial and error by doing side projects within the company</v>
      </c>
      <c r="N275"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75" s="1" t="str">
        <f ca="1">IFERROR(__xludf.DUMMYFUNCTION("""COMPUTED_VALUE"""),"Manager who explains what is expected, sets a goal and helps achieve it")</f>
        <v>Manager who explains what is expected, sets a goal and helps achieve it</v>
      </c>
      <c r="P275" s="1" t="str">
        <f ca="1">IFERROR(__xludf.DUMMYFUNCTION("""COMPUTED_VALUE"""),"Work with 5 to 6 people in my team")</f>
        <v>Work with 5 to 6 people in my team</v>
      </c>
      <c r="Q275" s="1"/>
    </row>
    <row r="276" spans="1:17" ht="13.2" x14ac:dyDescent="0.25">
      <c r="A276" s="2">
        <f ca="1">IFERROR(__xludf.DUMMYFUNCTION("""COMPUTED_VALUE"""),44918.8425719675)</f>
        <v>44918.8425719675</v>
      </c>
      <c r="B276" s="1" t="str">
        <f ca="1">IFERROR(__xludf.DUMMYFUNCTION("""COMPUTED_VALUE"""),"India")</f>
        <v>India</v>
      </c>
      <c r="C276" s="1">
        <f ca="1">IFERROR(__xludf.DUMMYFUNCTION("""COMPUTED_VALUE"""),576221)</f>
        <v>576221</v>
      </c>
      <c r="D276" s="3" t="str">
        <f ca="1">IFERROR(__xludf.DUMMYFUNCTION("""COMPUTED_VALUE"""),"Female")</f>
        <v>Female</v>
      </c>
      <c r="E276" s="1" t="str">
        <f ca="1">IFERROR(__xludf.DUMMYFUNCTION("""COMPUTED_VALUE"""),"My Parents")</f>
        <v>My Parents</v>
      </c>
      <c r="F276" s="1" t="str">
        <f ca="1">IFERROR(__xludf.DUMMYFUNCTION("""COMPUTED_VALUE"""),"No I would not be pursuing Higher Education outside of India")</f>
        <v>No I would not be pursuing Higher Education outside of India</v>
      </c>
      <c r="G276" s="1" t="str">
        <f ca="1">IFERROR(__xludf.DUMMYFUNCTION("""COMPUTED_VALUE"""),"This will be hard to do, but if it is the right company I would try")</f>
        <v>This will be hard to do, but if it is the right company I would try</v>
      </c>
      <c r="H276" s="1" t="str">
        <f ca="1">IFERROR(__xludf.DUMMYFUNCTION("""COMPUTED_VALUE"""),"Yes")</f>
        <v>Yes</v>
      </c>
      <c r="I276" s="1" t="str">
        <f ca="1">IFERROR(__xludf.DUMMYFUNCTION("""COMPUTED_VALUE"""),"Will NOT work for them")</f>
        <v>Will NOT work for them</v>
      </c>
      <c r="J276" s="1">
        <f ca="1">IFERROR(__xludf.DUMMYFUNCTION("""COMPUTED_VALUE"""),4)</f>
        <v>4</v>
      </c>
      <c r="K276" s="1" t="str">
        <f ca="1">IFERROR(__xludf.DUMMYFUNCTION("""COMPUTED_VALUE"""),"Every Day Office Environment")</f>
        <v>Every Day Office Environment</v>
      </c>
      <c r="L276" s="1" t="str">
        <f ca="1">IFERROR(__xludf.DUMMYFUNCTION("""COMPUTED_VALUE"""),"Employer who rewards learning and enables that environment")</f>
        <v>Employer who rewards learning and enables that environment</v>
      </c>
      <c r="M276" s="1" t="str">
        <f ca="1">IFERROR(__xludf.DUMMYFUNCTION("""COMPUTED_VALUE"""),"Instructor or Expert Learning Programs, Learning by observing others")</f>
        <v>Instructor or Expert Learning Programs, Learning by observing others</v>
      </c>
      <c r="N276"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6" s="1" t="str">
        <f ca="1">IFERROR(__xludf.DUMMYFUNCTION("""COMPUTED_VALUE"""),"Manager who sets goal and helps me achieve it")</f>
        <v>Manager who sets goal and helps me achieve it</v>
      </c>
      <c r="P276" s="1" t="str">
        <f ca="1">IFERROR(__xludf.DUMMYFUNCTION("""COMPUTED_VALUE"""),"Work with 5 to 6 people in my team")</f>
        <v>Work with 5 to 6 people in my team</v>
      </c>
      <c r="Q276" s="1"/>
    </row>
    <row r="277" spans="1:17" ht="13.2" x14ac:dyDescent="0.25">
      <c r="A277" s="2">
        <f ca="1">IFERROR(__xludf.DUMMYFUNCTION("""COMPUTED_VALUE"""),44918.9005433217)</f>
        <v>44918.900543321703</v>
      </c>
      <c r="B277" s="1" t="str">
        <f ca="1">IFERROR(__xludf.DUMMYFUNCTION("""COMPUTED_VALUE"""),"India")</f>
        <v>India</v>
      </c>
      <c r="C277" s="1">
        <f ca="1">IFERROR(__xludf.DUMMYFUNCTION("""COMPUTED_VALUE"""),605008)</f>
        <v>605008</v>
      </c>
      <c r="D277" s="3" t="str">
        <f ca="1">IFERROR(__xludf.DUMMYFUNCTION("""COMPUTED_VALUE"""),"Female")</f>
        <v>Female</v>
      </c>
      <c r="E277" s="1" t="str">
        <f ca="1">IFERROR(__xludf.DUMMYFUNCTION("""COMPUTED_VALUE"""),"Social Media like LinkedIn")</f>
        <v>Social Media like LinkedIn</v>
      </c>
      <c r="F277" s="1" t="str">
        <f ca="1">IFERROR(__xludf.DUMMYFUNCTION("""COMPUTED_VALUE"""),"Yes, I will earn and do that")</f>
        <v>Yes, I will earn and do that</v>
      </c>
      <c r="G277" s="1" t="str">
        <f ca="1">IFERROR(__xludf.DUMMYFUNCTION("""COMPUTED_VALUE"""),"Will work for 3 years or more")</f>
        <v>Will work for 3 years or more</v>
      </c>
      <c r="H277" s="1" t="str">
        <f ca="1">IFERROR(__xludf.DUMMYFUNCTION("""COMPUTED_VALUE"""),"Yes")</f>
        <v>Yes</v>
      </c>
      <c r="I277" s="1" t="str">
        <f ca="1">IFERROR(__xludf.DUMMYFUNCTION("""COMPUTED_VALUE"""),"Will work for them")</f>
        <v>Will work for them</v>
      </c>
      <c r="J277" s="1">
        <f ca="1">IFERROR(__xludf.DUMMYFUNCTION("""COMPUTED_VALUE"""),5)</f>
        <v>5</v>
      </c>
      <c r="K277" s="1" t="str">
        <f ca="1">IFERROR(__xludf.DUMMYFUNCTION("""COMPUTED_VALUE"""),"Every Day Office Environment")</f>
        <v>Every Day Office Environment</v>
      </c>
      <c r="L277" s="1" t="str">
        <f ca="1">IFERROR(__xludf.DUMMYFUNCTION("""COMPUTED_VALUE"""),"Employer who rewards learning and enables that environment")</f>
        <v>Employer who rewards learning and enables that environment</v>
      </c>
      <c r="M277" s="1" t="str">
        <f ca="1">IFERROR(__xludf.DUMMYFUNCTION("""COMPUTED_VALUE"""),"Self Paced Learning Portals, Learning by observing others")</f>
        <v>Self Paced Learning Portals, Learning by observing others</v>
      </c>
      <c r="N277"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7" s="1" t="str">
        <f ca="1">IFERROR(__xludf.DUMMYFUNCTION("""COMPUTED_VALUE"""),"Manager who explains what is expected, sets a goal and helps achieve it")</f>
        <v>Manager who explains what is expected, sets a goal and helps achieve it</v>
      </c>
      <c r="P277" s="1" t="str">
        <f ca="1">IFERROR(__xludf.DUMMYFUNCTION("""COMPUTED_VALUE"""),"Work with 5 to 6 people in my team")</f>
        <v>Work with 5 to 6 people in my team</v>
      </c>
      <c r="Q277" s="1"/>
    </row>
    <row r="278" spans="1:17" ht="13.2" x14ac:dyDescent="0.25">
      <c r="A278" s="2">
        <f ca="1">IFERROR(__xludf.DUMMYFUNCTION("""COMPUTED_VALUE"""),44918.9024058912)</f>
        <v>44918.902405891196</v>
      </c>
      <c r="B278" s="1" t="str">
        <f ca="1">IFERROR(__xludf.DUMMYFUNCTION("""COMPUTED_VALUE"""),"India")</f>
        <v>India</v>
      </c>
      <c r="C278" s="1">
        <f ca="1">IFERROR(__xludf.DUMMYFUNCTION("""COMPUTED_VALUE"""),385120)</f>
        <v>385120</v>
      </c>
      <c r="D278" s="3" t="str">
        <f ca="1">IFERROR(__xludf.DUMMYFUNCTION("""COMPUTED_VALUE"""),"Male")</f>
        <v>Male</v>
      </c>
      <c r="E278" s="1" t="str">
        <f ca="1">IFERROR(__xludf.DUMMYFUNCTION("""COMPUTED_VALUE"""),"My Parents")</f>
        <v>My Parents</v>
      </c>
      <c r="F278" s="1" t="str">
        <f ca="1">IFERROR(__xludf.DUMMYFUNCTION("""COMPUTED_VALUE"""),"No I would not be pursuing Higher Education outside of India")</f>
        <v>No I would not be pursuing Higher Education outside of India</v>
      </c>
      <c r="G278" s="1" t="str">
        <f ca="1">IFERROR(__xludf.DUMMYFUNCTION("""COMPUTED_VALUE"""),"Will work for 3 years or more")</f>
        <v>Will work for 3 years or more</v>
      </c>
      <c r="H278" s="1" t="str">
        <f ca="1">IFERROR(__xludf.DUMMYFUNCTION("""COMPUTED_VALUE"""),"No")</f>
        <v>No</v>
      </c>
      <c r="I278" s="1" t="str">
        <f ca="1">IFERROR(__xludf.DUMMYFUNCTION("""COMPUTED_VALUE"""),"Will NOT work for them")</f>
        <v>Will NOT work for them</v>
      </c>
      <c r="J278" s="1">
        <f ca="1">IFERROR(__xludf.DUMMYFUNCTION("""COMPUTED_VALUE"""),1)</f>
        <v>1</v>
      </c>
      <c r="K278" s="1" t="str">
        <f ca="1">IFERROR(__xludf.DUMMYFUNCTION("""COMPUTED_VALUE"""),"Every Day Office Environment")</f>
        <v>Every Day Office Environment</v>
      </c>
      <c r="L278" s="1" t="str">
        <f ca="1">IFERROR(__xludf.DUMMYFUNCTION("""COMPUTED_VALUE"""),"Employer who appreciates learning and enables that environment")</f>
        <v>Employer who appreciates learning and enables that environment</v>
      </c>
      <c r="M278" s="1" t="str">
        <f ca="1">IFERROR(__xludf.DUMMYFUNCTION("""COMPUTED_VALUE"""),"Instructor or Expert Learning Programs, Learning by observing others")</f>
        <v>Instructor or Expert Learning Programs, Learning by observing others</v>
      </c>
      <c r="N2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8" s="1" t="str">
        <f ca="1">IFERROR(__xludf.DUMMYFUNCTION("""COMPUTED_VALUE"""),"Manager who explains what is expected, sets a goal and helps achieve it")</f>
        <v>Manager who explains what is expected, sets a goal and helps achieve it</v>
      </c>
      <c r="P278" s="1" t="str">
        <f ca="1">IFERROR(__xludf.DUMMYFUNCTION("""COMPUTED_VALUE"""),"Work with 5 to 6 people in my team")</f>
        <v>Work with 5 to 6 people in my team</v>
      </c>
      <c r="Q278" s="1"/>
    </row>
    <row r="279" spans="1:17" ht="13.2" x14ac:dyDescent="0.25">
      <c r="A279" s="2">
        <f ca="1">IFERROR(__xludf.DUMMYFUNCTION("""COMPUTED_VALUE"""),44918.9036249421)</f>
        <v>44918.903624942097</v>
      </c>
      <c r="B279" s="1" t="str">
        <f ca="1">IFERROR(__xludf.DUMMYFUNCTION("""COMPUTED_VALUE"""),"India")</f>
        <v>India</v>
      </c>
      <c r="C279" s="1">
        <f ca="1">IFERROR(__xludf.DUMMYFUNCTION("""COMPUTED_VALUE"""),605601)</f>
        <v>605601</v>
      </c>
      <c r="D279" s="3" t="str">
        <f ca="1">IFERROR(__xludf.DUMMYFUNCTION("""COMPUTED_VALUE"""),"Male")</f>
        <v>Male</v>
      </c>
      <c r="E279" s="1" t="str">
        <f ca="1">IFERROR(__xludf.DUMMYFUNCTION("""COMPUTED_VALUE"""),"My Parents")</f>
        <v>My Parents</v>
      </c>
      <c r="F279" s="1" t="str">
        <f ca="1">IFERROR(__xludf.DUMMYFUNCTION("""COMPUTED_VALUE"""),"No I would not be pursuing Higher Education outside of India")</f>
        <v>No I would not be pursuing Higher Education outside of India</v>
      </c>
      <c r="G279" s="1" t="str">
        <f ca="1">IFERROR(__xludf.DUMMYFUNCTION("""COMPUTED_VALUE"""),"Will work for 3 years or more")</f>
        <v>Will work for 3 years or more</v>
      </c>
      <c r="H279" s="1" t="str">
        <f ca="1">IFERROR(__xludf.DUMMYFUNCTION("""COMPUTED_VALUE"""),"Yes")</f>
        <v>Yes</v>
      </c>
      <c r="I279" s="1" t="str">
        <f ca="1">IFERROR(__xludf.DUMMYFUNCTION("""COMPUTED_VALUE"""),"Will work for them")</f>
        <v>Will work for them</v>
      </c>
      <c r="J279" s="1">
        <f ca="1">IFERROR(__xludf.DUMMYFUNCTION("""COMPUTED_VALUE"""),1)</f>
        <v>1</v>
      </c>
      <c r="K279" s="1" t="str">
        <f ca="1">IFERROR(__xludf.DUMMYFUNCTION("""COMPUTED_VALUE"""),"Hybrid Working Environment with less than 3 days a month at office")</f>
        <v>Hybrid Working Environment with less than 3 days a month at office</v>
      </c>
      <c r="L279" s="1" t="str">
        <f ca="1">IFERROR(__xludf.DUMMYFUNCTION("""COMPUTED_VALUE"""),"Employer who rewards learning and enables that environment")</f>
        <v>Employer who rewards learning and enables that environment</v>
      </c>
      <c r="M279" s="1" t="str">
        <f ca="1">IFERROR(__xludf.DUMMYFUNCTION("""COMPUTED_VALUE"""),"Self Paced Learning Portals, Trial and error by doing side projects within the company")</f>
        <v>Self Paced Learning Portals, Trial and error by doing side projects within the company</v>
      </c>
      <c r="N279"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9" s="1" t="str">
        <f ca="1">IFERROR(__xludf.DUMMYFUNCTION("""COMPUTED_VALUE"""),"Manager who explains what is expected, sets a goal and helps achieve it")</f>
        <v>Manager who explains what is expected, sets a goal and helps achieve it</v>
      </c>
      <c r="P279" s="1" t="str">
        <f ca="1">IFERROR(__xludf.DUMMYFUNCTION("""COMPUTED_VALUE"""),"Work alone")</f>
        <v>Work alone</v>
      </c>
      <c r="Q279" s="1"/>
    </row>
    <row r="280" spans="1:17" ht="13.2" x14ac:dyDescent="0.25">
      <c r="A280" s="2">
        <f ca="1">IFERROR(__xludf.DUMMYFUNCTION("""COMPUTED_VALUE"""),44918.9125017708)</f>
        <v>44918.912501770799</v>
      </c>
      <c r="B280" s="1" t="str">
        <f ca="1">IFERROR(__xludf.DUMMYFUNCTION("""COMPUTED_VALUE"""),"India")</f>
        <v>India</v>
      </c>
      <c r="C280" s="1">
        <f ca="1">IFERROR(__xludf.DUMMYFUNCTION("""COMPUTED_VALUE"""),385001)</f>
        <v>385001</v>
      </c>
      <c r="D280" s="3" t="str">
        <f ca="1">IFERROR(__xludf.DUMMYFUNCTION("""COMPUTED_VALUE"""),"Female")</f>
        <v>Female</v>
      </c>
      <c r="E280" s="1" t="str">
        <f ca="1">IFERROR(__xludf.DUMMYFUNCTION("""COMPUTED_VALUE"""),"My Parents")</f>
        <v>My Parents</v>
      </c>
      <c r="F280" s="1" t="str">
        <f ca="1">IFERROR(__xludf.DUMMYFUNCTION("""COMPUTED_VALUE"""),"No, But if someone could bare the cost I will")</f>
        <v>No, But if someone could bare the cost I will</v>
      </c>
      <c r="G280" s="1" t="str">
        <f ca="1">IFERROR(__xludf.DUMMYFUNCTION("""COMPUTED_VALUE"""),"This will be hard to do, but if it is the right company I would try")</f>
        <v>This will be hard to do, but if it is the right company I would try</v>
      </c>
      <c r="H280" s="1" t="str">
        <f ca="1">IFERROR(__xludf.DUMMYFUNCTION("""COMPUTED_VALUE"""),"No")</f>
        <v>No</v>
      </c>
      <c r="I280" s="1" t="str">
        <f ca="1">IFERROR(__xludf.DUMMYFUNCTION("""COMPUTED_VALUE"""),"Will NOT work for them")</f>
        <v>Will NOT work for them</v>
      </c>
      <c r="J280" s="1">
        <f ca="1">IFERROR(__xludf.DUMMYFUNCTION("""COMPUTED_VALUE"""),5)</f>
        <v>5</v>
      </c>
      <c r="K280" s="1" t="str">
        <f ca="1">IFERROR(__xludf.DUMMYFUNCTION("""COMPUTED_VALUE"""),"Every Day Office Environment")</f>
        <v>Every Day Office Environment</v>
      </c>
      <c r="L280" s="1" t="str">
        <f ca="1">IFERROR(__xludf.DUMMYFUNCTION("""COMPUTED_VALUE"""),"Employer who rewards learning and enables that environment")</f>
        <v>Employer who rewards learning and enables that environment</v>
      </c>
      <c r="M280" s="1" t="str">
        <f ca="1">IFERROR(__xludf.DUMMYFUNCTION("""COMPUTED_VALUE"""),"Self Paced Learning Portals, Learning by observing others")</f>
        <v>Self Paced Learning Portals, Learning by observing others</v>
      </c>
      <c r="N28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0" s="1" t="str">
        <f ca="1">IFERROR(__xludf.DUMMYFUNCTION("""COMPUTED_VALUE"""),"Manager who explains what is expected, sets a goal and helps achieve it")</f>
        <v>Manager who explains what is expected, sets a goal and helps achieve it</v>
      </c>
      <c r="P280" s="1" t="str">
        <f ca="1">IFERROR(__xludf.DUMMYFUNCTION("""COMPUTED_VALUE"""),"Work with 2 to 3 people in my team")</f>
        <v>Work with 2 to 3 people in my team</v>
      </c>
      <c r="Q280" s="1"/>
    </row>
    <row r="281" spans="1:17" ht="13.2" x14ac:dyDescent="0.25">
      <c r="A281" s="2">
        <f ca="1">IFERROR(__xludf.DUMMYFUNCTION("""COMPUTED_VALUE"""),44918.9128643171)</f>
        <v>44918.912864317099</v>
      </c>
      <c r="B281" s="1" t="str">
        <f ca="1">IFERROR(__xludf.DUMMYFUNCTION("""COMPUTED_VALUE"""),"India")</f>
        <v>India</v>
      </c>
      <c r="C281" s="1">
        <f ca="1">IFERROR(__xludf.DUMMYFUNCTION("""COMPUTED_VALUE"""),607301)</f>
        <v>607301</v>
      </c>
      <c r="D281" s="3" t="str">
        <f ca="1">IFERROR(__xludf.DUMMYFUNCTION("""COMPUTED_VALUE"""),"Male")</f>
        <v>Male</v>
      </c>
      <c r="E281" s="1" t="str">
        <f ca="1">IFERROR(__xludf.DUMMYFUNCTION("""COMPUTED_VALUE"""),"My Parents")</f>
        <v>My Parents</v>
      </c>
      <c r="F281" s="1" t="str">
        <f ca="1">IFERROR(__xludf.DUMMYFUNCTION("""COMPUTED_VALUE"""),"Yes, I will earn and do that")</f>
        <v>Yes, I will earn and do that</v>
      </c>
      <c r="G281" s="1" t="str">
        <f ca="1">IFERROR(__xludf.DUMMYFUNCTION("""COMPUTED_VALUE"""),"Will work for 3 years or more")</f>
        <v>Will work for 3 years or more</v>
      </c>
      <c r="H281" s="1" t="str">
        <f ca="1">IFERROR(__xludf.DUMMYFUNCTION("""COMPUTED_VALUE"""),"No")</f>
        <v>No</v>
      </c>
      <c r="I281" s="1" t="str">
        <f ca="1">IFERROR(__xludf.DUMMYFUNCTION("""COMPUTED_VALUE"""),"Will NOT work for them")</f>
        <v>Will NOT work for them</v>
      </c>
      <c r="J281" s="1">
        <f ca="1">IFERROR(__xludf.DUMMYFUNCTION("""COMPUTED_VALUE"""),5)</f>
        <v>5</v>
      </c>
      <c r="K281" s="1" t="str">
        <f ca="1">IFERROR(__xludf.DUMMYFUNCTION("""COMPUTED_VALUE"""),"Fully Remote with Options to travel as and when needed")</f>
        <v>Fully Remote with Options to travel as and when needed</v>
      </c>
      <c r="L281" s="1" t="str">
        <f ca="1">IFERROR(__xludf.DUMMYFUNCTION("""COMPUTED_VALUE"""),"Employer who appreciates learning and enables that environment")</f>
        <v>Employer who appreciates learning and enables that environment</v>
      </c>
      <c r="M281" s="1" t="str">
        <f ca="1">IFERROR(__xludf.DUMMYFUNCTION("""COMPUTED_VALUE"""),"Self Paced Learning Portals, Learning by observing others")</f>
        <v>Self Paced Learning Portals, Learning by observing others</v>
      </c>
      <c r="N281"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81" s="1" t="str">
        <f ca="1">IFERROR(__xludf.DUMMYFUNCTION("""COMPUTED_VALUE"""),"Manager who sets goal and helps me achieve it")</f>
        <v>Manager who sets goal and helps me achieve it</v>
      </c>
      <c r="P281" s="1" t="str">
        <f ca="1">IFERROR(__xludf.DUMMYFUNCTION("""COMPUTED_VALUE"""),"Work alone")</f>
        <v>Work alone</v>
      </c>
      <c r="Q281" s="1"/>
    </row>
    <row r="282" spans="1:17" ht="13.2" x14ac:dyDescent="0.25">
      <c r="A282" s="2">
        <f ca="1">IFERROR(__xludf.DUMMYFUNCTION("""COMPUTED_VALUE"""),44918.9228122106)</f>
        <v>44918.9228122106</v>
      </c>
      <c r="B282" s="1" t="str">
        <f ca="1">IFERROR(__xludf.DUMMYFUNCTION("""COMPUTED_VALUE"""),"India")</f>
        <v>India</v>
      </c>
      <c r="C282" s="1">
        <f ca="1">IFERROR(__xludf.DUMMYFUNCTION("""COMPUTED_VALUE"""),576229)</f>
        <v>576229</v>
      </c>
      <c r="D282" s="3" t="str">
        <f ca="1">IFERROR(__xludf.DUMMYFUNCTION("""COMPUTED_VALUE"""),"Female")</f>
        <v>Female</v>
      </c>
      <c r="E282" s="1" t="str">
        <f ca="1">IFERROR(__xludf.DUMMYFUNCTION("""COMPUTED_VALUE"""),"My Parents")</f>
        <v>My Parents</v>
      </c>
      <c r="F282" s="1" t="str">
        <f ca="1">IFERROR(__xludf.DUMMYFUNCTION("""COMPUTED_VALUE"""),"No I would not be pursuing Higher Education outside of India")</f>
        <v>No I would not be pursuing Higher Education outside of India</v>
      </c>
      <c r="G282" s="1" t="str">
        <f ca="1">IFERROR(__xludf.DUMMYFUNCTION("""COMPUTED_VALUE"""),"This will be hard to do, but if it is the right company I would try")</f>
        <v>This will be hard to do, but if it is the right company I would try</v>
      </c>
      <c r="H282" s="1" t="str">
        <f ca="1">IFERROR(__xludf.DUMMYFUNCTION("""COMPUTED_VALUE"""),"No")</f>
        <v>No</v>
      </c>
      <c r="I282" s="1" t="str">
        <f ca="1">IFERROR(__xludf.DUMMYFUNCTION("""COMPUTED_VALUE"""),"Will NOT work for them")</f>
        <v>Will NOT work for them</v>
      </c>
      <c r="J282" s="1">
        <f ca="1">IFERROR(__xludf.DUMMYFUNCTION("""COMPUTED_VALUE"""),3)</f>
        <v>3</v>
      </c>
      <c r="K282" s="1" t="str">
        <f ca="1">IFERROR(__xludf.DUMMYFUNCTION("""COMPUTED_VALUE"""),"Hybrid Working Environment with less than 15 days a month at office")</f>
        <v>Hybrid Working Environment with less than 15 days a month at office</v>
      </c>
      <c r="L282" s="1" t="str">
        <f ca="1">IFERROR(__xludf.DUMMYFUNCTION("""COMPUTED_VALUE"""),"Employer who pushes your limits by enabling an learning environment, and rewards you at the end")</f>
        <v>Employer who pushes your limits by enabling an learning environment, and rewards you at the end</v>
      </c>
      <c r="M282" s="1" t="str">
        <f ca="1">IFERROR(__xludf.DUMMYFUNCTION("""COMPUTED_VALUE"""),"Instructor or Expert Learning Programs, Trial and error by doing side projects within the company")</f>
        <v>Instructor or Expert Learning Programs, Trial and error by doing side projects within the company</v>
      </c>
      <c r="N282"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282" s="1" t="str">
        <f ca="1">IFERROR(__xludf.DUMMYFUNCTION("""COMPUTED_VALUE"""),"Manager who explains what is expected, sets a goal and helps achieve it")</f>
        <v>Manager who explains what is expected, sets a goal and helps achieve it</v>
      </c>
      <c r="P282" s="1" t="str">
        <f ca="1">IFERROR(__xludf.DUMMYFUNCTION("""COMPUTED_VALUE"""),"Work with 5 to 6 people in my team")</f>
        <v>Work with 5 to 6 people in my team</v>
      </c>
      <c r="Q282" s="1"/>
    </row>
    <row r="283" spans="1:17" ht="13.2" x14ac:dyDescent="0.25">
      <c r="A283" s="2">
        <f ca="1">IFERROR(__xludf.DUMMYFUNCTION("""COMPUTED_VALUE"""),44918.9581378125)</f>
        <v>44918.9581378125</v>
      </c>
      <c r="B283" s="1" t="str">
        <f ca="1">IFERROR(__xludf.DUMMYFUNCTION("""COMPUTED_VALUE"""),"India")</f>
        <v>India</v>
      </c>
      <c r="C283" s="1">
        <f ca="1">IFERROR(__xludf.DUMMYFUNCTION("""COMPUTED_VALUE"""),385001)</f>
        <v>385001</v>
      </c>
      <c r="D283" s="3" t="str">
        <f ca="1">IFERROR(__xludf.DUMMYFUNCTION("""COMPUTED_VALUE"""),"Male")</f>
        <v>Male</v>
      </c>
      <c r="E283" s="1" t="str">
        <f ca="1">IFERROR(__xludf.DUMMYFUNCTION("""COMPUTED_VALUE"""),"My Parents")</f>
        <v>My Parents</v>
      </c>
      <c r="F283" s="1" t="str">
        <f ca="1">IFERROR(__xludf.DUMMYFUNCTION("""COMPUTED_VALUE"""),"Yes, I will earn and do that")</f>
        <v>Yes, I will earn and do that</v>
      </c>
      <c r="G283" s="1" t="str">
        <f ca="1">IFERROR(__xludf.DUMMYFUNCTION("""COMPUTED_VALUE"""),"This will be hard to do, but if it is the right company I would try")</f>
        <v>This will be hard to do, but if it is the right company I would try</v>
      </c>
      <c r="H283" s="1" t="str">
        <f ca="1">IFERROR(__xludf.DUMMYFUNCTION("""COMPUTED_VALUE"""),"No")</f>
        <v>No</v>
      </c>
      <c r="I283" s="1" t="str">
        <f ca="1">IFERROR(__xludf.DUMMYFUNCTION("""COMPUTED_VALUE"""),"Will NOT work for them")</f>
        <v>Will NOT work for them</v>
      </c>
      <c r="J283" s="1">
        <f ca="1">IFERROR(__xludf.DUMMYFUNCTION("""COMPUTED_VALUE"""),7)</f>
        <v>7</v>
      </c>
      <c r="K283" s="1" t="str">
        <f ca="1">IFERROR(__xludf.DUMMYFUNCTION("""COMPUTED_VALUE"""),"Fully Remote with Options to travel as and when needed")</f>
        <v>Fully Remote with Options to travel as and when needed</v>
      </c>
      <c r="L283" s="1" t="str">
        <f ca="1">IFERROR(__xludf.DUMMYFUNCTION("""COMPUTED_VALUE"""),"Employer who pushes your limits by enabling an learning environment, and rewards you at the end")</f>
        <v>Employer who pushes your limits by enabling an learning environment, and rewards you at the end</v>
      </c>
      <c r="M283" s="1" t="str">
        <f ca="1">IFERROR(__xludf.DUMMYFUNCTION("""COMPUTED_VALUE"""),"Instructor or Expert Learning Programs, Learning by observing others")</f>
        <v>Instructor or Expert Learning Programs, Learning by observing others</v>
      </c>
      <c r="N28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83" s="1" t="str">
        <f ca="1">IFERROR(__xludf.DUMMYFUNCTION("""COMPUTED_VALUE"""),"Manager who explains what is expected, sets a goal and helps achieve it")</f>
        <v>Manager who explains what is expected, sets a goal and helps achieve it</v>
      </c>
      <c r="P283" s="1" t="str">
        <f ca="1">IFERROR(__xludf.DUMMYFUNCTION("""COMPUTED_VALUE"""),"Work with more than 10 people in my team")</f>
        <v>Work with more than 10 people in my team</v>
      </c>
      <c r="Q283" s="1"/>
    </row>
    <row r="284" spans="1:17" ht="13.2" x14ac:dyDescent="0.25">
      <c r="A284" s="2">
        <f ca="1">IFERROR(__xludf.DUMMYFUNCTION("""COMPUTED_VALUE"""),44918.9781476967)</f>
        <v>44918.978147696696</v>
      </c>
      <c r="B284" s="1" t="str">
        <f ca="1">IFERROR(__xludf.DUMMYFUNCTION("""COMPUTED_VALUE"""),"India")</f>
        <v>India</v>
      </c>
      <c r="C284" s="1">
        <f ca="1">IFERROR(__xludf.DUMMYFUNCTION("""COMPUTED_VALUE"""),385001)</f>
        <v>385001</v>
      </c>
      <c r="D284" s="3" t="str">
        <f ca="1">IFERROR(__xludf.DUMMYFUNCTION("""COMPUTED_VALUE"""),"Female")</f>
        <v>Female</v>
      </c>
      <c r="E284" s="1" t="str">
        <f ca="1">IFERROR(__xludf.DUMMYFUNCTION("""COMPUTED_VALUE"""),"People who have changed the world for better")</f>
        <v>People who have changed the world for better</v>
      </c>
      <c r="F284" s="1" t="str">
        <f ca="1">IFERROR(__xludf.DUMMYFUNCTION("""COMPUTED_VALUE"""),"No I would not be pursuing Higher Education outside of India")</f>
        <v>No I would not be pursuing Higher Education outside of India</v>
      </c>
      <c r="G284" s="1" t="str">
        <f ca="1">IFERROR(__xludf.DUMMYFUNCTION("""COMPUTED_VALUE"""),"This will be hard to do, but if it is the right company I would try")</f>
        <v>This will be hard to do, but if it is the right company I would try</v>
      </c>
      <c r="H284" s="1" t="str">
        <f ca="1">IFERROR(__xludf.DUMMYFUNCTION("""COMPUTED_VALUE"""),"No")</f>
        <v>No</v>
      </c>
      <c r="I284" s="1" t="str">
        <f ca="1">IFERROR(__xludf.DUMMYFUNCTION("""COMPUTED_VALUE"""),"Will NOT work for them")</f>
        <v>Will NOT work for them</v>
      </c>
      <c r="J284" s="1">
        <f ca="1">IFERROR(__xludf.DUMMYFUNCTION("""COMPUTED_VALUE"""),1)</f>
        <v>1</v>
      </c>
      <c r="K284" s="1" t="str">
        <f ca="1">IFERROR(__xludf.DUMMYFUNCTION("""COMPUTED_VALUE"""),"Fully Remote with Options to travel as and when needed")</f>
        <v>Fully Remote with Options to travel as and when needed</v>
      </c>
      <c r="L284" s="1" t="str">
        <f ca="1">IFERROR(__xludf.DUMMYFUNCTION("""COMPUTED_VALUE"""),"Employer who pushes your limits by enabling an learning environment, and rewards you at the end")</f>
        <v>Employer who pushes your limits by enabling an learning environment, and rewards you at the end</v>
      </c>
      <c r="M284" s="1" t="str">
        <f ca="1">IFERROR(__xludf.DUMMYFUNCTION("""COMPUTED_VALUE"""),"Instructor or Expert Learning Programs, Learning by observing others")</f>
        <v>Instructor or Expert Learning Programs, Learning by observing others</v>
      </c>
      <c r="N284"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84" s="1" t="str">
        <f ca="1">IFERROR(__xludf.DUMMYFUNCTION("""COMPUTED_VALUE"""),"Manager who clearly describes what she/he needs")</f>
        <v>Manager who clearly describes what she/he needs</v>
      </c>
      <c r="P284" s="1" t="str">
        <f ca="1">IFERROR(__xludf.DUMMYFUNCTION("""COMPUTED_VALUE"""),"Work with 2 to 3 people in my team")</f>
        <v>Work with 2 to 3 people in my team</v>
      </c>
      <c r="Q284" s="1"/>
    </row>
    <row r="285" spans="1:17" ht="13.2" x14ac:dyDescent="0.25">
      <c r="A285" s="2">
        <f ca="1">IFERROR(__xludf.DUMMYFUNCTION("""COMPUTED_VALUE"""),44919.2661134143)</f>
        <v>44919.266113414298</v>
      </c>
      <c r="B285" s="1" t="str">
        <f ca="1">IFERROR(__xludf.DUMMYFUNCTION("""COMPUTED_VALUE"""),"India")</f>
        <v>India</v>
      </c>
      <c r="C285" s="1">
        <f ca="1">IFERROR(__xludf.DUMMYFUNCTION("""COMPUTED_VALUE"""),385210)</f>
        <v>385210</v>
      </c>
      <c r="D285" s="3" t="str">
        <f ca="1">IFERROR(__xludf.DUMMYFUNCTION("""COMPUTED_VALUE"""),"Male")</f>
        <v>Male</v>
      </c>
      <c r="E285" s="1" t="str">
        <f ca="1">IFERROR(__xludf.DUMMYFUNCTION("""COMPUTED_VALUE"""),"My Parents")</f>
        <v>My Parents</v>
      </c>
      <c r="F285" s="1" t="str">
        <f ca="1">IFERROR(__xludf.DUMMYFUNCTION("""COMPUTED_VALUE"""),"No, But if someone could bare the cost I will")</f>
        <v>No, But if someone could bare the cost I will</v>
      </c>
      <c r="G285" s="1" t="str">
        <f ca="1">IFERROR(__xludf.DUMMYFUNCTION("""COMPUTED_VALUE"""),"This will be hard to do, but if it is the right company I would try")</f>
        <v>This will be hard to do, but if it is the right company I would try</v>
      </c>
      <c r="H285" s="1" t="str">
        <f ca="1">IFERROR(__xludf.DUMMYFUNCTION("""COMPUTED_VALUE"""),"Yes")</f>
        <v>Yes</v>
      </c>
      <c r="I285" s="1" t="str">
        <f ca="1">IFERROR(__xludf.DUMMYFUNCTION("""COMPUTED_VALUE"""),"Will work for them")</f>
        <v>Will work for them</v>
      </c>
      <c r="J285" s="1">
        <f ca="1">IFERROR(__xludf.DUMMYFUNCTION("""COMPUTED_VALUE"""),4)</f>
        <v>4</v>
      </c>
      <c r="K285" s="1" t="str">
        <f ca="1">IFERROR(__xludf.DUMMYFUNCTION("""COMPUTED_VALUE"""),"Hybrid Working Environment with less than 15 days a month at office")</f>
        <v>Hybrid Working Environment with less than 15 days a month at office</v>
      </c>
      <c r="L285" s="1" t="str">
        <f ca="1">IFERROR(__xludf.DUMMYFUNCTION("""COMPUTED_VALUE"""),"Employer who pushes your limits by enabling an learning environment, and rewards you at the end")</f>
        <v>Employer who pushes your limits by enabling an learning environment, and rewards you at the end</v>
      </c>
      <c r="M285" s="1" t="str">
        <f ca="1">IFERROR(__xludf.DUMMYFUNCTION("""COMPUTED_VALUE"""),"Instructor or Expert Learning Programs, Learning by observing others")</f>
        <v>Instructor or Expert Learning Programs, Learning by observing others</v>
      </c>
      <c r="N285"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85" s="1" t="str">
        <f ca="1">IFERROR(__xludf.DUMMYFUNCTION("""COMPUTED_VALUE"""),"Manager who clearly describes what she/he needs")</f>
        <v>Manager who clearly describes what she/he needs</v>
      </c>
      <c r="P285" s="1" t="str">
        <f ca="1">IFERROR(__xludf.DUMMYFUNCTION("""COMPUTED_VALUE"""),"Work alone")</f>
        <v>Work alone</v>
      </c>
      <c r="Q285" s="1"/>
    </row>
    <row r="286" spans="1:17" ht="13.2" x14ac:dyDescent="0.25">
      <c r="A286" s="2">
        <f ca="1">IFERROR(__xludf.DUMMYFUNCTION("""COMPUTED_VALUE"""),44919.3857185185)</f>
        <v>44919.385718518497</v>
      </c>
      <c r="B286" s="1" t="str">
        <f ca="1">IFERROR(__xludf.DUMMYFUNCTION("""COMPUTED_VALUE"""),"India")</f>
        <v>India</v>
      </c>
      <c r="C286" s="1">
        <f ca="1">IFERROR(__xludf.DUMMYFUNCTION("""COMPUTED_VALUE"""),574611)</f>
        <v>574611</v>
      </c>
      <c r="D286" s="3" t="str">
        <f ca="1">IFERROR(__xludf.DUMMYFUNCTION("""COMPUTED_VALUE"""),"Female")</f>
        <v>Female</v>
      </c>
      <c r="E286" s="1" t="str">
        <f ca="1">IFERROR(__xludf.DUMMYFUNCTION("""COMPUTED_VALUE"""),"Influencers who had successful careers")</f>
        <v>Influencers who had successful careers</v>
      </c>
      <c r="F286" s="1" t="str">
        <f ca="1">IFERROR(__xludf.DUMMYFUNCTION("""COMPUTED_VALUE"""),"No I would not be pursuing Higher Education outside of India")</f>
        <v>No I would not be pursuing Higher Education outside of India</v>
      </c>
      <c r="G286" s="1" t="str">
        <f ca="1">IFERROR(__xludf.DUMMYFUNCTION("""COMPUTED_VALUE"""),"Will work for 3 years or more")</f>
        <v>Will work for 3 years or more</v>
      </c>
      <c r="H286" s="1" t="str">
        <f ca="1">IFERROR(__xludf.DUMMYFUNCTION("""COMPUTED_VALUE"""),"No")</f>
        <v>No</v>
      </c>
      <c r="I286" s="1" t="str">
        <f ca="1">IFERROR(__xludf.DUMMYFUNCTION("""COMPUTED_VALUE"""),"Will NOT work for them")</f>
        <v>Will NOT work for them</v>
      </c>
      <c r="J286" s="1">
        <f ca="1">IFERROR(__xludf.DUMMYFUNCTION("""COMPUTED_VALUE"""),6)</f>
        <v>6</v>
      </c>
      <c r="K286" s="1" t="str">
        <f ca="1">IFERROR(__xludf.DUMMYFUNCTION("""COMPUTED_VALUE"""),"Every Day Office Environment")</f>
        <v>Every Day Office Environment</v>
      </c>
      <c r="L286" s="1" t="str">
        <f ca="1">IFERROR(__xludf.DUMMYFUNCTION("""COMPUTED_VALUE"""),"Employer who appreciates learning and enables that environment")</f>
        <v>Employer who appreciates learning and enables that environment</v>
      </c>
      <c r="M286" s="1" t="str">
        <f ca="1">IFERROR(__xludf.DUMMYFUNCTION("""COMPUTED_VALUE"""),"Instructor or Expert Learning Programs, Learning by observing others")</f>
        <v>Instructor or Expert Learning Programs, Learning by observing others</v>
      </c>
      <c r="N28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86" s="1" t="str">
        <f ca="1">IFERROR(__xludf.DUMMYFUNCTION("""COMPUTED_VALUE"""),"Manager who clearly describes what she/he needs")</f>
        <v>Manager who clearly describes what she/he needs</v>
      </c>
      <c r="P286" s="1" t="str">
        <f ca="1">IFERROR(__xludf.DUMMYFUNCTION("""COMPUTED_VALUE"""),"Work with 5 to 6 people in my team")</f>
        <v>Work with 5 to 6 people in my team</v>
      </c>
      <c r="Q286" s="1"/>
    </row>
    <row r="287" spans="1:17" ht="13.2" x14ac:dyDescent="0.25">
      <c r="A287" s="2">
        <f ca="1">IFERROR(__xludf.DUMMYFUNCTION("""COMPUTED_VALUE"""),44919.4026261689)</f>
        <v>44919.4026261689</v>
      </c>
      <c r="B287" s="1" t="str">
        <f ca="1">IFERROR(__xludf.DUMMYFUNCTION("""COMPUTED_VALUE"""),"India")</f>
        <v>India</v>
      </c>
      <c r="C287" s="1">
        <f ca="1">IFERROR(__xludf.DUMMYFUNCTION("""COMPUTED_VALUE"""),574103)</f>
        <v>574103</v>
      </c>
      <c r="D287" s="3" t="str">
        <f ca="1">IFERROR(__xludf.DUMMYFUNCTION("""COMPUTED_VALUE"""),"Male")</f>
        <v>Male</v>
      </c>
      <c r="E287" s="1" t="str">
        <f ca="1">IFERROR(__xludf.DUMMYFUNCTION("""COMPUTED_VALUE"""),"People who have changed the world for better")</f>
        <v>People who have changed the world for better</v>
      </c>
      <c r="F287" s="1" t="str">
        <f ca="1">IFERROR(__xludf.DUMMYFUNCTION("""COMPUTED_VALUE"""),"Yes, I will earn and do that")</f>
        <v>Yes, I will earn and do that</v>
      </c>
      <c r="G287" s="1" t="str">
        <f ca="1">IFERROR(__xludf.DUMMYFUNCTION("""COMPUTED_VALUE"""),"Will work for 3 years or more")</f>
        <v>Will work for 3 years or more</v>
      </c>
      <c r="H287" s="1" t="str">
        <f ca="1">IFERROR(__xludf.DUMMYFUNCTION("""COMPUTED_VALUE"""),"Yes")</f>
        <v>Yes</v>
      </c>
      <c r="I287" s="1" t="str">
        <f ca="1">IFERROR(__xludf.DUMMYFUNCTION("""COMPUTED_VALUE"""),"Will NOT work for them")</f>
        <v>Will NOT work for them</v>
      </c>
      <c r="J287" s="1">
        <f ca="1">IFERROR(__xludf.DUMMYFUNCTION("""COMPUTED_VALUE"""),7)</f>
        <v>7</v>
      </c>
      <c r="K287" s="1" t="str">
        <f ca="1">IFERROR(__xludf.DUMMYFUNCTION("""COMPUTED_VALUE"""),"Hybrid Working Environment with less than 10 days a month at office")</f>
        <v>Hybrid Working Environment with less than 10 days a month at office</v>
      </c>
      <c r="L287" s="1" t="str">
        <f ca="1">IFERROR(__xludf.DUMMYFUNCTION("""COMPUTED_VALUE"""),"Employer who pushes your limits by enabling an learning environment, and rewards you at the end")</f>
        <v>Employer who pushes your limits by enabling an learning environment, and rewards you at the end</v>
      </c>
      <c r="M287" s="1" t="str">
        <f ca="1">IFERROR(__xludf.DUMMYFUNCTION("""COMPUTED_VALUE"""),"Instructor or Expert Learning Programs, Learning by observing others")</f>
        <v>Instructor or Expert Learning Programs, Learning by observing others</v>
      </c>
      <c r="N287"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7" s="1" t="str">
        <f ca="1">IFERROR(__xludf.DUMMYFUNCTION("""COMPUTED_VALUE"""),"Manager who explains what is expected, sets a goal and helps achieve it")</f>
        <v>Manager who explains what is expected, sets a goal and helps achieve it</v>
      </c>
      <c r="P28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287" s="1"/>
    </row>
    <row r="288" spans="1:17" ht="13.2" x14ac:dyDescent="0.25">
      <c r="A288" s="2">
        <f ca="1">IFERROR(__xludf.DUMMYFUNCTION("""COMPUTED_VALUE"""),44919.4068294212)</f>
        <v>44919.406829421197</v>
      </c>
      <c r="B288" s="1" t="str">
        <f ca="1">IFERROR(__xludf.DUMMYFUNCTION("""COMPUTED_VALUE"""),"India")</f>
        <v>India</v>
      </c>
      <c r="C288" s="1">
        <f ca="1">IFERROR(__xludf.DUMMYFUNCTION("""COMPUTED_VALUE"""),574111)</f>
        <v>574111</v>
      </c>
      <c r="D288" s="3" t="str">
        <f ca="1">IFERROR(__xludf.DUMMYFUNCTION("""COMPUTED_VALUE"""),"Female")</f>
        <v>Female</v>
      </c>
      <c r="E288" s="1" t="str">
        <f ca="1">IFERROR(__xludf.DUMMYFUNCTION("""COMPUTED_VALUE"""),"Influencers who had successful careers")</f>
        <v>Influencers who had successful careers</v>
      </c>
      <c r="F288" s="1" t="str">
        <f ca="1">IFERROR(__xludf.DUMMYFUNCTION("""COMPUTED_VALUE"""),"No, But if someone could bare the cost I will")</f>
        <v>No, But if someone could bare the cost I will</v>
      </c>
      <c r="G288" s="1" t="str">
        <f ca="1">IFERROR(__xludf.DUMMYFUNCTION("""COMPUTED_VALUE"""),"This will be hard to do, but if it is the right company I would try")</f>
        <v>This will be hard to do, but if it is the right company I would try</v>
      </c>
      <c r="H288" s="1" t="str">
        <f ca="1">IFERROR(__xludf.DUMMYFUNCTION("""COMPUTED_VALUE"""),"No")</f>
        <v>No</v>
      </c>
      <c r="I288" s="1" t="str">
        <f ca="1">IFERROR(__xludf.DUMMYFUNCTION("""COMPUTED_VALUE"""),"Will NOT work for them")</f>
        <v>Will NOT work for them</v>
      </c>
      <c r="J288" s="1">
        <f ca="1">IFERROR(__xludf.DUMMYFUNCTION("""COMPUTED_VALUE"""),8)</f>
        <v>8</v>
      </c>
      <c r="K288" s="1" t="str">
        <f ca="1">IFERROR(__xludf.DUMMYFUNCTION("""COMPUTED_VALUE"""),"Fully Remote with Options to travel as and when needed")</f>
        <v>Fully Remote with Options to travel as and when needed</v>
      </c>
      <c r="L288" s="1" t="str">
        <f ca="1">IFERROR(__xludf.DUMMYFUNCTION("""COMPUTED_VALUE"""),"Employer who pushes your limits by enabling an learning environment, and rewards you at the end")</f>
        <v>Employer who pushes your limits by enabling an learning environment, and rewards you at the end</v>
      </c>
      <c r="M288" s="1" t="str">
        <f ca="1">IFERROR(__xludf.DUMMYFUNCTION("""COMPUTED_VALUE"""),"Instructor or Expert Learning Programs, Learning by observing others")</f>
        <v>Instructor or Expert Learning Programs, Learning by observing others</v>
      </c>
      <c r="N28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88" s="1" t="str">
        <f ca="1">IFERROR(__xludf.DUMMYFUNCTION("""COMPUTED_VALUE"""),"Manager who explains what is expected, sets a goal and helps achieve it")</f>
        <v>Manager who explains what is expected, sets a goal and helps achieve it</v>
      </c>
      <c r="P288" s="1" t="str">
        <f ca="1">IFERROR(__xludf.DUMMYFUNCTION("""COMPUTED_VALUE"""),"Work alone, Work with 2 to 3 people in my team")</f>
        <v>Work alone, Work with 2 to 3 people in my team</v>
      </c>
      <c r="Q288" s="1"/>
    </row>
    <row r="289" spans="1:17" ht="13.2" x14ac:dyDescent="0.25">
      <c r="A289" s="2">
        <f ca="1">IFERROR(__xludf.DUMMYFUNCTION("""COMPUTED_VALUE"""),44919.460229699)</f>
        <v>44919.460229698998</v>
      </c>
      <c r="B289" s="1" t="str">
        <f ca="1">IFERROR(__xludf.DUMMYFUNCTION("""COMPUTED_VALUE"""),"India")</f>
        <v>India</v>
      </c>
      <c r="C289" s="1">
        <f ca="1">IFERROR(__xludf.DUMMYFUNCTION("""COMPUTED_VALUE"""),385520)</f>
        <v>385520</v>
      </c>
      <c r="D289" s="3" t="str">
        <f ca="1">IFERROR(__xludf.DUMMYFUNCTION("""COMPUTED_VALUE"""),"Male")</f>
        <v>Male</v>
      </c>
      <c r="E289" s="1" t="str">
        <f ca="1">IFERROR(__xludf.DUMMYFUNCTION("""COMPUTED_VALUE"""),"People who have changed the world for better")</f>
        <v>People who have changed the world for better</v>
      </c>
      <c r="F289" s="1" t="str">
        <f ca="1">IFERROR(__xludf.DUMMYFUNCTION("""COMPUTED_VALUE"""),"No I would not be pursuing Higher Education outside of India")</f>
        <v>No I would not be pursuing Higher Education outside of India</v>
      </c>
      <c r="G289" s="1" t="str">
        <f ca="1">IFERROR(__xludf.DUMMYFUNCTION("""COMPUTED_VALUE"""),"Will work for 3 years or more")</f>
        <v>Will work for 3 years or more</v>
      </c>
      <c r="H289" s="1" t="str">
        <f ca="1">IFERROR(__xludf.DUMMYFUNCTION("""COMPUTED_VALUE"""),"No")</f>
        <v>No</v>
      </c>
      <c r="I289" s="1" t="str">
        <f ca="1">IFERROR(__xludf.DUMMYFUNCTION("""COMPUTED_VALUE"""),"Will NOT work for them")</f>
        <v>Will NOT work for them</v>
      </c>
      <c r="J289" s="1">
        <f ca="1">IFERROR(__xludf.DUMMYFUNCTION("""COMPUTED_VALUE"""),3)</f>
        <v>3</v>
      </c>
      <c r="K289" s="1" t="str">
        <f ca="1">IFERROR(__xludf.DUMMYFUNCTION("""COMPUTED_VALUE"""),"Fully Remote with Options to travel as and when needed")</f>
        <v>Fully Remote with Options to travel as and when needed</v>
      </c>
      <c r="L289" s="1" t="str">
        <f ca="1">IFERROR(__xludf.DUMMYFUNCTION("""COMPUTED_VALUE"""),"Employer who pushes your limits by enabling an learning environment, and rewards you at the end")</f>
        <v>Employer who pushes your limits by enabling an learning environment, and rewards you at the end</v>
      </c>
      <c r="M289" s="1" t="str">
        <f ca="1">IFERROR(__xludf.DUMMYFUNCTION("""COMPUTED_VALUE"""),"Self Paced Learning Portals, Trial and error by doing side projects within the company")</f>
        <v>Self Paced Learning Portals, Trial and error by doing side projects within the company</v>
      </c>
      <c r="N28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89" s="1" t="str">
        <f ca="1">IFERROR(__xludf.DUMMYFUNCTION("""COMPUTED_VALUE"""),"Manager who explains what is expected, sets a goal and helps achieve it")</f>
        <v>Manager who explains what is expected, sets a goal and helps achieve it</v>
      </c>
      <c r="P289" s="1" t="str">
        <f ca="1">IFERROR(__xludf.DUMMYFUNCTION("""COMPUTED_VALUE"""),"Work with 2 to 3 people in my team")</f>
        <v>Work with 2 to 3 people in my team</v>
      </c>
      <c r="Q289" s="1"/>
    </row>
    <row r="290" spans="1:17" ht="13.2" x14ac:dyDescent="0.25">
      <c r="A290" s="2">
        <f ca="1">IFERROR(__xludf.DUMMYFUNCTION("""COMPUTED_VALUE"""),44919.4652683796)</f>
        <v>44919.465268379601</v>
      </c>
      <c r="B290" s="1" t="str">
        <f ca="1">IFERROR(__xludf.DUMMYFUNCTION("""COMPUTED_VALUE"""),"India")</f>
        <v>India</v>
      </c>
      <c r="C290" s="1">
        <f ca="1">IFERROR(__xludf.DUMMYFUNCTION("""COMPUTED_VALUE"""),576213)</f>
        <v>576213</v>
      </c>
      <c r="D290" s="3" t="str">
        <f ca="1">IFERROR(__xludf.DUMMYFUNCTION("""COMPUTED_VALUE"""),"Female")</f>
        <v>Female</v>
      </c>
      <c r="E290" s="1" t="str">
        <f ca="1">IFERROR(__xludf.DUMMYFUNCTION("""COMPUTED_VALUE"""),"People who have changed the world for better")</f>
        <v>People who have changed the world for better</v>
      </c>
      <c r="F290" s="1" t="str">
        <f ca="1">IFERROR(__xludf.DUMMYFUNCTION("""COMPUTED_VALUE"""),"Yes, I will earn and do that")</f>
        <v>Yes, I will earn and do that</v>
      </c>
      <c r="G290" s="1" t="str">
        <f ca="1">IFERROR(__xludf.DUMMYFUNCTION("""COMPUTED_VALUE"""),"This will be hard to do, but if it is the right company I would try")</f>
        <v>This will be hard to do, but if it is the right company I would try</v>
      </c>
      <c r="H290" s="1" t="str">
        <f ca="1">IFERROR(__xludf.DUMMYFUNCTION("""COMPUTED_VALUE"""),"No")</f>
        <v>No</v>
      </c>
      <c r="I290" s="1" t="str">
        <f ca="1">IFERROR(__xludf.DUMMYFUNCTION("""COMPUTED_VALUE"""),"Will NOT work for them")</f>
        <v>Will NOT work for them</v>
      </c>
      <c r="J290" s="1">
        <f ca="1">IFERROR(__xludf.DUMMYFUNCTION("""COMPUTED_VALUE"""),3)</f>
        <v>3</v>
      </c>
      <c r="K290" s="1" t="str">
        <f ca="1">IFERROR(__xludf.DUMMYFUNCTION("""COMPUTED_VALUE"""),"Fully Remote with Options to travel as and when needed")</f>
        <v>Fully Remote with Options to travel as and when needed</v>
      </c>
      <c r="L290" s="1" t="str">
        <f ca="1">IFERROR(__xludf.DUMMYFUNCTION("""COMPUTED_VALUE"""),"Employer who appreciates learning and enables that environment")</f>
        <v>Employer who appreciates learning and enables that environment</v>
      </c>
      <c r="M290" s="1" t="str">
        <f ca="1">IFERROR(__xludf.DUMMYFUNCTION("""COMPUTED_VALUE"""),"Instructor or Expert Learning Programs, Trial and error by doing side projects within the company")</f>
        <v>Instructor or Expert Learning Programs, Trial and error by doing side projects within the company</v>
      </c>
      <c r="N290"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90" s="1" t="str">
        <f ca="1">IFERROR(__xludf.DUMMYFUNCTION("""COMPUTED_VALUE"""),"Manager who sets goal and helps me achieve it")</f>
        <v>Manager who sets goal and helps me achieve it</v>
      </c>
      <c r="P290" s="1" t="str">
        <f ca="1">IFERROR(__xludf.DUMMYFUNCTION("""COMPUTED_VALUE"""),"Work with 2 to 3 people in my team")</f>
        <v>Work with 2 to 3 people in my team</v>
      </c>
      <c r="Q290" s="1"/>
    </row>
    <row r="291" spans="1:17" ht="13.2" x14ac:dyDescent="0.25">
      <c r="A291" s="2">
        <f ca="1">IFERROR(__xludf.DUMMYFUNCTION("""COMPUTED_VALUE"""),44919.6012614699)</f>
        <v>44919.601261469899</v>
      </c>
      <c r="B291" s="1" t="str">
        <f ca="1">IFERROR(__xludf.DUMMYFUNCTION("""COMPUTED_VALUE"""),"India")</f>
        <v>India</v>
      </c>
      <c r="C291" s="1">
        <f ca="1">IFERROR(__xludf.DUMMYFUNCTION("""COMPUTED_VALUE"""),385520)</f>
        <v>385520</v>
      </c>
      <c r="D291" s="3" t="str">
        <f ca="1">IFERROR(__xludf.DUMMYFUNCTION("""COMPUTED_VALUE"""),"Female")</f>
        <v>Female</v>
      </c>
      <c r="E291" s="1" t="str">
        <f ca="1">IFERROR(__xludf.DUMMYFUNCTION("""COMPUTED_VALUE"""),"Influencers who had successful careers")</f>
        <v>Influencers who had successful careers</v>
      </c>
      <c r="F291" s="1" t="str">
        <f ca="1">IFERROR(__xludf.DUMMYFUNCTION("""COMPUTED_VALUE"""),"Yes, I will earn and do that")</f>
        <v>Yes, I will earn and do that</v>
      </c>
      <c r="G291" s="1" t="str">
        <f ca="1">IFERROR(__xludf.DUMMYFUNCTION("""COMPUTED_VALUE"""),"This will be hard to do, but if it is the right company I would try")</f>
        <v>This will be hard to do, but if it is the right company I would try</v>
      </c>
      <c r="H291" s="1" t="str">
        <f ca="1">IFERROR(__xludf.DUMMYFUNCTION("""COMPUTED_VALUE"""),"Yes")</f>
        <v>Yes</v>
      </c>
      <c r="I291" s="1" t="str">
        <f ca="1">IFERROR(__xludf.DUMMYFUNCTION("""COMPUTED_VALUE"""),"Will work for them")</f>
        <v>Will work for them</v>
      </c>
      <c r="J291" s="1">
        <f ca="1">IFERROR(__xludf.DUMMYFUNCTION("""COMPUTED_VALUE"""),5)</f>
        <v>5</v>
      </c>
      <c r="K291" s="1" t="str">
        <f ca="1">IFERROR(__xludf.DUMMYFUNCTION("""COMPUTED_VALUE"""),"Hybrid Working Environment with less than 10 days a month at office")</f>
        <v>Hybrid Working Environment with less than 10 days a month at office</v>
      </c>
      <c r="L291" s="1" t="str">
        <f ca="1">IFERROR(__xludf.DUMMYFUNCTION("""COMPUTED_VALUE"""),"Employer who appreciates learning and enables that environment")</f>
        <v>Employer who appreciates learning and enables that environment</v>
      </c>
      <c r="M291" s="1" t="str">
        <f ca="1">IFERROR(__xludf.DUMMYFUNCTION("""COMPUTED_VALUE"""),"Instructor or Expert Learning Programs, Trial and error by doing side projects within the company")</f>
        <v>Instructor or Expert Learning Programs, Trial and error by doing side projects within the company</v>
      </c>
      <c r="N291"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291" s="1" t="str">
        <f ca="1">IFERROR(__xludf.DUMMYFUNCTION("""COMPUTED_VALUE"""),"Manager who explains what is expected, sets a goal and helps achieve it")</f>
        <v>Manager who explains what is expected, sets a goal and helps achieve it</v>
      </c>
      <c r="P291" s="1" t="str">
        <f ca="1">IFERROR(__xludf.DUMMYFUNCTION("""COMPUTED_VALUE"""),"Work with 5 to 6 people in my team")</f>
        <v>Work with 5 to 6 people in my team</v>
      </c>
      <c r="Q291" s="1"/>
    </row>
    <row r="292" spans="1:17" ht="13.2" x14ac:dyDescent="0.25">
      <c r="A292" s="2">
        <f ca="1">IFERROR(__xludf.DUMMYFUNCTION("""COMPUTED_VALUE"""),44919.6154726273)</f>
        <v>44919.615472627302</v>
      </c>
      <c r="B292" s="1" t="str">
        <f ca="1">IFERROR(__xludf.DUMMYFUNCTION("""COMPUTED_VALUE"""),"India")</f>
        <v>India</v>
      </c>
      <c r="C292" s="1">
        <f ca="1">IFERROR(__xludf.DUMMYFUNCTION("""COMPUTED_VALUE"""),442401)</f>
        <v>442401</v>
      </c>
      <c r="D292" s="3" t="str">
        <f ca="1">IFERROR(__xludf.DUMMYFUNCTION("""COMPUTED_VALUE"""),"Male")</f>
        <v>Male</v>
      </c>
      <c r="E292" s="1" t="str">
        <f ca="1">IFERROR(__xludf.DUMMYFUNCTION("""COMPUTED_VALUE"""),"My Parents")</f>
        <v>My Parents</v>
      </c>
      <c r="F292" s="1" t="str">
        <f ca="1">IFERROR(__xludf.DUMMYFUNCTION("""COMPUTED_VALUE"""),"No, But if someone could bare the cost I will")</f>
        <v>No, But if someone could bare the cost I will</v>
      </c>
      <c r="G292" s="1" t="str">
        <f ca="1">IFERROR(__xludf.DUMMYFUNCTION("""COMPUTED_VALUE"""),"This will be hard to do, but if it is the right company I would try")</f>
        <v>This will be hard to do, but if it is the right company I would try</v>
      </c>
      <c r="H292" s="1" t="str">
        <f ca="1">IFERROR(__xludf.DUMMYFUNCTION("""COMPUTED_VALUE"""),"No")</f>
        <v>No</v>
      </c>
      <c r="I292" s="1" t="str">
        <f ca="1">IFERROR(__xludf.DUMMYFUNCTION("""COMPUTED_VALUE"""),"Will NOT work for them")</f>
        <v>Will NOT work for them</v>
      </c>
      <c r="J292" s="1">
        <f ca="1">IFERROR(__xludf.DUMMYFUNCTION("""COMPUTED_VALUE"""),7)</f>
        <v>7</v>
      </c>
      <c r="K292" s="1" t="str">
        <f ca="1">IFERROR(__xludf.DUMMYFUNCTION("""COMPUTED_VALUE"""),"Fully Remote with Options to travel as and when needed")</f>
        <v>Fully Remote with Options to travel as and when needed</v>
      </c>
      <c r="L292" s="1" t="str">
        <f ca="1">IFERROR(__xludf.DUMMYFUNCTION("""COMPUTED_VALUE"""),"Employer who rewards learning and enables that environment")</f>
        <v>Employer who rewards learning and enables that environment</v>
      </c>
      <c r="M292" s="1" t="str">
        <f ca="1">IFERROR(__xludf.DUMMYFUNCTION("""COMPUTED_VALUE"""),"Instructor or Expert Learning Programs, Trial and error by doing side projects within the company")</f>
        <v>Instructor or Expert Learning Programs, Trial and error by doing side projects within the company</v>
      </c>
      <c r="N292" s="1" t="str">
        <f ca="1">IFERROR(__xludf.DUMMYFUNCTION("""COMPUTED_VALUE"""),"Business Operations in any organization, Look deeply into Data and generate insights, Become a content Creator in some platform")</f>
        <v>Business Operations in any organization, Look deeply into Data and generate insights, Become a content Creator in some platform</v>
      </c>
      <c r="O292" s="1" t="str">
        <f ca="1">IFERROR(__xludf.DUMMYFUNCTION("""COMPUTED_VALUE"""),"Manager who explains what is expected, sets a goal and helps achieve it")</f>
        <v>Manager who explains what is expected, sets a goal and helps achieve it</v>
      </c>
      <c r="P292" s="1" t="str">
        <f ca="1">IFERROR(__xludf.DUMMYFUNCTION("""COMPUTED_VALUE"""),"Work with 5 to 6 people in my team")</f>
        <v>Work with 5 to 6 people in my team</v>
      </c>
      <c r="Q292" s="1"/>
    </row>
    <row r="293" spans="1:17" ht="13.2" x14ac:dyDescent="0.25">
      <c r="A293" s="2">
        <f ca="1">IFERROR(__xludf.DUMMYFUNCTION("""COMPUTED_VALUE"""),44919.6175858912)</f>
        <v>44919.617585891203</v>
      </c>
      <c r="B293" s="1" t="str">
        <f ca="1">IFERROR(__xludf.DUMMYFUNCTION("""COMPUTED_VALUE"""),"India")</f>
        <v>India</v>
      </c>
      <c r="C293" s="1">
        <f ca="1">IFERROR(__xludf.DUMMYFUNCTION("""COMPUTED_VALUE"""),576215)</f>
        <v>576215</v>
      </c>
      <c r="D293" s="3" t="str">
        <f ca="1">IFERROR(__xludf.DUMMYFUNCTION("""COMPUTED_VALUE"""),"Female")</f>
        <v>Female</v>
      </c>
      <c r="E293" s="1" t="str">
        <f ca="1">IFERROR(__xludf.DUMMYFUNCTION("""COMPUTED_VALUE"""),"My Parents")</f>
        <v>My Parents</v>
      </c>
      <c r="F293" s="1" t="str">
        <f ca="1">IFERROR(__xludf.DUMMYFUNCTION("""COMPUTED_VALUE"""),"No I would not be pursuing Higher Education outside of India")</f>
        <v>No I would not be pursuing Higher Education outside of India</v>
      </c>
      <c r="G293" s="1" t="str">
        <f ca="1">IFERROR(__xludf.DUMMYFUNCTION("""COMPUTED_VALUE"""),"This will be hard to do, but if it is the right company I would try")</f>
        <v>This will be hard to do, but if it is the right company I would try</v>
      </c>
      <c r="H293" s="1" t="str">
        <f ca="1">IFERROR(__xludf.DUMMYFUNCTION("""COMPUTED_VALUE"""),"No")</f>
        <v>No</v>
      </c>
      <c r="I293" s="1" t="str">
        <f ca="1">IFERROR(__xludf.DUMMYFUNCTION("""COMPUTED_VALUE"""),"Will NOT work for them")</f>
        <v>Will NOT work for them</v>
      </c>
      <c r="J293" s="1">
        <f ca="1">IFERROR(__xludf.DUMMYFUNCTION("""COMPUTED_VALUE"""),4)</f>
        <v>4</v>
      </c>
      <c r="K293" s="1" t="str">
        <f ca="1">IFERROR(__xludf.DUMMYFUNCTION("""COMPUTED_VALUE"""),"Hybrid Working Environment with less than 15 days a month at office")</f>
        <v>Hybrid Working Environment with less than 15 days a month at office</v>
      </c>
      <c r="L293" s="1" t="str">
        <f ca="1">IFERROR(__xludf.DUMMYFUNCTION("""COMPUTED_VALUE"""),"Employer who appreciates learning and enables that environment")</f>
        <v>Employer who appreciates learning and enables that environment</v>
      </c>
      <c r="M293" s="1" t="str">
        <f ca="1">IFERROR(__xludf.DUMMYFUNCTION("""COMPUTED_VALUE"""),"Learning by observing others, Trial and error by doing side projects within the company")</f>
        <v>Learning by observing others, Trial and error by doing side projects within the company</v>
      </c>
      <c r="N293"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93" s="1" t="str">
        <f ca="1">IFERROR(__xludf.DUMMYFUNCTION("""COMPUTED_VALUE"""),"Manager who explains what is expected, sets a goal and helps achieve it")</f>
        <v>Manager who explains what is expected, sets a goal and helps achieve it</v>
      </c>
      <c r="P293" s="1" t="str">
        <f ca="1">IFERROR(__xludf.DUMMYFUNCTION("""COMPUTED_VALUE"""),"Work with 5 to 6 people in my team")</f>
        <v>Work with 5 to 6 people in my team</v>
      </c>
      <c r="Q293" s="1"/>
    </row>
    <row r="294" spans="1:17" ht="13.2" x14ac:dyDescent="0.25">
      <c r="A294" s="2">
        <f ca="1">IFERROR(__xludf.DUMMYFUNCTION("""COMPUTED_VALUE"""),44919.6313431712)</f>
        <v>44919.631343171197</v>
      </c>
      <c r="B294" s="1" t="str">
        <f ca="1">IFERROR(__xludf.DUMMYFUNCTION("""COMPUTED_VALUE"""),"India")</f>
        <v>India</v>
      </c>
      <c r="C294" s="1">
        <f ca="1">IFERROR(__xludf.DUMMYFUNCTION("""COMPUTED_VALUE"""),401107)</f>
        <v>401107</v>
      </c>
      <c r="D294" s="3" t="str">
        <f ca="1">IFERROR(__xludf.DUMMYFUNCTION("""COMPUTED_VALUE"""),"Female")</f>
        <v>Female</v>
      </c>
      <c r="E294" s="1" t="str">
        <f ca="1">IFERROR(__xludf.DUMMYFUNCTION("""COMPUTED_VALUE"""),"Social Media like LinkedIn")</f>
        <v>Social Media like LinkedIn</v>
      </c>
      <c r="F294" s="1" t="str">
        <f ca="1">IFERROR(__xludf.DUMMYFUNCTION("""COMPUTED_VALUE"""),"Yes, I will earn and do that")</f>
        <v>Yes, I will earn and do that</v>
      </c>
      <c r="G294" s="1" t="str">
        <f ca="1">IFERROR(__xludf.DUMMYFUNCTION("""COMPUTED_VALUE"""),"Will work for 3 years or more")</f>
        <v>Will work for 3 years or more</v>
      </c>
      <c r="H294" s="1" t="str">
        <f ca="1">IFERROR(__xludf.DUMMYFUNCTION("""COMPUTED_VALUE"""),"No")</f>
        <v>No</v>
      </c>
      <c r="I294" s="1" t="str">
        <f ca="1">IFERROR(__xludf.DUMMYFUNCTION("""COMPUTED_VALUE"""),"Will NOT work for them")</f>
        <v>Will NOT work for them</v>
      </c>
      <c r="J294" s="1">
        <f ca="1">IFERROR(__xludf.DUMMYFUNCTION("""COMPUTED_VALUE"""),9)</f>
        <v>9</v>
      </c>
      <c r="K294" s="1" t="str">
        <f ca="1">IFERROR(__xludf.DUMMYFUNCTION("""COMPUTED_VALUE"""),"Hybrid Working Environment with less than 3 days a month at office")</f>
        <v>Hybrid Working Environment with less than 3 days a month at office</v>
      </c>
      <c r="L294" s="1" t="str">
        <f ca="1">IFERROR(__xludf.DUMMYFUNCTION("""COMPUTED_VALUE"""),"Employer who rewards learning and enables that environment")</f>
        <v>Employer who rewards learning and enables that environment</v>
      </c>
      <c r="M294" s="1" t="str">
        <f ca="1">IFERROR(__xludf.DUMMYFUNCTION("""COMPUTED_VALUE"""),"Self Paced Learning Portals, Instructor or Expert Learning Programs")</f>
        <v>Self Paced Learning Portals, Instructor or Expert Learning Programs</v>
      </c>
      <c r="N294" s="1" t="str">
        <f ca="1">IFERROR(__xludf.DUMMYFUNCTION("""COMPUTED_VALUE"""),"Build and develop a Team, Look deeply into Data and generate insights, Work as a freelancer and do my thing my way")</f>
        <v>Build and develop a Team, Look deeply into Data and generate insights, Work as a freelancer and do my thing my way</v>
      </c>
      <c r="O294" s="1" t="str">
        <f ca="1">IFERROR(__xludf.DUMMYFUNCTION("""COMPUTED_VALUE"""),"Manager who clearly describes what she/he needs")</f>
        <v>Manager who clearly describes what she/he needs</v>
      </c>
      <c r="P294" s="1" t="str">
        <f ca="1">IFERROR(__xludf.DUMMYFUNCTION("""COMPUTED_VALUE"""),"Work alone, Work with 2 to 3 people in my team, Work with 7 to 10 or more people in my team")</f>
        <v>Work alone, Work with 2 to 3 people in my team, Work with 7 to 10 or more people in my team</v>
      </c>
      <c r="Q294" s="1"/>
    </row>
    <row r="295" spans="1:17" ht="13.2" x14ac:dyDescent="0.25">
      <c r="A295" s="2">
        <f ca="1">IFERROR(__xludf.DUMMYFUNCTION("""COMPUTED_VALUE"""),44919.6499281481)</f>
        <v>44919.649928148101</v>
      </c>
      <c r="B295" s="1" t="str">
        <f ca="1">IFERROR(__xludf.DUMMYFUNCTION("""COMPUTED_VALUE"""),"India")</f>
        <v>India</v>
      </c>
      <c r="C295" s="1">
        <f ca="1">IFERROR(__xludf.DUMMYFUNCTION("""COMPUTED_VALUE"""),400101)</f>
        <v>400101</v>
      </c>
      <c r="D295" s="3" t="str">
        <f ca="1">IFERROR(__xludf.DUMMYFUNCTION("""COMPUTED_VALUE"""),"Male")</f>
        <v>Male</v>
      </c>
      <c r="E295" s="1" t="str">
        <f ca="1">IFERROR(__xludf.DUMMYFUNCTION("""COMPUTED_VALUE"""),"People from my circle, but not family members")</f>
        <v>People from my circle, but not family members</v>
      </c>
      <c r="F295" s="1" t="str">
        <f ca="1">IFERROR(__xludf.DUMMYFUNCTION("""COMPUTED_VALUE"""),"No I would not be pursuing Higher Education outside of India")</f>
        <v>No I would not be pursuing Higher Education outside of India</v>
      </c>
      <c r="G295" s="1" t="str">
        <f ca="1">IFERROR(__xludf.DUMMYFUNCTION("""COMPUTED_VALUE"""),"This will be hard to do, but if it is the right company I would try")</f>
        <v>This will be hard to do, but if it is the right company I would try</v>
      </c>
      <c r="H295" s="1" t="str">
        <f ca="1">IFERROR(__xludf.DUMMYFUNCTION("""COMPUTED_VALUE"""),"Yes")</f>
        <v>Yes</v>
      </c>
      <c r="I295" s="1" t="str">
        <f ca="1">IFERROR(__xludf.DUMMYFUNCTION("""COMPUTED_VALUE"""),"Will NOT work for them")</f>
        <v>Will NOT work for them</v>
      </c>
      <c r="J295" s="1">
        <f ca="1">IFERROR(__xludf.DUMMYFUNCTION("""COMPUTED_VALUE"""),3)</f>
        <v>3</v>
      </c>
      <c r="K295" s="1" t="str">
        <f ca="1">IFERROR(__xludf.DUMMYFUNCTION("""COMPUTED_VALUE"""),"Fully Remote with Options to travel as and when needed")</f>
        <v>Fully Remote with Options to travel as and when needed</v>
      </c>
      <c r="L295" s="1" t="str">
        <f ca="1">IFERROR(__xludf.DUMMYFUNCTION("""COMPUTED_VALUE"""),"Employer who pushes your limits by enabling an learning environment, and rewards you at the end")</f>
        <v>Employer who pushes your limits by enabling an learning environment, and rewards you at the end</v>
      </c>
      <c r="M295" s="1" t="str">
        <f ca="1">IFERROR(__xludf.DUMMYFUNCTION("""COMPUTED_VALUE"""),"Self Paced Learning Portals, Trial and error by doing side projects within the company")</f>
        <v>Self Paced Learning Portals, Trial and error by doing side projects within the company</v>
      </c>
      <c r="N29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95" s="1" t="str">
        <f ca="1">IFERROR(__xludf.DUMMYFUNCTION("""COMPUTED_VALUE"""),"Manager who explains what is expected, sets a goal and helps achieve it")</f>
        <v>Manager who explains what is expected, sets a goal and helps achieve it</v>
      </c>
      <c r="P295" s="1" t="str">
        <f ca="1">IFERROR(__xludf.DUMMYFUNCTION("""COMPUTED_VALUE"""),"Work alone, Work with 2 to 3 people in my team")</f>
        <v>Work alone, Work with 2 to 3 people in my team</v>
      </c>
      <c r="Q295" s="1"/>
    </row>
    <row r="296" spans="1:17" ht="13.2" x14ac:dyDescent="0.25">
      <c r="A296" s="2">
        <f ca="1">IFERROR(__xludf.DUMMYFUNCTION("""COMPUTED_VALUE"""),44919.649994074)</f>
        <v>44919.649994074003</v>
      </c>
      <c r="B296" s="1" t="str">
        <f ca="1">IFERROR(__xludf.DUMMYFUNCTION("""COMPUTED_VALUE"""),"India")</f>
        <v>India</v>
      </c>
      <c r="C296" s="1">
        <f ca="1">IFERROR(__xludf.DUMMYFUNCTION("""COMPUTED_VALUE"""),400101)</f>
        <v>400101</v>
      </c>
      <c r="D296" s="3" t="str">
        <f ca="1">IFERROR(__xludf.DUMMYFUNCTION("""COMPUTED_VALUE"""),"Male")</f>
        <v>Male</v>
      </c>
      <c r="E296" s="1" t="str">
        <f ca="1">IFERROR(__xludf.DUMMYFUNCTION("""COMPUTED_VALUE"""),"My Parents")</f>
        <v>My Parents</v>
      </c>
      <c r="F296" s="1" t="str">
        <f ca="1">IFERROR(__xludf.DUMMYFUNCTION("""COMPUTED_VALUE"""),"No, But if someone could bare the cost I will")</f>
        <v>No, But if someone could bare the cost I will</v>
      </c>
      <c r="G296" s="1" t="str">
        <f ca="1">IFERROR(__xludf.DUMMYFUNCTION("""COMPUTED_VALUE"""),"Will work for 3 years or more")</f>
        <v>Will work for 3 years or more</v>
      </c>
      <c r="H296" s="1" t="str">
        <f ca="1">IFERROR(__xludf.DUMMYFUNCTION("""COMPUTED_VALUE"""),"Yes")</f>
        <v>Yes</v>
      </c>
      <c r="I296" s="1" t="str">
        <f ca="1">IFERROR(__xludf.DUMMYFUNCTION("""COMPUTED_VALUE"""),"Will work for them")</f>
        <v>Will work for them</v>
      </c>
      <c r="J296" s="1">
        <f ca="1">IFERROR(__xludf.DUMMYFUNCTION("""COMPUTED_VALUE"""),1)</f>
        <v>1</v>
      </c>
      <c r="K296" s="1" t="str">
        <f ca="1">IFERROR(__xludf.DUMMYFUNCTION("""COMPUTED_VALUE"""),"Every Day Office Environment")</f>
        <v>Every Day Office Environment</v>
      </c>
      <c r="L296" s="1" t="str">
        <f ca="1">IFERROR(__xludf.DUMMYFUNCTION("""COMPUTED_VALUE"""),"Employer who appreciates learning and enables that environment")</f>
        <v>Employer who appreciates learning and enables that environment</v>
      </c>
      <c r="M296" s="1" t="str">
        <f ca="1">IFERROR(__xludf.DUMMYFUNCTION("""COMPUTED_VALUE"""),"Self Paced Learning Portals, Instructor or Expert Learning Programs")</f>
        <v>Self Paced Learning Portals, Instructor or Expert Learning Programs</v>
      </c>
      <c r="N296"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96" s="1" t="str">
        <f ca="1">IFERROR(__xludf.DUMMYFUNCTION("""COMPUTED_VALUE"""),"Manager who clearly describes what she/he needs")</f>
        <v>Manager who clearly describes what she/he needs</v>
      </c>
      <c r="P296" s="1" t="str">
        <f ca="1">IFERROR(__xludf.DUMMYFUNCTION("""COMPUTED_VALUE"""),"Work alone")</f>
        <v>Work alone</v>
      </c>
      <c r="Q296" s="1"/>
    </row>
    <row r="297" spans="1:17" ht="13.2" x14ac:dyDescent="0.25">
      <c r="A297" s="2">
        <f ca="1">IFERROR(__xludf.DUMMYFUNCTION("""COMPUTED_VALUE"""),44919.6628826851)</f>
        <v>44919.662882685101</v>
      </c>
      <c r="B297" s="1" t="str">
        <f ca="1">IFERROR(__xludf.DUMMYFUNCTION("""COMPUTED_VALUE"""),"India")</f>
        <v>India</v>
      </c>
      <c r="C297" s="1">
        <f ca="1">IFERROR(__xludf.DUMMYFUNCTION("""COMPUTED_VALUE"""),385001)</f>
        <v>385001</v>
      </c>
      <c r="D297" s="3" t="str">
        <f ca="1">IFERROR(__xludf.DUMMYFUNCTION("""COMPUTED_VALUE"""),"Female")</f>
        <v>Female</v>
      </c>
      <c r="E297" s="1" t="str">
        <f ca="1">IFERROR(__xludf.DUMMYFUNCTION("""COMPUTED_VALUE"""),"My Parents")</f>
        <v>My Parents</v>
      </c>
      <c r="F297" s="1" t="str">
        <f ca="1">IFERROR(__xludf.DUMMYFUNCTION("""COMPUTED_VALUE"""),"Yes, I will earn and do that")</f>
        <v>Yes, I will earn and do that</v>
      </c>
      <c r="G297" s="1" t="str">
        <f ca="1">IFERROR(__xludf.DUMMYFUNCTION("""COMPUTED_VALUE"""),"No way, 3 years with one employer is crazy")</f>
        <v>No way, 3 years with one employer is crazy</v>
      </c>
      <c r="H297" s="1" t="str">
        <f ca="1">IFERROR(__xludf.DUMMYFUNCTION("""COMPUTED_VALUE"""),"Yes")</f>
        <v>Yes</v>
      </c>
      <c r="I297" s="1" t="str">
        <f ca="1">IFERROR(__xludf.DUMMYFUNCTION("""COMPUTED_VALUE"""),"Will work for them")</f>
        <v>Will work for them</v>
      </c>
      <c r="J297" s="1">
        <f ca="1">IFERROR(__xludf.DUMMYFUNCTION("""COMPUTED_VALUE"""),2)</f>
        <v>2</v>
      </c>
      <c r="K297" s="1" t="str">
        <f ca="1">IFERROR(__xludf.DUMMYFUNCTION("""COMPUTED_VALUE"""),"Every Day Office Environment")</f>
        <v>Every Day Office Environment</v>
      </c>
      <c r="L297" s="1" t="str">
        <f ca="1">IFERROR(__xludf.DUMMYFUNCTION("""COMPUTED_VALUE"""),"Employer who rewards learning and enables that environment")</f>
        <v>Employer who rewards learning and enables that environment</v>
      </c>
      <c r="M297" s="1" t="str">
        <f ca="1">IFERROR(__xludf.DUMMYFUNCTION("""COMPUTED_VALUE"""),"Self Paced Learning Portals, Trial and error by doing side projects within the company")</f>
        <v>Self Paced Learning Portals, Trial and error by doing side projects within the company</v>
      </c>
      <c r="N297"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97" s="1" t="str">
        <f ca="1">IFERROR(__xludf.DUMMYFUNCTION("""COMPUTED_VALUE"""),"Manager who sets targets and expects me to achieve it")</f>
        <v>Manager who sets targets and expects me to achieve it</v>
      </c>
      <c r="P297" s="1" t="str">
        <f ca="1">IFERROR(__xludf.DUMMYFUNCTION("""COMPUTED_VALUE"""),"Work with 2 to 3 people in my team")</f>
        <v>Work with 2 to 3 people in my team</v>
      </c>
      <c r="Q297" s="1"/>
    </row>
    <row r="298" spans="1:17" ht="13.2" x14ac:dyDescent="0.25">
      <c r="A298" s="2">
        <f ca="1">IFERROR(__xludf.DUMMYFUNCTION("""COMPUTED_VALUE"""),44919.6646511805)</f>
        <v>44919.664651180501</v>
      </c>
      <c r="B298" s="1" t="str">
        <f ca="1">IFERROR(__xludf.DUMMYFUNCTION("""COMPUTED_VALUE"""),"India")</f>
        <v>India</v>
      </c>
      <c r="C298" s="1">
        <f ca="1">IFERROR(__xludf.DUMMYFUNCTION("""COMPUTED_VALUE"""),576213)</f>
        <v>576213</v>
      </c>
      <c r="D298" s="3" t="str">
        <f ca="1">IFERROR(__xludf.DUMMYFUNCTION("""COMPUTED_VALUE"""),"Female")</f>
        <v>Female</v>
      </c>
      <c r="E298" s="1" t="str">
        <f ca="1">IFERROR(__xludf.DUMMYFUNCTION("""COMPUTED_VALUE"""),"My Parents")</f>
        <v>My Parents</v>
      </c>
      <c r="F298" s="1" t="str">
        <f ca="1">IFERROR(__xludf.DUMMYFUNCTION("""COMPUTED_VALUE"""),"No, But if someone could bare the cost I will")</f>
        <v>No, But if someone could bare the cost I will</v>
      </c>
      <c r="G298" s="1" t="str">
        <f ca="1">IFERROR(__xludf.DUMMYFUNCTION("""COMPUTED_VALUE"""),"This will be hard to do, but if it is the right company I would try")</f>
        <v>This will be hard to do, but if it is the right company I would try</v>
      </c>
      <c r="H298" s="1" t="str">
        <f ca="1">IFERROR(__xludf.DUMMYFUNCTION("""COMPUTED_VALUE"""),"No")</f>
        <v>No</v>
      </c>
      <c r="I298" s="1" t="str">
        <f ca="1">IFERROR(__xludf.DUMMYFUNCTION("""COMPUTED_VALUE"""),"Will NOT work for them")</f>
        <v>Will NOT work for them</v>
      </c>
      <c r="J298" s="1">
        <f ca="1">IFERROR(__xludf.DUMMYFUNCTION("""COMPUTED_VALUE"""),5)</f>
        <v>5</v>
      </c>
      <c r="K298" s="1" t="str">
        <f ca="1">IFERROR(__xludf.DUMMYFUNCTION("""COMPUTED_VALUE"""),"Fully Remote with Options to travel as and when needed")</f>
        <v>Fully Remote with Options to travel as and when needed</v>
      </c>
      <c r="L298" s="1" t="str">
        <f ca="1">IFERROR(__xludf.DUMMYFUNCTION("""COMPUTED_VALUE"""),"Employer who rewards learning and enables that environment")</f>
        <v>Employer who rewards learning and enables that environment</v>
      </c>
      <c r="M298" s="1" t="str">
        <f ca="1">IFERROR(__xludf.DUMMYFUNCTION("""COMPUTED_VALUE"""),"Self Paced Learning Portals, Instructor or Expert Learning Programs")</f>
        <v>Self Paced Learning Portals, Instructor or Expert Learning Programs</v>
      </c>
      <c r="N298" s="1" t="str">
        <f ca="1">IFERROR(__xludf.DUMMYFUNCTION("""COMPUTED_VALUE"""),"Build and develop a Team, Design and Develop amazing software, Look deeply into Data and generate insights")</f>
        <v>Build and develop a Team, Design and Develop amazing software, Look deeply into Data and generate insights</v>
      </c>
      <c r="O298" s="1" t="str">
        <f ca="1">IFERROR(__xludf.DUMMYFUNCTION("""COMPUTED_VALUE"""),"Manager who clearly describes what she/he needs")</f>
        <v>Manager who clearly describes what she/he needs</v>
      </c>
      <c r="P298" s="1" t="str">
        <f ca="1">IFERROR(__xludf.DUMMYFUNCTION("""COMPUTED_VALUE"""),"Work with 7 to 10 or more people in my team")</f>
        <v>Work with 7 to 10 or more people in my team</v>
      </c>
      <c r="Q298" s="1"/>
    </row>
    <row r="299" spans="1:17" ht="13.2" x14ac:dyDescent="0.25">
      <c r="A299" s="2">
        <f ca="1">IFERROR(__xludf.DUMMYFUNCTION("""COMPUTED_VALUE"""),44919.6716289699)</f>
        <v>44919.671628969903</v>
      </c>
      <c r="B299" s="1" t="str">
        <f ca="1">IFERROR(__xludf.DUMMYFUNCTION("""COMPUTED_VALUE"""),"India")</f>
        <v>India</v>
      </c>
      <c r="C299" s="1">
        <f ca="1">IFERROR(__xludf.DUMMYFUNCTION("""COMPUTED_VALUE"""),400101)</f>
        <v>400101</v>
      </c>
      <c r="D299" s="3" t="str">
        <f ca="1">IFERROR(__xludf.DUMMYFUNCTION("""COMPUTED_VALUE"""),"Male")</f>
        <v>Male</v>
      </c>
      <c r="E299" s="1" t="str">
        <f ca="1">IFERROR(__xludf.DUMMYFUNCTION("""COMPUTED_VALUE"""),"People from my circle, but not family members")</f>
        <v>People from my circle, but not family members</v>
      </c>
      <c r="F299" s="1" t="str">
        <f ca="1">IFERROR(__xludf.DUMMYFUNCTION("""COMPUTED_VALUE"""),"No I would not be pursuing Higher Education outside of India")</f>
        <v>No I would not be pursuing Higher Education outside of India</v>
      </c>
      <c r="G299" s="1" t="str">
        <f ca="1">IFERROR(__xludf.DUMMYFUNCTION("""COMPUTED_VALUE"""),"This will be hard to do, but if it is the right company I would try")</f>
        <v>This will be hard to do, but if it is the right company I would try</v>
      </c>
      <c r="H299" s="1" t="str">
        <f ca="1">IFERROR(__xludf.DUMMYFUNCTION("""COMPUTED_VALUE"""),"No")</f>
        <v>No</v>
      </c>
      <c r="I299" s="1" t="str">
        <f ca="1">IFERROR(__xludf.DUMMYFUNCTION("""COMPUTED_VALUE"""),"Will NOT work for them")</f>
        <v>Will NOT work for them</v>
      </c>
      <c r="J299" s="1">
        <f ca="1">IFERROR(__xludf.DUMMYFUNCTION("""COMPUTED_VALUE"""),1)</f>
        <v>1</v>
      </c>
      <c r="K299" s="1" t="str">
        <f ca="1">IFERROR(__xludf.DUMMYFUNCTION("""COMPUTED_VALUE"""),"Hybrid Working Environment with less than 15 days a month at office")</f>
        <v>Hybrid Working Environment with less than 15 days a month at office</v>
      </c>
      <c r="L299" s="1" t="str">
        <f ca="1">IFERROR(__xludf.DUMMYFUNCTION("""COMPUTED_VALUE"""),"Employer who rewards learning and enables that environment")</f>
        <v>Employer who rewards learning and enables that environment</v>
      </c>
      <c r="M299" s="1" t="str">
        <f ca="1">IFERROR(__xludf.DUMMYFUNCTION("""COMPUTED_VALUE"""),"Learning by observing others, Trial and error by doing side projects within the company")</f>
        <v>Learning by observing others, Trial and error by doing side projects within the company</v>
      </c>
      <c r="N29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99" s="1" t="str">
        <f ca="1">IFERROR(__xludf.DUMMYFUNCTION("""COMPUTED_VALUE"""),"Manager who clearly describes what she/he needs")</f>
        <v>Manager who clearly describes what she/he needs</v>
      </c>
      <c r="P299" s="1" t="str">
        <f ca="1">IFERROR(__xludf.DUMMYFUNCTION("""COMPUTED_VALUE"""),"Work alone")</f>
        <v>Work alone</v>
      </c>
      <c r="Q299" s="1"/>
    </row>
    <row r="300" spans="1:17" ht="13.2" x14ac:dyDescent="0.25">
      <c r="A300" s="2">
        <f ca="1">IFERROR(__xludf.DUMMYFUNCTION("""COMPUTED_VALUE"""),44919.6728348032)</f>
        <v>44919.672834803197</v>
      </c>
      <c r="B300" s="1" t="str">
        <f ca="1">IFERROR(__xludf.DUMMYFUNCTION("""COMPUTED_VALUE"""),"India")</f>
        <v>India</v>
      </c>
      <c r="C300" s="1">
        <f ca="1">IFERROR(__xludf.DUMMYFUNCTION("""COMPUTED_VALUE"""),400028)</f>
        <v>400028</v>
      </c>
      <c r="D300" s="3" t="str">
        <f ca="1">IFERROR(__xludf.DUMMYFUNCTION("""COMPUTED_VALUE"""),"Female")</f>
        <v>Female</v>
      </c>
      <c r="E300" s="1" t="str">
        <f ca="1">IFERROR(__xludf.DUMMYFUNCTION("""COMPUTED_VALUE"""),"People who have changed the world for better")</f>
        <v>People who have changed the world for better</v>
      </c>
      <c r="F300" s="1" t="str">
        <f ca="1">IFERROR(__xludf.DUMMYFUNCTION("""COMPUTED_VALUE"""),"Yes, I will earn and do that")</f>
        <v>Yes, I will earn and do that</v>
      </c>
      <c r="G300" s="1" t="str">
        <f ca="1">IFERROR(__xludf.DUMMYFUNCTION("""COMPUTED_VALUE"""),"This will be hard to do, but if it is the right company I would try")</f>
        <v>This will be hard to do, but if it is the right company I would try</v>
      </c>
      <c r="H300" s="1" t="str">
        <f ca="1">IFERROR(__xludf.DUMMYFUNCTION("""COMPUTED_VALUE"""),"Yes")</f>
        <v>Yes</v>
      </c>
      <c r="I300" s="1" t="str">
        <f ca="1">IFERROR(__xludf.DUMMYFUNCTION("""COMPUTED_VALUE"""),"Will NOT work for them")</f>
        <v>Will NOT work for them</v>
      </c>
      <c r="J300" s="1">
        <f ca="1">IFERROR(__xludf.DUMMYFUNCTION("""COMPUTED_VALUE"""),8)</f>
        <v>8</v>
      </c>
      <c r="K300" s="1" t="str">
        <f ca="1">IFERROR(__xludf.DUMMYFUNCTION("""COMPUTED_VALUE"""),"Fully Remote with No option to visit offices")</f>
        <v>Fully Remote with No option to visit offices</v>
      </c>
      <c r="L300" s="1" t="str">
        <f ca="1">IFERROR(__xludf.DUMMYFUNCTION("""COMPUTED_VALUE"""),"Employer who appreciates learning and enables that environment")</f>
        <v>Employer who appreciates learning and enables that environment</v>
      </c>
      <c r="M300" s="1" t="str">
        <f ca="1">IFERROR(__xludf.DUMMYFUNCTION("""COMPUTED_VALUE"""),"Self Paced Learning Portals, Learning by observing others")</f>
        <v>Self Paced Learning Portals, Learning by observing others</v>
      </c>
      <c r="N30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0" s="1" t="str">
        <f ca="1">IFERROR(__xludf.DUMMYFUNCTION("""COMPUTED_VALUE"""),"Manager who sets targets and expects me to achieve it")</f>
        <v>Manager who sets targets and expects me to achieve it</v>
      </c>
      <c r="P300" s="1" t="str">
        <f ca="1">IFERROR(__xludf.DUMMYFUNCTION("""COMPUTED_VALUE"""),"Work alone")</f>
        <v>Work alone</v>
      </c>
      <c r="Q300" s="1"/>
    </row>
    <row r="301" spans="1:17" ht="13.2" x14ac:dyDescent="0.25">
      <c r="A301" s="2">
        <f ca="1">IFERROR(__xludf.DUMMYFUNCTION("""COMPUTED_VALUE"""),44919.7080869212)</f>
        <v>44919.7080869212</v>
      </c>
      <c r="B301" s="1" t="str">
        <f ca="1">IFERROR(__xludf.DUMMYFUNCTION("""COMPUTED_VALUE"""),"India")</f>
        <v>India</v>
      </c>
      <c r="C301" s="1">
        <f ca="1">IFERROR(__xludf.DUMMYFUNCTION("""COMPUTED_VALUE"""),574214)</f>
        <v>574214</v>
      </c>
      <c r="D301" s="3" t="str">
        <f ca="1">IFERROR(__xludf.DUMMYFUNCTION("""COMPUTED_VALUE"""),"Female")</f>
        <v>Female</v>
      </c>
      <c r="E301" s="1" t="str">
        <f ca="1">IFERROR(__xludf.DUMMYFUNCTION("""COMPUTED_VALUE"""),"My Parents")</f>
        <v>My Parents</v>
      </c>
      <c r="F301" s="1" t="str">
        <f ca="1">IFERROR(__xludf.DUMMYFUNCTION("""COMPUTED_VALUE"""),"No, But if someone could bare the cost I will")</f>
        <v>No, But if someone could bare the cost I will</v>
      </c>
      <c r="G301" s="1" t="str">
        <f ca="1">IFERROR(__xludf.DUMMYFUNCTION("""COMPUTED_VALUE"""),"This will be hard to do, but if it is the right company I would try")</f>
        <v>This will be hard to do, but if it is the right company I would try</v>
      </c>
      <c r="H301" s="1" t="str">
        <f ca="1">IFERROR(__xludf.DUMMYFUNCTION("""COMPUTED_VALUE"""),"No")</f>
        <v>No</v>
      </c>
      <c r="I301" s="1" t="str">
        <f ca="1">IFERROR(__xludf.DUMMYFUNCTION("""COMPUTED_VALUE"""),"Will NOT work for them")</f>
        <v>Will NOT work for them</v>
      </c>
      <c r="J301" s="1">
        <f ca="1">IFERROR(__xludf.DUMMYFUNCTION("""COMPUTED_VALUE"""),5)</f>
        <v>5</v>
      </c>
      <c r="K301" s="1" t="str">
        <f ca="1">IFERROR(__xludf.DUMMYFUNCTION("""COMPUTED_VALUE"""),"Fully Remote with Options to travel as and when needed")</f>
        <v>Fully Remote with Options to travel as and when needed</v>
      </c>
      <c r="L301" s="1" t="str">
        <f ca="1">IFERROR(__xludf.DUMMYFUNCTION("""COMPUTED_VALUE"""),"Employer who rewards learning and enables that environment")</f>
        <v>Employer who rewards learning and enables that environment</v>
      </c>
      <c r="M301" s="1" t="str">
        <f ca="1">IFERROR(__xludf.DUMMYFUNCTION("""COMPUTED_VALUE"""),"Self Paced Learning Portals, Instructor or Expert Learning Programs")</f>
        <v>Self Paced Learning Portals, Instructor or Expert Learning Programs</v>
      </c>
      <c r="N30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1" s="1" t="str">
        <f ca="1">IFERROR(__xludf.DUMMYFUNCTION("""COMPUTED_VALUE"""),"Manager who explains what is expected, sets a goal and helps achieve it")</f>
        <v>Manager who explains what is expected, sets a goal and helps achieve it</v>
      </c>
      <c r="P301" s="1" t="str">
        <f ca="1">IFERROR(__xludf.DUMMYFUNCTION("""COMPUTED_VALUE"""),"Work with 2 to 3 people in my team")</f>
        <v>Work with 2 to 3 people in my team</v>
      </c>
      <c r="Q301" s="1"/>
    </row>
    <row r="302" spans="1:17" ht="13.2" x14ac:dyDescent="0.25">
      <c r="A302" s="2">
        <f ca="1">IFERROR(__xludf.DUMMYFUNCTION("""COMPUTED_VALUE"""),44919.7263927893)</f>
        <v>44919.7263927893</v>
      </c>
      <c r="B302" s="1" t="str">
        <f ca="1">IFERROR(__xludf.DUMMYFUNCTION("""COMPUTED_VALUE"""),"India")</f>
        <v>India</v>
      </c>
      <c r="C302" s="1">
        <f ca="1">IFERROR(__xludf.DUMMYFUNCTION("""COMPUTED_VALUE"""),576101)</f>
        <v>576101</v>
      </c>
      <c r="D302" s="3" t="str">
        <f ca="1">IFERROR(__xludf.DUMMYFUNCTION("""COMPUTED_VALUE"""),"Female")</f>
        <v>Female</v>
      </c>
      <c r="E302" s="1" t="str">
        <f ca="1">IFERROR(__xludf.DUMMYFUNCTION("""COMPUTED_VALUE"""),"Influencers who had successful careers")</f>
        <v>Influencers who had successful careers</v>
      </c>
      <c r="F302" s="1" t="str">
        <f ca="1">IFERROR(__xludf.DUMMYFUNCTION("""COMPUTED_VALUE"""),"No, But if someone could bare the cost I will")</f>
        <v>No, But if someone could bare the cost I will</v>
      </c>
      <c r="G302" s="1" t="str">
        <f ca="1">IFERROR(__xludf.DUMMYFUNCTION("""COMPUTED_VALUE"""),"This will be hard to do, but if it is the right company I would try")</f>
        <v>This will be hard to do, but if it is the right company I would try</v>
      </c>
      <c r="H302" s="1" t="str">
        <f ca="1">IFERROR(__xludf.DUMMYFUNCTION("""COMPUTED_VALUE"""),"No")</f>
        <v>No</v>
      </c>
      <c r="I302" s="1" t="str">
        <f ca="1">IFERROR(__xludf.DUMMYFUNCTION("""COMPUTED_VALUE"""),"Will NOT work for them")</f>
        <v>Will NOT work for them</v>
      </c>
      <c r="J302" s="1">
        <f ca="1">IFERROR(__xludf.DUMMYFUNCTION("""COMPUTED_VALUE"""),2)</f>
        <v>2</v>
      </c>
      <c r="K302" s="1" t="str">
        <f ca="1">IFERROR(__xludf.DUMMYFUNCTION("""COMPUTED_VALUE"""),"Hybrid Working Environment with less than 15 days a month at office")</f>
        <v>Hybrid Working Environment with less than 15 days a month at office</v>
      </c>
      <c r="L302" s="1" t="str">
        <f ca="1">IFERROR(__xludf.DUMMYFUNCTION("""COMPUTED_VALUE"""),"Employer who pushes your limits by enabling an learning environment, and rewards you at the end")</f>
        <v>Employer who pushes your limits by enabling an learning environment, and rewards you at the end</v>
      </c>
      <c r="M302" s="1" t="str">
        <f ca="1">IFERROR(__xludf.DUMMYFUNCTION("""COMPUTED_VALUE"""),"Self Paced Learning Portals, Instructor or Expert Learning Programs")</f>
        <v>Self Paced Learning Portals, Instructor or Expert Learning Programs</v>
      </c>
      <c r="N30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02" s="1" t="str">
        <f ca="1">IFERROR(__xludf.DUMMYFUNCTION("""COMPUTED_VALUE"""),"Manager who explains what is expected, sets a goal and helps achieve it")</f>
        <v>Manager who explains what is expected, sets a goal and helps achieve it</v>
      </c>
      <c r="P302" s="1" t="str">
        <f ca="1">IFERROR(__xludf.DUMMYFUNCTION("""COMPUTED_VALUE"""),"Work alone, Work with 5 to 6 people in my team")</f>
        <v>Work alone, Work with 5 to 6 people in my team</v>
      </c>
      <c r="Q302" s="1"/>
    </row>
    <row r="303" spans="1:17" ht="13.2" x14ac:dyDescent="0.25">
      <c r="A303" s="2">
        <f ca="1">IFERROR(__xludf.DUMMYFUNCTION("""COMPUTED_VALUE"""),44919.7392865162)</f>
        <v>44919.739286516196</v>
      </c>
      <c r="B303" s="1" t="str">
        <f ca="1">IFERROR(__xludf.DUMMYFUNCTION("""COMPUTED_VALUE"""),"India")</f>
        <v>India</v>
      </c>
      <c r="C303" s="1">
        <f ca="1">IFERROR(__xludf.DUMMYFUNCTION("""COMPUTED_VALUE"""),385001)</f>
        <v>385001</v>
      </c>
      <c r="D303" s="3" t="str">
        <f ca="1">IFERROR(__xludf.DUMMYFUNCTION("""COMPUTED_VALUE"""),"Female")</f>
        <v>Female</v>
      </c>
      <c r="E303" s="1" t="str">
        <f ca="1">IFERROR(__xludf.DUMMYFUNCTION("""COMPUTED_VALUE"""),"Social Media like LinkedIn")</f>
        <v>Social Media like LinkedIn</v>
      </c>
      <c r="F303" s="1" t="str">
        <f ca="1">IFERROR(__xludf.DUMMYFUNCTION("""COMPUTED_VALUE"""),"Yes, I will earn and do that")</f>
        <v>Yes, I will earn and do that</v>
      </c>
      <c r="G303" s="1" t="str">
        <f ca="1">IFERROR(__xludf.DUMMYFUNCTION("""COMPUTED_VALUE"""),"No way, 3 years with one employer is crazy")</f>
        <v>No way, 3 years with one employer is crazy</v>
      </c>
      <c r="H303" s="1" t="str">
        <f ca="1">IFERROR(__xludf.DUMMYFUNCTION("""COMPUTED_VALUE"""),"Yes")</f>
        <v>Yes</v>
      </c>
      <c r="I303" s="1" t="str">
        <f ca="1">IFERROR(__xludf.DUMMYFUNCTION("""COMPUTED_VALUE"""),"Will NOT work for them")</f>
        <v>Will NOT work for them</v>
      </c>
      <c r="J303" s="1">
        <f ca="1">IFERROR(__xludf.DUMMYFUNCTION("""COMPUTED_VALUE"""),10)</f>
        <v>10</v>
      </c>
      <c r="K303" s="1" t="str">
        <f ca="1">IFERROR(__xludf.DUMMYFUNCTION("""COMPUTED_VALUE"""),"Fully Remote with No option to visit offices")</f>
        <v>Fully Remote with No option to visit offices</v>
      </c>
      <c r="L303" s="1" t="str">
        <f ca="1">IFERROR(__xludf.DUMMYFUNCTION("""COMPUTED_VALUE"""),"Employer who rewards learning and enables that environment")</f>
        <v>Employer who rewards learning and enables that environment</v>
      </c>
      <c r="M303" s="1" t="str">
        <f ca="1">IFERROR(__xludf.DUMMYFUNCTION("""COMPUTED_VALUE"""),"Learning by observing others, Trial and error by doing side projects within the company")</f>
        <v>Learning by observing others, Trial and error by doing side projects within the company</v>
      </c>
      <c r="N303"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03" s="1" t="str">
        <f ca="1">IFERROR(__xludf.DUMMYFUNCTION("""COMPUTED_VALUE"""),"Manager who sets targets and expects me to achieve it")</f>
        <v>Manager who sets targets and expects me to achieve it</v>
      </c>
      <c r="P303" s="1" t="str">
        <f ca="1">IFERROR(__xludf.DUMMYFUNCTION("""COMPUTED_VALUE"""),"Work with more than 10 people in my team")</f>
        <v>Work with more than 10 people in my team</v>
      </c>
      <c r="Q303" s="1"/>
    </row>
    <row r="304" spans="1:17" ht="13.2" x14ac:dyDescent="0.25">
      <c r="A304" s="2">
        <f ca="1">IFERROR(__xludf.DUMMYFUNCTION("""COMPUTED_VALUE"""),44919.9693147569)</f>
        <v>44919.969314756898</v>
      </c>
      <c r="B304" s="1" t="str">
        <f ca="1">IFERROR(__xludf.DUMMYFUNCTION("""COMPUTED_VALUE"""),"India")</f>
        <v>India</v>
      </c>
      <c r="C304" s="1">
        <f ca="1">IFERROR(__xludf.DUMMYFUNCTION("""COMPUTED_VALUE"""),574227)</f>
        <v>574227</v>
      </c>
      <c r="D304" s="3" t="str">
        <f ca="1">IFERROR(__xludf.DUMMYFUNCTION("""COMPUTED_VALUE"""),"Female")</f>
        <v>Female</v>
      </c>
      <c r="E304" s="1" t="str">
        <f ca="1">IFERROR(__xludf.DUMMYFUNCTION("""COMPUTED_VALUE"""),"Influencers who had successful careers")</f>
        <v>Influencers who had successful careers</v>
      </c>
      <c r="F304" s="1" t="str">
        <f ca="1">IFERROR(__xludf.DUMMYFUNCTION("""COMPUTED_VALUE"""),"No I would not be pursuing Higher Education outside of India")</f>
        <v>No I would not be pursuing Higher Education outside of India</v>
      </c>
      <c r="G304" s="1" t="str">
        <f ca="1">IFERROR(__xludf.DUMMYFUNCTION("""COMPUTED_VALUE"""),"Will work for 3 years or more")</f>
        <v>Will work for 3 years or more</v>
      </c>
      <c r="H304" s="1" t="str">
        <f ca="1">IFERROR(__xludf.DUMMYFUNCTION("""COMPUTED_VALUE"""),"No")</f>
        <v>No</v>
      </c>
      <c r="I304" s="1" t="str">
        <f ca="1">IFERROR(__xludf.DUMMYFUNCTION("""COMPUTED_VALUE"""),"Will NOT work for them")</f>
        <v>Will NOT work for them</v>
      </c>
      <c r="J304" s="1">
        <f ca="1">IFERROR(__xludf.DUMMYFUNCTION("""COMPUTED_VALUE"""),5)</f>
        <v>5</v>
      </c>
      <c r="K304" s="1" t="str">
        <f ca="1">IFERROR(__xludf.DUMMYFUNCTION("""COMPUTED_VALUE"""),"Hybrid Working Environment with less than 10 days a month at office")</f>
        <v>Hybrid Working Environment with less than 10 days a month at office</v>
      </c>
      <c r="L304" s="1" t="str">
        <f ca="1">IFERROR(__xludf.DUMMYFUNCTION("""COMPUTED_VALUE"""),"Employer who pushes your limits by enabling an learning environment, and rewards you at the end")</f>
        <v>Employer who pushes your limits by enabling an learning environment, and rewards you at the end</v>
      </c>
      <c r="M304" s="1" t="str">
        <f ca="1">IFERROR(__xludf.DUMMYFUNCTION("""COMPUTED_VALUE"""),"Instructor or Expert Learning Programs, Trial and error by doing side projects within the company")</f>
        <v>Instructor or Expert Learning Programs, Trial and error by doing side projects within the company</v>
      </c>
      <c r="N30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4" s="1" t="str">
        <f ca="1">IFERROR(__xludf.DUMMYFUNCTION("""COMPUTED_VALUE"""),"Manager who explains what is expected, sets a goal and helps achieve it")</f>
        <v>Manager who explains what is expected, sets a goal and helps achieve it</v>
      </c>
      <c r="P304" s="1" t="str">
        <f ca="1">IFERROR(__xludf.DUMMYFUNCTION("""COMPUTED_VALUE"""),"Work with 7 to 10 or more people in my team")</f>
        <v>Work with 7 to 10 or more people in my team</v>
      </c>
      <c r="Q304" s="1"/>
    </row>
    <row r="305" spans="1:17" ht="13.2" x14ac:dyDescent="0.25">
      <c r="A305" s="2">
        <f ca="1">IFERROR(__xludf.DUMMYFUNCTION("""COMPUTED_VALUE"""),44920.6712373726)</f>
        <v>44920.671237372597</v>
      </c>
      <c r="B305" s="1" t="str">
        <f ca="1">IFERROR(__xludf.DUMMYFUNCTION("""COMPUTED_VALUE"""),"India")</f>
        <v>India</v>
      </c>
      <c r="C305" s="1">
        <f ca="1">IFERROR(__xludf.DUMMYFUNCTION("""COMPUTED_VALUE"""),210424)</f>
        <v>210424</v>
      </c>
      <c r="D305" s="3" t="str">
        <f ca="1">IFERROR(__xludf.DUMMYFUNCTION("""COMPUTED_VALUE"""),"Male")</f>
        <v>Male</v>
      </c>
      <c r="E305" s="1" t="str">
        <f ca="1">IFERROR(__xludf.DUMMYFUNCTION("""COMPUTED_VALUE"""),"People from my circle, but not family members")</f>
        <v>People from my circle, but not family members</v>
      </c>
      <c r="F305" s="1" t="str">
        <f ca="1">IFERROR(__xludf.DUMMYFUNCTION("""COMPUTED_VALUE"""),"No I would not be pursuing Higher Education outside of India")</f>
        <v>No I would not be pursuing Higher Education outside of India</v>
      </c>
      <c r="G305" s="1" t="str">
        <f ca="1">IFERROR(__xludf.DUMMYFUNCTION("""COMPUTED_VALUE"""),"Will work for 3 years or more")</f>
        <v>Will work for 3 years or more</v>
      </c>
      <c r="H305" s="1" t="str">
        <f ca="1">IFERROR(__xludf.DUMMYFUNCTION("""COMPUTED_VALUE"""),"No")</f>
        <v>No</v>
      </c>
      <c r="I305" s="1" t="str">
        <f ca="1">IFERROR(__xludf.DUMMYFUNCTION("""COMPUTED_VALUE"""),"Will NOT work for them")</f>
        <v>Will NOT work for them</v>
      </c>
      <c r="J305" s="1">
        <f ca="1">IFERROR(__xludf.DUMMYFUNCTION("""COMPUTED_VALUE"""),5)</f>
        <v>5</v>
      </c>
      <c r="K305" s="1" t="str">
        <f ca="1">IFERROR(__xludf.DUMMYFUNCTION("""COMPUTED_VALUE"""),"Hybrid Working Environment with less than 10 days a month at office")</f>
        <v>Hybrid Working Environment with less than 10 days a month at office</v>
      </c>
      <c r="L305" s="1" t="str">
        <f ca="1">IFERROR(__xludf.DUMMYFUNCTION("""COMPUTED_VALUE"""),"Employer who appreciates learning and enables that environment")</f>
        <v>Employer who appreciates learning and enables that environment</v>
      </c>
      <c r="M305" s="1" t="str">
        <f ca="1">IFERROR(__xludf.DUMMYFUNCTION("""COMPUTED_VALUE"""),"Instructor or Expert Learning Programs, Learning by observing others")</f>
        <v>Instructor or Expert Learning Programs, Learning by observing others</v>
      </c>
      <c r="N305"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5" s="1" t="str">
        <f ca="1">IFERROR(__xludf.DUMMYFUNCTION("""COMPUTED_VALUE"""),"Manager who sets goal and helps me achieve it")</f>
        <v>Manager who sets goal and helps me achieve it</v>
      </c>
      <c r="P305" s="1" t="str">
        <f ca="1">IFERROR(__xludf.DUMMYFUNCTION("""COMPUTED_VALUE"""),"Work with 2 to 3 people in my team")</f>
        <v>Work with 2 to 3 people in my team</v>
      </c>
      <c r="Q305" s="1"/>
    </row>
    <row r="306" spans="1:17" ht="13.2" x14ac:dyDescent="0.25">
      <c r="A306" s="2">
        <f ca="1">IFERROR(__xludf.DUMMYFUNCTION("""COMPUTED_VALUE"""),44920.6721050694)</f>
        <v>44920.672105069403</v>
      </c>
      <c r="B306" s="1" t="str">
        <f ca="1">IFERROR(__xludf.DUMMYFUNCTION("""COMPUTED_VALUE"""),"India")</f>
        <v>India</v>
      </c>
      <c r="C306" s="1">
        <f ca="1">IFERROR(__xludf.DUMMYFUNCTION("""COMPUTED_VALUE"""),600100)</f>
        <v>600100</v>
      </c>
      <c r="D306" s="3" t="str">
        <f ca="1">IFERROR(__xludf.DUMMYFUNCTION("""COMPUTED_VALUE"""),"Female")</f>
        <v>Female</v>
      </c>
      <c r="E306" s="1" t="str">
        <f ca="1">IFERROR(__xludf.DUMMYFUNCTION("""COMPUTED_VALUE"""),"My Parents")</f>
        <v>My Parents</v>
      </c>
      <c r="F306" s="1" t="str">
        <f ca="1">IFERROR(__xludf.DUMMYFUNCTION("""COMPUTED_VALUE"""),"No, But if someone could bare the cost I will")</f>
        <v>No, But if someone could bare the cost I will</v>
      </c>
      <c r="G306" s="1" t="str">
        <f ca="1">IFERROR(__xludf.DUMMYFUNCTION("""COMPUTED_VALUE"""),"This will be hard to do, but if it is the right company I would try")</f>
        <v>This will be hard to do, but if it is the right company I would try</v>
      </c>
      <c r="H306" s="1" t="str">
        <f ca="1">IFERROR(__xludf.DUMMYFUNCTION("""COMPUTED_VALUE"""),"No")</f>
        <v>No</v>
      </c>
      <c r="I306" s="1" t="str">
        <f ca="1">IFERROR(__xludf.DUMMYFUNCTION("""COMPUTED_VALUE"""),"Will NOT work for them")</f>
        <v>Will NOT work for them</v>
      </c>
      <c r="J306" s="1">
        <f ca="1">IFERROR(__xludf.DUMMYFUNCTION("""COMPUTED_VALUE"""),9)</f>
        <v>9</v>
      </c>
      <c r="K306" s="1" t="str">
        <f ca="1">IFERROR(__xludf.DUMMYFUNCTION("""COMPUTED_VALUE"""),"Hybrid Working Environment with less than 15 days a month at office")</f>
        <v>Hybrid Working Environment with less than 15 days a month at office</v>
      </c>
      <c r="L306" s="1" t="str">
        <f ca="1">IFERROR(__xludf.DUMMYFUNCTION("""COMPUTED_VALUE"""),"Employer who pushes your limits by enabling an learning environment, and rewards you at the end")</f>
        <v>Employer who pushes your limits by enabling an learning environment, and rewards you at the end</v>
      </c>
      <c r="M306" s="1" t="str">
        <f ca="1">IFERROR(__xludf.DUMMYFUNCTION("""COMPUTED_VALUE"""),"Self Paced Learning Portals, Instructor or Expert Learning Programs")</f>
        <v>Self Paced Learning Portals, Instructor or Expert Learning Programs</v>
      </c>
      <c r="N30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6" s="1" t="str">
        <f ca="1">IFERROR(__xludf.DUMMYFUNCTION("""COMPUTED_VALUE"""),"Manager who clearly describes what she/he needs")</f>
        <v>Manager who clearly describes what she/he needs</v>
      </c>
      <c r="P306" s="1" t="str">
        <f ca="1">IFERROR(__xludf.DUMMYFUNCTION("""COMPUTED_VALUE"""),"Work with 5 to 6 people in my team")</f>
        <v>Work with 5 to 6 people in my team</v>
      </c>
      <c r="Q306" s="1"/>
    </row>
    <row r="307" spans="1:17" ht="13.2" x14ac:dyDescent="0.25">
      <c r="A307" s="2">
        <f ca="1">IFERROR(__xludf.DUMMYFUNCTION("""COMPUTED_VALUE"""),44920.6784597569)</f>
        <v>44920.678459756899</v>
      </c>
      <c r="B307" s="1" t="str">
        <f ca="1">IFERROR(__xludf.DUMMYFUNCTION("""COMPUTED_VALUE"""),"India")</f>
        <v>India</v>
      </c>
      <c r="C307" s="1">
        <f ca="1">IFERROR(__xludf.DUMMYFUNCTION("""COMPUTED_VALUE"""),210427)</f>
        <v>210427</v>
      </c>
      <c r="D307" s="3" t="str">
        <f ca="1">IFERROR(__xludf.DUMMYFUNCTION("""COMPUTED_VALUE"""),"Male")</f>
        <v>Male</v>
      </c>
      <c r="E307" s="1" t="str">
        <f ca="1">IFERROR(__xludf.DUMMYFUNCTION("""COMPUTED_VALUE"""),"Social Media like LinkedIn")</f>
        <v>Social Media like LinkedIn</v>
      </c>
      <c r="F307" s="1" t="str">
        <f ca="1">IFERROR(__xludf.DUMMYFUNCTION("""COMPUTED_VALUE"""),"Yes, I will earn and do that")</f>
        <v>Yes, I will earn and do that</v>
      </c>
      <c r="G307" s="1" t="str">
        <f ca="1">IFERROR(__xludf.DUMMYFUNCTION("""COMPUTED_VALUE"""),"This will be hard to do, but if it is the right company I would try")</f>
        <v>This will be hard to do, but if it is the right company I would try</v>
      </c>
      <c r="H307" s="1" t="str">
        <f ca="1">IFERROR(__xludf.DUMMYFUNCTION("""COMPUTED_VALUE"""),"No")</f>
        <v>No</v>
      </c>
      <c r="I307" s="1" t="str">
        <f ca="1">IFERROR(__xludf.DUMMYFUNCTION("""COMPUTED_VALUE"""),"Will NOT work for them")</f>
        <v>Will NOT work for them</v>
      </c>
      <c r="J307" s="1">
        <f ca="1">IFERROR(__xludf.DUMMYFUNCTION("""COMPUTED_VALUE"""),8)</f>
        <v>8</v>
      </c>
      <c r="K307" s="1" t="str">
        <f ca="1">IFERROR(__xludf.DUMMYFUNCTION("""COMPUTED_VALUE"""),"Hybrid Working Environment with less than 3 days a month at office")</f>
        <v>Hybrid Working Environment with less than 3 days a month at office</v>
      </c>
      <c r="L307" s="1" t="str">
        <f ca="1">IFERROR(__xludf.DUMMYFUNCTION("""COMPUTED_VALUE"""),"Employer who pushes your limits by enabling an learning environment, and rewards you at the end")</f>
        <v>Employer who pushes your limits by enabling an learning environment, and rewards you at the end</v>
      </c>
      <c r="M307" s="1" t="str">
        <f ca="1">IFERROR(__xludf.DUMMYFUNCTION("""COMPUTED_VALUE"""),"Self Paced Learning Portals, Trial and error by doing side projects within the company")</f>
        <v>Self Paced Learning Portals, Trial and error by doing side projects within the company</v>
      </c>
      <c r="N307"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07" s="1" t="str">
        <f ca="1">IFERROR(__xludf.DUMMYFUNCTION("""COMPUTED_VALUE"""),"Manager who explains what is expected, sets a goal and helps achieve it")</f>
        <v>Manager who explains what is expected, sets a goal and helps achieve it</v>
      </c>
      <c r="P307" s="1" t="str">
        <f ca="1">IFERROR(__xludf.DUMMYFUNCTION("""COMPUTED_VALUE"""),"Work alone")</f>
        <v>Work alone</v>
      </c>
      <c r="Q307" s="1"/>
    </row>
    <row r="308" spans="1:17" ht="13.2" x14ac:dyDescent="0.25">
      <c r="A308" s="2">
        <f ca="1">IFERROR(__xludf.DUMMYFUNCTION("""COMPUTED_VALUE"""),44920.7275024421)</f>
        <v>44920.727502442103</v>
      </c>
      <c r="B308" s="1" t="str">
        <f ca="1">IFERROR(__xludf.DUMMYFUNCTION("""COMPUTED_VALUE"""),"India")</f>
        <v>India</v>
      </c>
      <c r="C308" s="1">
        <f ca="1">IFERROR(__xludf.DUMMYFUNCTION("""COMPUTED_VALUE"""),210424)</f>
        <v>210424</v>
      </c>
      <c r="D308" s="3" t="str">
        <f ca="1">IFERROR(__xludf.DUMMYFUNCTION("""COMPUTED_VALUE"""),"Male")</f>
        <v>Male</v>
      </c>
      <c r="E308" s="1" t="str">
        <f ca="1">IFERROR(__xludf.DUMMYFUNCTION("""COMPUTED_VALUE"""),"My Parents")</f>
        <v>My Parents</v>
      </c>
      <c r="F308" s="1" t="str">
        <f ca="1">IFERROR(__xludf.DUMMYFUNCTION("""COMPUTED_VALUE"""),"No I would not be pursuing Higher Education outside of India")</f>
        <v>No I would not be pursuing Higher Education outside of India</v>
      </c>
      <c r="G308" s="1" t="str">
        <f ca="1">IFERROR(__xludf.DUMMYFUNCTION("""COMPUTED_VALUE"""),"This will be hard to do, but if it is the right company I would try")</f>
        <v>This will be hard to do, but if it is the right company I would try</v>
      </c>
      <c r="H308" s="1" t="str">
        <f ca="1">IFERROR(__xludf.DUMMYFUNCTION("""COMPUTED_VALUE"""),"No")</f>
        <v>No</v>
      </c>
      <c r="I308" s="1" t="str">
        <f ca="1">IFERROR(__xludf.DUMMYFUNCTION("""COMPUTED_VALUE"""),"Will NOT work for them")</f>
        <v>Will NOT work for them</v>
      </c>
      <c r="J308" s="1">
        <f ca="1">IFERROR(__xludf.DUMMYFUNCTION("""COMPUTED_VALUE"""),5)</f>
        <v>5</v>
      </c>
      <c r="K308" s="1" t="str">
        <f ca="1">IFERROR(__xludf.DUMMYFUNCTION("""COMPUTED_VALUE"""),"Fully Remote with Options to travel as and when needed")</f>
        <v>Fully Remote with Options to travel as and when needed</v>
      </c>
      <c r="L308" s="1" t="str">
        <f ca="1">IFERROR(__xludf.DUMMYFUNCTION("""COMPUTED_VALUE"""),"Employer who appreciates learning and enables that environment")</f>
        <v>Employer who appreciates learning and enables that environment</v>
      </c>
      <c r="M308" s="1" t="str">
        <f ca="1">IFERROR(__xludf.DUMMYFUNCTION("""COMPUTED_VALUE"""),"Self Paced Learning Portals, Instructor or Expert Learning Programs")</f>
        <v>Self Paced Learning Portals, Instructor or Expert Learning Programs</v>
      </c>
      <c r="N308"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8" s="1" t="str">
        <f ca="1">IFERROR(__xludf.DUMMYFUNCTION("""COMPUTED_VALUE"""),"Manager who sets goal and helps me achieve it")</f>
        <v>Manager who sets goal and helps me achieve it</v>
      </c>
      <c r="P308" s="1" t="str">
        <f ca="1">IFERROR(__xludf.DUMMYFUNCTION("""COMPUTED_VALUE"""),"Work alone")</f>
        <v>Work alone</v>
      </c>
      <c r="Q308" s="1"/>
    </row>
    <row r="309" spans="1:17" ht="13.2" x14ac:dyDescent="0.25">
      <c r="A309" s="2">
        <f ca="1">IFERROR(__xludf.DUMMYFUNCTION("""COMPUTED_VALUE"""),44921.23996978)</f>
        <v>44921.239969779999</v>
      </c>
      <c r="B309" s="1" t="str">
        <f ca="1">IFERROR(__xludf.DUMMYFUNCTION("""COMPUTED_VALUE"""),"India")</f>
        <v>India</v>
      </c>
      <c r="C309" s="1">
        <f ca="1">IFERROR(__xludf.DUMMYFUNCTION("""COMPUTED_VALUE"""),828120)</f>
        <v>828120</v>
      </c>
      <c r="D309" s="3" t="str">
        <f ca="1">IFERROR(__xludf.DUMMYFUNCTION("""COMPUTED_VALUE"""),"Female")</f>
        <v>Female</v>
      </c>
      <c r="E309" s="1" t="str">
        <f ca="1">IFERROR(__xludf.DUMMYFUNCTION("""COMPUTED_VALUE"""),"People who have changed the world for better")</f>
        <v>People who have changed the world for better</v>
      </c>
      <c r="F309" s="1" t="str">
        <f ca="1">IFERROR(__xludf.DUMMYFUNCTION("""COMPUTED_VALUE"""),"No I would not be pursuing Higher Education outside of India")</f>
        <v>No I would not be pursuing Higher Education outside of India</v>
      </c>
      <c r="G309" s="1" t="str">
        <f ca="1">IFERROR(__xludf.DUMMYFUNCTION("""COMPUTED_VALUE"""),"This will be hard to do, but if it is the right company I would try")</f>
        <v>This will be hard to do, but if it is the right company I would try</v>
      </c>
      <c r="H309" s="1" t="str">
        <f ca="1">IFERROR(__xludf.DUMMYFUNCTION("""COMPUTED_VALUE"""),"No")</f>
        <v>No</v>
      </c>
      <c r="I309" s="1" t="str">
        <f ca="1">IFERROR(__xludf.DUMMYFUNCTION("""COMPUTED_VALUE"""),"Will NOT work for them")</f>
        <v>Will NOT work for them</v>
      </c>
      <c r="J309" s="1">
        <f ca="1">IFERROR(__xludf.DUMMYFUNCTION("""COMPUTED_VALUE"""),5)</f>
        <v>5</v>
      </c>
      <c r="K309" s="1" t="str">
        <f ca="1">IFERROR(__xludf.DUMMYFUNCTION("""COMPUTED_VALUE"""),"Fully Remote with No option to visit offices")</f>
        <v>Fully Remote with No option to visit offices</v>
      </c>
      <c r="L309" s="1" t="str">
        <f ca="1">IFERROR(__xludf.DUMMYFUNCTION("""COMPUTED_VALUE"""),"Employer who appreciates learning and enables that environment")</f>
        <v>Employer who appreciates learning and enables that environment</v>
      </c>
      <c r="M309" s="1" t="str">
        <f ca="1">IFERROR(__xludf.DUMMYFUNCTION("""COMPUTED_VALUE"""),"Instructor or Expert Learning Programs, Learning by observing others")</f>
        <v>Instructor or Expert Learning Programs, Learning by observing others</v>
      </c>
      <c r="N309"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09" s="1" t="str">
        <f ca="1">IFERROR(__xludf.DUMMYFUNCTION("""COMPUTED_VALUE"""),"Manager who sets goal and helps me achieve it")</f>
        <v>Manager who sets goal and helps me achieve it</v>
      </c>
      <c r="P309" s="1" t="str">
        <f ca="1">IFERROR(__xludf.DUMMYFUNCTION("""COMPUTED_VALUE"""),"Work with 5 to 6 people in my team")</f>
        <v>Work with 5 to 6 people in my team</v>
      </c>
      <c r="Q309" s="1"/>
    </row>
    <row r="310" spans="1:17" ht="13.2" x14ac:dyDescent="0.25">
      <c r="A310" s="2">
        <f ca="1">IFERROR(__xludf.DUMMYFUNCTION("""COMPUTED_VALUE"""),44922.4101984838)</f>
        <v>44922.410198483798</v>
      </c>
      <c r="B310" s="1" t="str">
        <f ca="1">IFERROR(__xludf.DUMMYFUNCTION("""COMPUTED_VALUE"""),"India")</f>
        <v>India</v>
      </c>
      <c r="C310" s="1">
        <f ca="1">IFERROR(__xludf.DUMMYFUNCTION("""COMPUTED_VALUE"""),743127)</f>
        <v>743127</v>
      </c>
      <c r="D310" s="3" t="str">
        <f ca="1">IFERROR(__xludf.DUMMYFUNCTION("""COMPUTED_VALUE"""),"Male")</f>
        <v>Male</v>
      </c>
      <c r="E310" s="1" t="str">
        <f ca="1">IFERROR(__xludf.DUMMYFUNCTION("""COMPUTED_VALUE"""),"People who have changed the world for better")</f>
        <v>People who have changed the world for better</v>
      </c>
      <c r="F310" s="1" t="str">
        <f ca="1">IFERROR(__xludf.DUMMYFUNCTION("""COMPUTED_VALUE"""),"Yes, I will earn and do that")</f>
        <v>Yes, I will earn and do that</v>
      </c>
      <c r="G310" s="1" t="str">
        <f ca="1">IFERROR(__xludf.DUMMYFUNCTION("""COMPUTED_VALUE"""),"Will work for 3 years or more")</f>
        <v>Will work for 3 years or more</v>
      </c>
      <c r="H310" s="1" t="str">
        <f ca="1">IFERROR(__xludf.DUMMYFUNCTION("""COMPUTED_VALUE"""),"No")</f>
        <v>No</v>
      </c>
      <c r="I310" s="1" t="str">
        <f ca="1">IFERROR(__xludf.DUMMYFUNCTION("""COMPUTED_VALUE"""),"Will NOT work for them")</f>
        <v>Will NOT work for them</v>
      </c>
      <c r="J310" s="1">
        <f ca="1">IFERROR(__xludf.DUMMYFUNCTION("""COMPUTED_VALUE"""),2)</f>
        <v>2</v>
      </c>
      <c r="K310" s="1" t="str">
        <f ca="1">IFERROR(__xludf.DUMMYFUNCTION("""COMPUTED_VALUE"""),"Fully Remote with Options to travel as and when needed")</f>
        <v>Fully Remote with Options to travel as and when needed</v>
      </c>
      <c r="L310" s="1" t="str">
        <f ca="1">IFERROR(__xludf.DUMMYFUNCTION("""COMPUTED_VALUE"""),"Employer who pushes your limits by enabling an learning environment, and rewards you at the end")</f>
        <v>Employer who pushes your limits by enabling an learning environment, and rewards you at the end</v>
      </c>
      <c r="M310" s="1" t="str">
        <f ca="1">IFERROR(__xludf.DUMMYFUNCTION("""COMPUTED_VALUE"""),"Self Paced Learning Portals, Trial and error by doing side projects within the company")</f>
        <v>Self Paced Learning Portals, Trial and error by doing side projects within the company</v>
      </c>
      <c r="N310"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10" s="1" t="str">
        <f ca="1">IFERROR(__xludf.DUMMYFUNCTION("""COMPUTED_VALUE"""),"Manager who explains what is expected, sets a goal and helps achieve it")</f>
        <v>Manager who explains what is expected, sets a goal and helps achieve it</v>
      </c>
      <c r="P310" s="1" t="str">
        <f ca="1">IFERROR(__xludf.DUMMYFUNCTION("""COMPUTED_VALUE"""),"Work with more than 10 people in my team")</f>
        <v>Work with more than 10 people in my team</v>
      </c>
      <c r="Q310" s="1"/>
    </row>
    <row r="311" spans="1:17" ht="13.2" x14ac:dyDescent="0.25">
      <c r="A311" s="2">
        <f ca="1">IFERROR(__xludf.DUMMYFUNCTION("""COMPUTED_VALUE"""),44925.2234842013)</f>
        <v>44925.223484201299</v>
      </c>
      <c r="B311" s="1" t="str">
        <f ca="1">IFERROR(__xludf.DUMMYFUNCTION("""COMPUTED_VALUE"""),"Canada")</f>
        <v>Canada</v>
      </c>
      <c r="C311" s="1" t="str">
        <f ca="1">IFERROR(__xludf.DUMMYFUNCTION("""COMPUTED_VALUE"""),"N9B2K9")</f>
        <v>N9B2K9</v>
      </c>
      <c r="D311" s="3" t="str">
        <f ca="1">IFERROR(__xludf.DUMMYFUNCTION("""COMPUTED_VALUE"""),"Male")</f>
        <v>Male</v>
      </c>
      <c r="E311" s="1" t="str">
        <f ca="1">IFERROR(__xludf.DUMMYFUNCTION("""COMPUTED_VALUE"""),"Social Media like LinkedIn")</f>
        <v>Social Media like LinkedIn</v>
      </c>
      <c r="F311" s="1" t="str">
        <f ca="1">IFERROR(__xludf.DUMMYFUNCTION("""COMPUTED_VALUE"""),"Yes, I will earn and do that")</f>
        <v>Yes, I will earn and do that</v>
      </c>
      <c r="G311" s="1" t="str">
        <f ca="1">IFERROR(__xludf.DUMMYFUNCTION("""COMPUTED_VALUE"""),"Will work for 3 years or more")</f>
        <v>Will work for 3 years or more</v>
      </c>
      <c r="H311" s="1" t="str">
        <f ca="1">IFERROR(__xludf.DUMMYFUNCTION("""COMPUTED_VALUE"""),"No")</f>
        <v>No</v>
      </c>
      <c r="I311" s="1" t="str">
        <f ca="1">IFERROR(__xludf.DUMMYFUNCTION("""COMPUTED_VALUE"""),"Will NOT work for them")</f>
        <v>Will NOT work for them</v>
      </c>
      <c r="J311" s="1">
        <f ca="1">IFERROR(__xludf.DUMMYFUNCTION("""COMPUTED_VALUE"""),5)</f>
        <v>5</v>
      </c>
      <c r="K311" s="1" t="str">
        <f ca="1">IFERROR(__xludf.DUMMYFUNCTION("""COMPUTED_VALUE"""),"Fully Remote with Options to travel as and when needed")</f>
        <v>Fully Remote with Options to travel as and when needed</v>
      </c>
      <c r="L311" s="1" t="str">
        <f ca="1">IFERROR(__xludf.DUMMYFUNCTION("""COMPUTED_VALUE"""),"Employer who appreciates learning and enables that environment")</f>
        <v>Employer who appreciates learning and enables that environment</v>
      </c>
      <c r="M311" s="1" t="str">
        <f ca="1">IFERROR(__xludf.DUMMYFUNCTION("""COMPUTED_VALUE"""),"Self Paced Learning Portals, Trial and error by doing side projects within the company")</f>
        <v>Self Paced Learning Portals, Trial and error by doing side projects within the company</v>
      </c>
      <c r="N311"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1" s="1" t="str">
        <f ca="1">IFERROR(__xludf.DUMMYFUNCTION("""COMPUTED_VALUE"""),"Manager who sets goal and helps me achieve it")</f>
        <v>Manager who sets goal and helps me achieve it</v>
      </c>
      <c r="P311" s="1" t="str">
        <f ca="1">IFERROR(__xludf.DUMMYFUNCTION("""COMPUTED_VALUE"""),"Work with more than 10 people in my team")</f>
        <v>Work with more than 10 people in my team</v>
      </c>
      <c r="Q311" s="1"/>
    </row>
    <row r="312" spans="1:17" ht="13.2" x14ac:dyDescent="0.25">
      <c r="A312" s="2">
        <f ca="1">IFERROR(__xludf.DUMMYFUNCTION("""COMPUTED_VALUE"""),44925.3416531365)</f>
        <v>44925.3416531365</v>
      </c>
      <c r="B312" s="1" t="str">
        <f ca="1">IFERROR(__xludf.DUMMYFUNCTION("""COMPUTED_VALUE"""),"India")</f>
        <v>India</v>
      </c>
      <c r="C312" s="1">
        <f ca="1">IFERROR(__xludf.DUMMYFUNCTION("""COMPUTED_VALUE"""),560064)</f>
        <v>560064</v>
      </c>
      <c r="D312" s="3" t="str">
        <f ca="1">IFERROR(__xludf.DUMMYFUNCTION("""COMPUTED_VALUE"""),"Female")</f>
        <v>Female</v>
      </c>
      <c r="E312" s="1" t="str">
        <f ca="1">IFERROR(__xludf.DUMMYFUNCTION("""COMPUTED_VALUE"""),"My Parents")</f>
        <v>My Parents</v>
      </c>
      <c r="F312" s="1" t="str">
        <f ca="1">IFERROR(__xludf.DUMMYFUNCTION("""COMPUTED_VALUE"""),"Yes, I will earn and do that")</f>
        <v>Yes, I will earn and do that</v>
      </c>
      <c r="G312" s="1" t="str">
        <f ca="1">IFERROR(__xludf.DUMMYFUNCTION("""COMPUTED_VALUE"""),"Will work for 3 years or more")</f>
        <v>Will work for 3 years or more</v>
      </c>
      <c r="H312" s="1" t="str">
        <f ca="1">IFERROR(__xludf.DUMMYFUNCTION("""COMPUTED_VALUE"""),"No")</f>
        <v>No</v>
      </c>
      <c r="I312" s="1" t="str">
        <f ca="1">IFERROR(__xludf.DUMMYFUNCTION("""COMPUTED_VALUE"""),"Will NOT work for them")</f>
        <v>Will NOT work for them</v>
      </c>
      <c r="J312" s="1">
        <f ca="1">IFERROR(__xludf.DUMMYFUNCTION("""COMPUTED_VALUE"""),5)</f>
        <v>5</v>
      </c>
      <c r="K312" s="1" t="str">
        <f ca="1">IFERROR(__xludf.DUMMYFUNCTION("""COMPUTED_VALUE"""),"Every Day Office Environment")</f>
        <v>Every Day Office Environment</v>
      </c>
      <c r="L312" s="1" t="str">
        <f ca="1">IFERROR(__xludf.DUMMYFUNCTION("""COMPUTED_VALUE"""),"Employer who pushes your limits by enabling an learning environment, and rewards you at the end")</f>
        <v>Employer who pushes your limits by enabling an learning environment, and rewards you at the end</v>
      </c>
      <c r="M312" s="1" t="str">
        <f ca="1">IFERROR(__xludf.DUMMYFUNCTION("""COMPUTED_VALUE"""),"Self Paced Learning Portals, Instructor or Expert Learning Programs")</f>
        <v>Self Paced Learning Portals, Instructor or Expert Learning Programs</v>
      </c>
      <c r="N31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12" s="1" t="str">
        <f ca="1">IFERROR(__xludf.DUMMYFUNCTION("""COMPUTED_VALUE"""),"Manager who explains what is expected, sets a goal and helps achieve it")</f>
        <v>Manager who explains what is expected, sets a goal and helps achieve it</v>
      </c>
      <c r="P312" s="1" t="str">
        <f ca="1">IFERROR(__xludf.DUMMYFUNCTION("""COMPUTED_VALUE"""),"Work with 2 to 3 people in my team")</f>
        <v>Work with 2 to 3 people in my team</v>
      </c>
      <c r="Q312" s="1"/>
    </row>
    <row r="313" spans="1:17" ht="13.2" x14ac:dyDescent="0.25">
      <c r="A313" s="2">
        <f ca="1">IFERROR(__xludf.DUMMYFUNCTION("""COMPUTED_VALUE"""),44925.4868696296)</f>
        <v>44925.486869629603</v>
      </c>
      <c r="B313" s="1" t="str">
        <f ca="1">IFERROR(__xludf.DUMMYFUNCTION("""COMPUTED_VALUE"""),"India")</f>
        <v>India</v>
      </c>
      <c r="C313" s="1">
        <f ca="1">IFERROR(__xludf.DUMMYFUNCTION("""COMPUTED_VALUE"""),814112)</f>
        <v>814112</v>
      </c>
      <c r="D313" s="3" t="str">
        <f ca="1">IFERROR(__xludf.DUMMYFUNCTION("""COMPUTED_VALUE"""),"Male")</f>
        <v>Male</v>
      </c>
      <c r="E313" s="1" t="str">
        <f ca="1">IFERROR(__xludf.DUMMYFUNCTION("""COMPUTED_VALUE"""),"People who have changed the world for better")</f>
        <v>People who have changed the world for better</v>
      </c>
      <c r="F313" s="1" t="str">
        <f ca="1">IFERROR(__xludf.DUMMYFUNCTION("""COMPUTED_VALUE"""),"No, But if someone could bare the cost I will")</f>
        <v>No, But if someone could bare the cost I will</v>
      </c>
      <c r="G313" s="1" t="str">
        <f ca="1">IFERROR(__xludf.DUMMYFUNCTION("""COMPUTED_VALUE"""),"This will be hard to do, but if it is the right company I would try")</f>
        <v>This will be hard to do, but if it is the right company I would try</v>
      </c>
      <c r="H313" s="1" t="str">
        <f ca="1">IFERROR(__xludf.DUMMYFUNCTION("""COMPUTED_VALUE"""),"No")</f>
        <v>No</v>
      </c>
      <c r="I313" s="1" t="str">
        <f ca="1">IFERROR(__xludf.DUMMYFUNCTION("""COMPUTED_VALUE"""),"Will NOT work for them")</f>
        <v>Will NOT work for them</v>
      </c>
      <c r="J313" s="1">
        <f ca="1">IFERROR(__xludf.DUMMYFUNCTION("""COMPUTED_VALUE"""),8)</f>
        <v>8</v>
      </c>
      <c r="K313" s="1" t="str">
        <f ca="1">IFERROR(__xludf.DUMMYFUNCTION("""COMPUTED_VALUE"""),"Fully Remote with Options to travel as and when needed")</f>
        <v>Fully Remote with Options to travel as and when needed</v>
      </c>
      <c r="L313" s="1" t="str">
        <f ca="1">IFERROR(__xludf.DUMMYFUNCTION("""COMPUTED_VALUE"""),"Employer who rewards learning and enables that environment")</f>
        <v>Employer who rewards learning and enables that environment</v>
      </c>
      <c r="M313" s="1" t="str">
        <f ca="1">IFERROR(__xludf.DUMMYFUNCTION("""COMPUTED_VALUE"""),"Instructor or Expert Learning Programs, Learning by observing others")</f>
        <v>Instructor or Expert Learning Programs, Learning by observing others</v>
      </c>
      <c r="N313"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13" s="1" t="str">
        <f ca="1">IFERROR(__xludf.DUMMYFUNCTION("""COMPUTED_VALUE"""),"Manager who explains what is expected, sets a goal and helps achieve it")</f>
        <v>Manager who explains what is expected, sets a goal and helps achieve it</v>
      </c>
      <c r="P313" s="1" t="str">
        <f ca="1">IFERROR(__xludf.DUMMYFUNCTION("""COMPUTED_VALUE"""),"Work with 2 to 3 people in my team")</f>
        <v>Work with 2 to 3 people in my team</v>
      </c>
      <c r="Q313" s="1"/>
    </row>
    <row r="314" spans="1:17" ht="13.2" x14ac:dyDescent="0.25">
      <c r="A314" s="2">
        <f ca="1">IFERROR(__xludf.DUMMYFUNCTION("""COMPUTED_VALUE"""),44926.5888028819)</f>
        <v>44926.588802881903</v>
      </c>
      <c r="B314" s="1" t="str">
        <f ca="1">IFERROR(__xludf.DUMMYFUNCTION("""COMPUTED_VALUE"""),"India")</f>
        <v>India</v>
      </c>
      <c r="C314" s="1">
        <f ca="1">IFERROR(__xludf.DUMMYFUNCTION("""COMPUTED_VALUE"""),147001)</f>
        <v>147001</v>
      </c>
      <c r="D314" s="3" t="str">
        <f ca="1">IFERROR(__xludf.DUMMYFUNCTION("""COMPUTED_VALUE"""),"Female")</f>
        <v>Female</v>
      </c>
      <c r="E314" s="1" t="str">
        <f ca="1">IFERROR(__xludf.DUMMYFUNCTION("""COMPUTED_VALUE"""),"People who have changed the world for better")</f>
        <v>People who have changed the world for better</v>
      </c>
      <c r="F314" s="1" t="str">
        <f ca="1">IFERROR(__xludf.DUMMYFUNCTION("""COMPUTED_VALUE"""),"No, But if someone could bare the cost I will")</f>
        <v>No, But if someone could bare the cost I will</v>
      </c>
      <c r="G314" s="1" t="str">
        <f ca="1">IFERROR(__xludf.DUMMYFUNCTION("""COMPUTED_VALUE"""),"This will be hard to do, but if it is the right company I would try")</f>
        <v>This will be hard to do, but if it is the right company I would try</v>
      </c>
      <c r="H314" s="1" t="str">
        <f ca="1">IFERROR(__xludf.DUMMYFUNCTION("""COMPUTED_VALUE"""),"Yes")</f>
        <v>Yes</v>
      </c>
      <c r="I314" s="1" t="str">
        <f ca="1">IFERROR(__xludf.DUMMYFUNCTION("""COMPUTED_VALUE"""),"Will NOT work for them")</f>
        <v>Will NOT work for them</v>
      </c>
      <c r="J314" s="1">
        <f ca="1">IFERROR(__xludf.DUMMYFUNCTION("""COMPUTED_VALUE"""),7)</f>
        <v>7</v>
      </c>
      <c r="K314" s="1" t="str">
        <f ca="1">IFERROR(__xludf.DUMMYFUNCTION("""COMPUTED_VALUE"""),"Fully Remote with Options to travel as and when needed")</f>
        <v>Fully Remote with Options to travel as and when needed</v>
      </c>
      <c r="L314" s="1" t="str">
        <f ca="1">IFERROR(__xludf.DUMMYFUNCTION("""COMPUTED_VALUE"""),"Employer who pushes your limits by enabling an learning environment, and rewards you at the end")</f>
        <v>Employer who pushes your limits by enabling an learning environment, and rewards you at the end</v>
      </c>
      <c r="M314" s="1" t="str">
        <f ca="1">IFERROR(__xludf.DUMMYFUNCTION("""COMPUTED_VALUE"""),"Learning by observing others, Trial and error by doing side projects within the company")</f>
        <v>Learning by observing others, Trial and error by doing side projects within the company</v>
      </c>
      <c r="N31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14" s="1" t="str">
        <f ca="1">IFERROR(__xludf.DUMMYFUNCTION("""COMPUTED_VALUE"""),"Manager who explains what is expected, sets a goal and helps achieve it")</f>
        <v>Manager who explains what is expected, sets a goal and helps achieve it</v>
      </c>
      <c r="P314" s="1" t="str">
        <f ca="1">IFERROR(__xludf.DUMMYFUNCTION("""COMPUTED_VALUE"""),"Work with 2 to 3 people in my team")</f>
        <v>Work with 2 to 3 people in my team</v>
      </c>
      <c r="Q314" s="1"/>
    </row>
    <row r="315" spans="1:17" ht="13.2" x14ac:dyDescent="0.25">
      <c r="A315" s="2">
        <f ca="1">IFERROR(__xludf.DUMMYFUNCTION("""COMPUTED_VALUE"""),44926.6492813194)</f>
        <v>44926.649281319398</v>
      </c>
      <c r="B315" s="1" t="str">
        <f ca="1">IFERROR(__xludf.DUMMYFUNCTION("""COMPUTED_VALUE"""),"Canada")</f>
        <v>Canada</v>
      </c>
      <c r="C315" s="1" t="str">
        <f ca="1">IFERROR(__xludf.DUMMYFUNCTION("""COMPUTED_VALUE"""),"S4s6a6")</f>
        <v>S4s6a6</v>
      </c>
      <c r="D315" s="3" t="str">
        <f ca="1">IFERROR(__xludf.DUMMYFUNCTION("""COMPUTED_VALUE"""),"Female")</f>
        <v>Female</v>
      </c>
      <c r="E315" s="1" t="str">
        <f ca="1">IFERROR(__xludf.DUMMYFUNCTION("""COMPUTED_VALUE"""),"Influencers who had successful careers")</f>
        <v>Influencers who had successful careers</v>
      </c>
      <c r="F315" s="1" t="str">
        <f ca="1">IFERROR(__xludf.DUMMYFUNCTION("""COMPUTED_VALUE"""),"Yes, I will earn and do that")</f>
        <v>Yes, I will earn and do that</v>
      </c>
      <c r="G315" s="1" t="str">
        <f ca="1">IFERROR(__xludf.DUMMYFUNCTION("""COMPUTED_VALUE"""),"This will be hard to do, but if it is the right company I would try")</f>
        <v>This will be hard to do, but if it is the right company I would try</v>
      </c>
      <c r="H315" s="1" t="str">
        <f ca="1">IFERROR(__xludf.DUMMYFUNCTION("""COMPUTED_VALUE"""),"No")</f>
        <v>No</v>
      </c>
      <c r="I315" s="1" t="str">
        <f ca="1">IFERROR(__xludf.DUMMYFUNCTION("""COMPUTED_VALUE"""),"Will NOT work for them")</f>
        <v>Will NOT work for them</v>
      </c>
      <c r="J315" s="1">
        <f ca="1">IFERROR(__xludf.DUMMYFUNCTION("""COMPUTED_VALUE"""),1)</f>
        <v>1</v>
      </c>
      <c r="K315" s="1" t="str">
        <f ca="1">IFERROR(__xludf.DUMMYFUNCTION("""COMPUTED_VALUE"""),"Fully Remote with Options to travel as and when needed")</f>
        <v>Fully Remote with Options to travel as and when needed</v>
      </c>
      <c r="L315" s="1" t="str">
        <f ca="1">IFERROR(__xludf.DUMMYFUNCTION("""COMPUTED_VALUE"""),"Employer who pushes your limits by enabling an learning environment, and rewards you at the end")</f>
        <v>Employer who pushes your limits by enabling an learning environment, and rewards you at the end</v>
      </c>
      <c r="M315" s="1" t="str">
        <f ca="1">IFERROR(__xludf.DUMMYFUNCTION("""COMPUTED_VALUE"""),"Self Paced Learning Portals, Learning by observing others")</f>
        <v>Self Paced Learning Portals, Learning by observing others</v>
      </c>
      <c r="N315"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5" s="1" t="str">
        <f ca="1">IFERROR(__xludf.DUMMYFUNCTION("""COMPUTED_VALUE"""),"Manager who explains what is expected, sets a goal and helps achieve it")</f>
        <v>Manager who explains what is expected, sets a goal and helps achieve it</v>
      </c>
      <c r="P315" s="1" t="str">
        <f ca="1">IFERROR(__xludf.DUMMYFUNCTION("""COMPUTED_VALUE"""),"Work with more than 10 people in my team")</f>
        <v>Work with more than 10 people in my team</v>
      </c>
      <c r="Q315" s="1"/>
    </row>
    <row r="316" spans="1:17" ht="13.2" x14ac:dyDescent="0.25">
      <c r="A316" s="2">
        <f ca="1">IFERROR(__xludf.DUMMYFUNCTION("""COMPUTED_VALUE"""),44926.7506061921)</f>
        <v>44926.750606192101</v>
      </c>
      <c r="B316" s="1" t="str">
        <f ca="1">IFERROR(__xludf.DUMMYFUNCTION("""COMPUTED_VALUE"""),"India")</f>
        <v>India</v>
      </c>
      <c r="C316" s="1">
        <f ca="1">IFERROR(__xludf.DUMMYFUNCTION("""COMPUTED_VALUE"""),431601)</f>
        <v>431601</v>
      </c>
      <c r="D316" s="3" t="str">
        <f ca="1">IFERROR(__xludf.DUMMYFUNCTION("""COMPUTED_VALUE"""),"Male")</f>
        <v>Male</v>
      </c>
      <c r="E316" s="1" t="str">
        <f ca="1">IFERROR(__xludf.DUMMYFUNCTION("""COMPUTED_VALUE"""),"Influencers who had successful careers")</f>
        <v>Influencers who had successful careers</v>
      </c>
      <c r="F316" s="1" t="str">
        <f ca="1">IFERROR(__xludf.DUMMYFUNCTION("""COMPUTED_VALUE"""),"Yes, I will earn and do that")</f>
        <v>Yes, I will earn and do that</v>
      </c>
      <c r="G316" s="1" t="str">
        <f ca="1">IFERROR(__xludf.DUMMYFUNCTION("""COMPUTED_VALUE"""),"Will work for 3 years or more")</f>
        <v>Will work for 3 years or more</v>
      </c>
      <c r="H316" s="1" t="str">
        <f ca="1">IFERROR(__xludf.DUMMYFUNCTION("""COMPUTED_VALUE"""),"Yes")</f>
        <v>Yes</v>
      </c>
      <c r="I316" s="1" t="str">
        <f ca="1">IFERROR(__xludf.DUMMYFUNCTION("""COMPUTED_VALUE"""),"Will work for them")</f>
        <v>Will work for them</v>
      </c>
      <c r="J316" s="1">
        <f ca="1">IFERROR(__xludf.DUMMYFUNCTION("""COMPUTED_VALUE"""),4)</f>
        <v>4</v>
      </c>
      <c r="K316" s="1" t="str">
        <f ca="1">IFERROR(__xludf.DUMMYFUNCTION("""COMPUTED_VALUE"""),"Hybrid Working Environment with less than 10 days a month at office")</f>
        <v>Hybrid Working Environment with less than 10 days a month at office</v>
      </c>
      <c r="L316" s="1" t="str">
        <f ca="1">IFERROR(__xludf.DUMMYFUNCTION("""COMPUTED_VALUE"""),"Employer who pushes your limits by enabling an learning environment, and rewards you at the end")</f>
        <v>Employer who pushes your limits by enabling an learning environment, and rewards you at the end</v>
      </c>
      <c r="M316" s="1" t="str">
        <f ca="1">IFERROR(__xludf.DUMMYFUNCTION("""COMPUTED_VALUE"""),"Instructor or Expert Learning Programs, Learning by observing others")</f>
        <v>Instructor or Expert Learning Programs, Learning by observing others</v>
      </c>
      <c r="N31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6" s="1" t="str">
        <f ca="1">IFERROR(__xludf.DUMMYFUNCTION("""COMPUTED_VALUE"""),"Manager who sets targets and expects me to achieve it")</f>
        <v>Manager who sets targets and expects me to achieve it</v>
      </c>
      <c r="P316" s="1" t="str">
        <f ca="1">IFERROR(__xludf.DUMMYFUNCTION("""COMPUTED_VALUE"""),"Work with 5 to 6 people in my team")</f>
        <v>Work with 5 to 6 people in my team</v>
      </c>
      <c r="Q316" s="1"/>
    </row>
    <row r="317" spans="1:17" ht="13.2" x14ac:dyDescent="0.25">
      <c r="A317" s="2">
        <f ca="1">IFERROR(__xludf.DUMMYFUNCTION("""COMPUTED_VALUE"""),44926.8332774074)</f>
        <v>44926.833277407401</v>
      </c>
      <c r="B317" s="1" t="str">
        <f ca="1">IFERROR(__xludf.DUMMYFUNCTION("""COMPUTED_VALUE"""),"India")</f>
        <v>India</v>
      </c>
      <c r="C317" s="1">
        <f ca="1">IFERROR(__xludf.DUMMYFUNCTION("""COMPUTED_VALUE"""),147001)</f>
        <v>147001</v>
      </c>
      <c r="D317" s="3" t="str">
        <f ca="1">IFERROR(__xludf.DUMMYFUNCTION("""COMPUTED_VALUE"""),"Female")</f>
        <v>Female</v>
      </c>
      <c r="E317" s="1" t="str">
        <f ca="1">IFERROR(__xludf.DUMMYFUNCTION("""COMPUTED_VALUE"""),"My Parents")</f>
        <v>My Parents</v>
      </c>
      <c r="F317" s="1" t="str">
        <f ca="1">IFERROR(__xludf.DUMMYFUNCTION("""COMPUTED_VALUE"""),"No I would not be pursuing Higher Education outside of India")</f>
        <v>No I would not be pursuing Higher Education outside of India</v>
      </c>
      <c r="G317" s="1" t="str">
        <f ca="1">IFERROR(__xludf.DUMMYFUNCTION("""COMPUTED_VALUE"""),"Will work for 3 years or more")</f>
        <v>Will work for 3 years or more</v>
      </c>
      <c r="H317" s="1" t="str">
        <f ca="1">IFERROR(__xludf.DUMMYFUNCTION("""COMPUTED_VALUE"""),"No")</f>
        <v>No</v>
      </c>
      <c r="I317" s="1" t="str">
        <f ca="1">IFERROR(__xludf.DUMMYFUNCTION("""COMPUTED_VALUE"""),"Will NOT work for them")</f>
        <v>Will NOT work for them</v>
      </c>
      <c r="J317" s="1">
        <f ca="1">IFERROR(__xludf.DUMMYFUNCTION("""COMPUTED_VALUE"""),1)</f>
        <v>1</v>
      </c>
      <c r="K317" s="1" t="str">
        <f ca="1">IFERROR(__xludf.DUMMYFUNCTION("""COMPUTED_VALUE"""),"Fully Remote with No option to visit offices")</f>
        <v>Fully Remote with No option to visit offices</v>
      </c>
      <c r="L317" s="1" t="str">
        <f ca="1">IFERROR(__xludf.DUMMYFUNCTION("""COMPUTED_VALUE"""),"Employer who pushes your limits by enabling an learning environment, and rewards you at the end")</f>
        <v>Employer who pushes your limits by enabling an learning environment, and rewards you at the end</v>
      </c>
      <c r="M317" s="1" t="str">
        <f ca="1">IFERROR(__xludf.DUMMYFUNCTION("""COMPUTED_VALUE"""),"Instructor or Expert Learning Programs, Trial and error by doing side projects within the company")</f>
        <v>Instructor or Expert Learning Programs, Trial and error by doing side projects within the company</v>
      </c>
      <c r="N317" s="1" t="str">
        <f ca="1">IFERROR(__xludf.DUMMYFUNCTION("""COMPUTED_VALUE"""),"Business Operations in any organization, Build and develop a Team, Work in a BPO setup for some well known client")</f>
        <v>Business Operations in any organization, Build and develop a Team, Work in a BPO setup for some well known client</v>
      </c>
      <c r="O317" s="1" t="str">
        <f ca="1">IFERROR(__xludf.DUMMYFUNCTION("""COMPUTED_VALUE"""),"Manager who sets goal and helps me achieve it")</f>
        <v>Manager who sets goal and helps me achieve it</v>
      </c>
      <c r="P317" s="1" t="str">
        <f ca="1">IFERROR(__xludf.DUMMYFUNCTION("""COMPUTED_VALUE"""),"Work with 5 to 6 people in my team")</f>
        <v>Work with 5 to 6 people in my team</v>
      </c>
      <c r="Q317" s="1"/>
    </row>
    <row r="318" spans="1:17" ht="13.2" x14ac:dyDescent="0.25">
      <c r="A318" s="2">
        <f ca="1">IFERROR(__xludf.DUMMYFUNCTION("""COMPUTED_VALUE"""),44926.879094699)</f>
        <v>44926.879094698998</v>
      </c>
      <c r="B318" s="1" t="str">
        <f ca="1">IFERROR(__xludf.DUMMYFUNCTION("""COMPUTED_VALUE"""),"India")</f>
        <v>India</v>
      </c>
      <c r="C318" s="1">
        <f ca="1">IFERROR(__xludf.DUMMYFUNCTION("""COMPUTED_VALUE"""),412308)</f>
        <v>412308</v>
      </c>
      <c r="D318" s="3" t="str">
        <f ca="1">IFERROR(__xludf.DUMMYFUNCTION("""COMPUTED_VALUE"""),"Male")</f>
        <v>Male</v>
      </c>
      <c r="E318" s="1" t="str">
        <f ca="1">IFERROR(__xludf.DUMMYFUNCTION("""COMPUTED_VALUE"""),"My Parents")</f>
        <v>My Parents</v>
      </c>
      <c r="F318" s="1" t="str">
        <f ca="1">IFERROR(__xludf.DUMMYFUNCTION("""COMPUTED_VALUE"""),"No I would not be pursuing Higher Education outside of India")</f>
        <v>No I would not be pursuing Higher Education outside of India</v>
      </c>
      <c r="G318" s="1" t="str">
        <f ca="1">IFERROR(__xludf.DUMMYFUNCTION("""COMPUTED_VALUE"""),"No way, 3 years with one employer is crazy")</f>
        <v>No way, 3 years with one employer is crazy</v>
      </c>
      <c r="H318" s="1" t="str">
        <f ca="1">IFERROR(__xludf.DUMMYFUNCTION("""COMPUTED_VALUE"""),"Yes")</f>
        <v>Yes</v>
      </c>
      <c r="I318" s="1" t="str">
        <f ca="1">IFERROR(__xludf.DUMMYFUNCTION("""COMPUTED_VALUE"""),"Will work for them")</f>
        <v>Will work for them</v>
      </c>
      <c r="J318" s="1">
        <f ca="1">IFERROR(__xludf.DUMMYFUNCTION("""COMPUTED_VALUE"""),5)</f>
        <v>5</v>
      </c>
      <c r="K318" s="1" t="str">
        <f ca="1">IFERROR(__xludf.DUMMYFUNCTION("""COMPUTED_VALUE"""),"Hybrid Working Environment with less than 3 days a month at office")</f>
        <v>Hybrid Working Environment with less than 3 days a month at office</v>
      </c>
      <c r="L318" s="1" t="str">
        <f ca="1">IFERROR(__xludf.DUMMYFUNCTION("""COMPUTED_VALUE"""),"Employer who pushes your limits by enabling an learning environment, and rewards you at the end")</f>
        <v>Employer who pushes your limits by enabling an learning environment, and rewards you at the end</v>
      </c>
      <c r="M318" s="1" t="str">
        <f ca="1">IFERROR(__xludf.DUMMYFUNCTION("""COMPUTED_VALUE"""),"Self Paced Learning Portals, Trial and error by doing side projects within the company")</f>
        <v>Self Paced Learning Portals, Trial and error by doing side projects within the company</v>
      </c>
      <c r="N31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318" s="1" t="str">
        <f ca="1">IFERROR(__xludf.DUMMYFUNCTION("""COMPUTED_VALUE"""),"Manager who explains what is expected, sets a goal and helps achieve it")</f>
        <v>Manager who explains what is expected, sets a goal and helps achieve it</v>
      </c>
      <c r="P318" s="1" t="str">
        <f ca="1">IFERROR(__xludf.DUMMYFUNCTION("""COMPUTED_VALUE"""),"Work with 5 to 6 people in my team")</f>
        <v>Work with 5 to 6 people in my team</v>
      </c>
      <c r="Q318" s="1"/>
    </row>
    <row r="319" spans="1:17" ht="13.2" x14ac:dyDescent="0.25">
      <c r="A319" s="2">
        <f ca="1">IFERROR(__xludf.DUMMYFUNCTION("""COMPUTED_VALUE"""),44928.9700246412)</f>
        <v>44928.970024641203</v>
      </c>
      <c r="B319" s="1" t="str">
        <f ca="1">IFERROR(__xludf.DUMMYFUNCTION("""COMPUTED_VALUE"""),"India")</f>
        <v>India</v>
      </c>
      <c r="C319" s="1">
        <f ca="1">IFERROR(__xludf.DUMMYFUNCTION("""COMPUTED_VALUE"""),627004)</f>
        <v>627004</v>
      </c>
      <c r="D319" s="3" t="str">
        <f ca="1">IFERROR(__xludf.DUMMYFUNCTION("""COMPUTED_VALUE"""),"Male")</f>
        <v>Male</v>
      </c>
      <c r="E319" s="1" t="str">
        <f ca="1">IFERROR(__xludf.DUMMYFUNCTION("""COMPUTED_VALUE"""),"Influencers who had successful careers")</f>
        <v>Influencers who had successful careers</v>
      </c>
      <c r="F319" s="1" t="str">
        <f ca="1">IFERROR(__xludf.DUMMYFUNCTION("""COMPUTED_VALUE"""),"No I would not be pursuing Higher Education outside of India")</f>
        <v>No I would not be pursuing Higher Education outside of India</v>
      </c>
      <c r="G319" s="1" t="str">
        <f ca="1">IFERROR(__xludf.DUMMYFUNCTION("""COMPUTED_VALUE"""),"Will work for 3 years or more")</f>
        <v>Will work for 3 years or more</v>
      </c>
      <c r="H319" s="1" t="str">
        <f ca="1">IFERROR(__xludf.DUMMYFUNCTION("""COMPUTED_VALUE"""),"Yes")</f>
        <v>Yes</v>
      </c>
      <c r="I319" s="1" t="str">
        <f ca="1">IFERROR(__xludf.DUMMYFUNCTION("""COMPUTED_VALUE"""),"Will NOT work for them")</f>
        <v>Will NOT work for them</v>
      </c>
      <c r="J319" s="1">
        <f ca="1">IFERROR(__xludf.DUMMYFUNCTION("""COMPUTED_VALUE"""),3)</f>
        <v>3</v>
      </c>
      <c r="K319" s="1" t="str">
        <f ca="1">IFERROR(__xludf.DUMMYFUNCTION("""COMPUTED_VALUE"""),"Hybrid Working Environment with less than 15 days a month at office")</f>
        <v>Hybrid Working Environment with less than 15 days a month at office</v>
      </c>
      <c r="L319" s="1" t="str">
        <f ca="1">IFERROR(__xludf.DUMMYFUNCTION("""COMPUTED_VALUE"""),"Employer who appreciates learning and enables that environment")</f>
        <v>Employer who appreciates learning and enables that environment</v>
      </c>
      <c r="M319" s="1" t="str">
        <f ca="1">IFERROR(__xludf.DUMMYFUNCTION("""COMPUTED_VALUE"""),"Instructor or Expert Learning Programs, Trial and error by doing side projects within the company")</f>
        <v>Instructor or Expert Learning Programs, Trial and error by doing side projects within the company</v>
      </c>
      <c r="N31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19" s="1" t="str">
        <f ca="1">IFERROR(__xludf.DUMMYFUNCTION("""COMPUTED_VALUE"""),"Manager who sets goal and helps me achieve it")</f>
        <v>Manager who sets goal and helps me achieve it</v>
      </c>
      <c r="P319" s="1" t="str">
        <f ca="1">IFERROR(__xludf.DUMMYFUNCTION("""COMPUTED_VALUE"""),"Work with 5 to 6 people in my team")</f>
        <v>Work with 5 to 6 people in my team</v>
      </c>
      <c r="Q319" s="1"/>
    </row>
    <row r="320" spans="1:17" ht="13.2" x14ac:dyDescent="0.25">
      <c r="A320" s="2">
        <f ca="1">IFERROR(__xludf.DUMMYFUNCTION("""COMPUTED_VALUE"""),44929.907437905)</f>
        <v>44929.907437905</v>
      </c>
      <c r="B320" s="1" t="str">
        <f ca="1">IFERROR(__xludf.DUMMYFUNCTION("""COMPUTED_VALUE"""),"India")</f>
        <v>India</v>
      </c>
      <c r="C320" s="1">
        <f ca="1">IFERROR(__xludf.DUMMYFUNCTION("""COMPUTED_VALUE"""),457001)</f>
        <v>457001</v>
      </c>
      <c r="D320" s="3" t="str">
        <f ca="1">IFERROR(__xludf.DUMMYFUNCTION("""COMPUTED_VALUE"""),"Female")</f>
        <v>Female</v>
      </c>
      <c r="E320" s="1" t="str">
        <f ca="1">IFERROR(__xludf.DUMMYFUNCTION("""COMPUTED_VALUE"""),"Influencers who had successful careers")</f>
        <v>Influencers who had successful careers</v>
      </c>
      <c r="F320" s="1" t="str">
        <f ca="1">IFERROR(__xludf.DUMMYFUNCTION("""COMPUTED_VALUE"""),"Yes, I will earn and do that")</f>
        <v>Yes, I will earn and do that</v>
      </c>
      <c r="G320" s="1" t="str">
        <f ca="1">IFERROR(__xludf.DUMMYFUNCTION("""COMPUTED_VALUE"""),"Will work for 3 years or more")</f>
        <v>Will work for 3 years or more</v>
      </c>
      <c r="H320" s="1" t="str">
        <f ca="1">IFERROR(__xludf.DUMMYFUNCTION("""COMPUTED_VALUE"""),"No")</f>
        <v>No</v>
      </c>
      <c r="I320" s="1" t="str">
        <f ca="1">IFERROR(__xludf.DUMMYFUNCTION("""COMPUTED_VALUE"""),"Will work for them")</f>
        <v>Will work for them</v>
      </c>
      <c r="J320" s="1">
        <f ca="1">IFERROR(__xludf.DUMMYFUNCTION("""COMPUTED_VALUE"""),3)</f>
        <v>3</v>
      </c>
      <c r="K320" s="1" t="str">
        <f ca="1">IFERROR(__xludf.DUMMYFUNCTION("""COMPUTED_VALUE"""),"Hybrid Working Environment with less than 10 days a month at office")</f>
        <v>Hybrid Working Environment with less than 10 days a month at office</v>
      </c>
      <c r="L320" s="1" t="str">
        <f ca="1">IFERROR(__xludf.DUMMYFUNCTION("""COMPUTED_VALUE"""),"Employer who appreciates learning and enables that environment")</f>
        <v>Employer who appreciates learning and enables that environment</v>
      </c>
      <c r="M320" s="1" t="str">
        <f ca="1">IFERROR(__xludf.DUMMYFUNCTION("""COMPUTED_VALUE"""),"Self Paced Learning Portals, Instructor or Expert Learning Programs")</f>
        <v>Self Paced Learning Portals, Instructor or Expert Learning Programs</v>
      </c>
      <c r="N320" s="1" t="str">
        <f ca="1">IFERROR(__xludf.DUMMYFUNCTION("""COMPUTED_VALUE"""),"Teaching in any of the institutes/online or Offline, Manage and drive End-to-End Projects or Products, Work as a freelancer and do my thing my way")</f>
        <v>Teaching in any of the institutes/online or Offline, Manage and drive End-to-End Projects or Products, Work as a freelancer and do my thing my way</v>
      </c>
      <c r="O320" s="1" t="str">
        <f ca="1">IFERROR(__xludf.DUMMYFUNCTION("""COMPUTED_VALUE"""),"Manager who clearly describes what she/he needs")</f>
        <v>Manager who clearly describes what she/he needs</v>
      </c>
      <c r="P320" s="1" t="str">
        <f ca="1">IFERROR(__xludf.DUMMYFUNCTION("""COMPUTED_VALUE"""),"Work with 2 to 3 people in my team")</f>
        <v>Work with 2 to 3 people in my team</v>
      </c>
      <c r="Q320" s="1"/>
    </row>
    <row r="321" spans="1:17" ht="13.2" x14ac:dyDescent="0.25">
      <c r="A321" s="2">
        <f ca="1">IFERROR(__xludf.DUMMYFUNCTION("""COMPUTED_VALUE"""),44934.5219611458)</f>
        <v>44934.521961145801</v>
      </c>
      <c r="B321" s="1" t="str">
        <f ca="1">IFERROR(__xludf.DUMMYFUNCTION("""COMPUTED_VALUE"""),"India")</f>
        <v>India</v>
      </c>
      <c r="C321" s="1">
        <f ca="1">IFERROR(__xludf.DUMMYFUNCTION("""COMPUTED_VALUE"""),400016)</f>
        <v>400016</v>
      </c>
      <c r="D321" s="3" t="str">
        <f ca="1">IFERROR(__xludf.DUMMYFUNCTION("""COMPUTED_VALUE"""),"Male")</f>
        <v>Male</v>
      </c>
      <c r="E321" s="1" t="str">
        <f ca="1">IFERROR(__xludf.DUMMYFUNCTION("""COMPUTED_VALUE"""),"My Parents")</f>
        <v>My Parents</v>
      </c>
      <c r="F321" s="1" t="str">
        <f ca="1">IFERROR(__xludf.DUMMYFUNCTION("""COMPUTED_VALUE"""),"Yes, I will earn and do that")</f>
        <v>Yes, I will earn and do that</v>
      </c>
      <c r="G321" s="1" t="str">
        <f ca="1">IFERROR(__xludf.DUMMYFUNCTION("""COMPUTED_VALUE"""),"This will be hard to do, but if it is the right company I would try")</f>
        <v>This will be hard to do, but if it is the right company I would try</v>
      </c>
      <c r="H321" s="1" t="str">
        <f ca="1">IFERROR(__xludf.DUMMYFUNCTION("""COMPUTED_VALUE"""),"No")</f>
        <v>No</v>
      </c>
      <c r="I321" s="1" t="str">
        <f ca="1">IFERROR(__xludf.DUMMYFUNCTION("""COMPUTED_VALUE"""),"Will NOT work for them")</f>
        <v>Will NOT work for them</v>
      </c>
      <c r="J321" s="1">
        <f ca="1">IFERROR(__xludf.DUMMYFUNCTION("""COMPUTED_VALUE"""),7)</f>
        <v>7</v>
      </c>
      <c r="K321" s="1" t="str">
        <f ca="1">IFERROR(__xludf.DUMMYFUNCTION("""COMPUTED_VALUE"""),"Hybrid Working Environment with less than 10 days a month at office")</f>
        <v>Hybrid Working Environment with less than 10 days a month at office</v>
      </c>
      <c r="L321" s="1" t="str">
        <f ca="1">IFERROR(__xludf.DUMMYFUNCTION("""COMPUTED_VALUE"""),"Employer who appreciates learning and enables that environment")</f>
        <v>Employer who appreciates learning and enables that environment</v>
      </c>
      <c r="M321" s="1" t="str">
        <f ca="1">IFERROR(__xludf.DUMMYFUNCTION("""COMPUTED_VALUE"""),"Self Paced Learning Portals, Trial and error by doing side projects within the company")</f>
        <v>Self Paced Learning Portals, Trial and error by doing side projects within the company</v>
      </c>
      <c r="N321"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1" s="1" t="str">
        <f ca="1">IFERROR(__xludf.DUMMYFUNCTION("""COMPUTED_VALUE"""),"Manager who explains what is expected, sets a goal and helps achieve it")</f>
        <v>Manager who explains what is expected, sets a goal and helps achieve it</v>
      </c>
      <c r="P321" s="1" t="str">
        <f ca="1">IFERROR(__xludf.DUMMYFUNCTION("""COMPUTED_VALUE"""),"Work with 2 to 3 people in my team")</f>
        <v>Work with 2 to 3 people in my team</v>
      </c>
      <c r="Q321" s="1"/>
    </row>
    <row r="322" spans="1:17" ht="13.2" x14ac:dyDescent="0.25">
      <c r="A322" s="2">
        <f ca="1">IFERROR(__xludf.DUMMYFUNCTION("""COMPUTED_VALUE"""),44934.7767418865)</f>
        <v>44934.776741886497</v>
      </c>
      <c r="B322" s="1" t="str">
        <f ca="1">IFERROR(__xludf.DUMMYFUNCTION("""COMPUTED_VALUE"""),"India")</f>
        <v>India</v>
      </c>
      <c r="C322" s="1">
        <f ca="1">IFERROR(__xludf.DUMMYFUNCTION("""COMPUTED_VALUE"""),600069)</f>
        <v>600069</v>
      </c>
      <c r="D322" s="3" t="str">
        <f ca="1">IFERROR(__xludf.DUMMYFUNCTION("""COMPUTED_VALUE"""),"Male")</f>
        <v>Male</v>
      </c>
      <c r="E322" s="1" t="str">
        <f ca="1">IFERROR(__xludf.DUMMYFUNCTION("""COMPUTED_VALUE"""),"People who have changed the world for better")</f>
        <v>People who have changed the world for better</v>
      </c>
      <c r="F322" s="1" t="str">
        <f ca="1">IFERROR(__xludf.DUMMYFUNCTION("""COMPUTED_VALUE"""),"Yes, I will earn and do that")</f>
        <v>Yes, I will earn and do that</v>
      </c>
      <c r="G322" s="1" t="str">
        <f ca="1">IFERROR(__xludf.DUMMYFUNCTION("""COMPUTED_VALUE"""),"This will be hard to do, but if it is the right company I would try")</f>
        <v>This will be hard to do, but if it is the right company I would try</v>
      </c>
      <c r="H322" s="1" t="str">
        <f ca="1">IFERROR(__xludf.DUMMYFUNCTION("""COMPUTED_VALUE"""),"Yes")</f>
        <v>Yes</v>
      </c>
      <c r="I322" s="1" t="str">
        <f ca="1">IFERROR(__xludf.DUMMYFUNCTION("""COMPUTED_VALUE"""),"Will work for them")</f>
        <v>Will work for them</v>
      </c>
      <c r="J322" s="1">
        <f ca="1">IFERROR(__xludf.DUMMYFUNCTION("""COMPUTED_VALUE"""),6)</f>
        <v>6</v>
      </c>
      <c r="K322" s="1" t="str">
        <f ca="1">IFERROR(__xludf.DUMMYFUNCTION("""COMPUTED_VALUE"""),"Hybrid Working Environment with less than 15 days a month at office")</f>
        <v>Hybrid Working Environment with less than 15 days a month at office</v>
      </c>
      <c r="L322" s="1" t="str">
        <f ca="1">IFERROR(__xludf.DUMMYFUNCTION("""COMPUTED_VALUE"""),"Employer who appreciates learning and enables that environment")</f>
        <v>Employer who appreciates learning and enables that environment</v>
      </c>
      <c r="M322" s="1" t="str">
        <f ca="1">IFERROR(__xludf.DUMMYFUNCTION("""COMPUTED_VALUE"""),"Learning by observing others, Trial and error by doing side projects within the company")</f>
        <v>Learning by observing others, Trial and error by doing side projects within the company</v>
      </c>
      <c r="N32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22" s="1" t="str">
        <f ca="1">IFERROR(__xludf.DUMMYFUNCTION("""COMPUTED_VALUE"""),"Manager who explains what is expected, sets a goal and helps achieve it")</f>
        <v>Manager who explains what is expected, sets a goal and helps achieve it</v>
      </c>
      <c r="P322" s="1" t="str">
        <f ca="1">IFERROR(__xludf.DUMMYFUNCTION("""COMPUTED_VALUE"""),"Work with 5 to 6 people in my team")</f>
        <v>Work with 5 to 6 people in my team</v>
      </c>
      <c r="Q322" s="1"/>
    </row>
    <row r="323" spans="1:17" ht="13.2" x14ac:dyDescent="0.25">
      <c r="A323" s="2">
        <f ca="1">IFERROR(__xludf.DUMMYFUNCTION("""COMPUTED_VALUE"""),44934.8605270023)</f>
        <v>44934.860527002304</v>
      </c>
      <c r="B323" s="1" t="str">
        <f ca="1">IFERROR(__xludf.DUMMYFUNCTION("""COMPUTED_VALUE"""),"India")</f>
        <v>India</v>
      </c>
      <c r="C323" s="1">
        <f ca="1">IFERROR(__xludf.DUMMYFUNCTION("""COMPUTED_VALUE"""),342005)</f>
        <v>342005</v>
      </c>
      <c r="D323" s="3" t="str">
        <f ca="1">IFERROR(__xludf.DUMMYFUNCTION("""COMPUTED_VALUE"""),"Male")</f>
        <v>Male</v>
      </c>
      <c r="E323" s="1" t="str">
        <f ca="1">IFERROR(__xludf.DUMMYFUNCTION("""COMPUTED_VALUE"""),"Social Media like LinkedIn")</f>
        <v>Social Media like LinkedIn</v>
      </c>
      <c r="F323" s="1" t="str">
        <f ca="1">IFERROR(__xludf.DUMMYFUNCTION("""COMPUTED_VALUE"""),"No I would not be pursuing Higher Education outside of India")</f>
        <v>No I would not be pursuing Higher Education outside of India</v>
      </c>
      <c r="G323" s="1" t="str">
        <f ca="1">IFERROR(__xludf.DUMMYFUNCTION("""COMPUTED_VALUE"""),"This will be hard to do, but if it is the right company I would try")</f>
        <v>This will be hard to do, but if it is the right company I would try</v>
      </c>
      <c r="H323" s="1" t="str">
        <f ca="1">IFERROR(__xludf.DUMMYFUNCTION("""COMPUTED_VALUE"""),"No")</f>
        <v>No</v>
      </c>
      <c r="I323" s="1" t="str">
        <f ca="1">IFERROR(__xludf.DUMMYFUNCTION("""COMPUTED_VALUE"""),"Will NOT work for them")</f>
        <v>Will NOT work for them</v>
      </c>
      <c r="J323" s="1">
        <f ca="1">IFERROR(__xludf.DUMMYFUNCTION("""COMPUTED_VALUE"""),6)</f>
        <v>6</v>
      </c>
      <c r="K323" s="1" t="str">
        <f ca="1">IFERROR(__xludf.DUMMYFUNCTION("""COMPUTED_VALUE"""),"Fully Remote with Options to travel as and when needed")</f>
        <v>Fully Remote with Options to travel as and when needed</v>
      </c>
      <c r="L323" s="1" t="str">
        <f ca="1">IFERROR(__xludf.DUMMYFUNCTION("""COMPUTED_VALUE"""),"Employer who pushes your limits by enabling an learning environment, and rewards you at the end")</f>
        <v>Employer who pushes your limits by enabling an learning environment, and rewards you at the end</v>
      </c>
      <c r="M323" s="1" t="str">
        <f ca="1">IFERROR(__xludf.DUMMYFUNCTION("""COMPUTED_VALUE"""),"Instructor or Expert Learning Programs, Trial and error by doing side projects within the company")</f>
        <v>Instructor or Expert Learning Programs, Trial and error by doing side projects within the company</v>
      </c>
      <c r="N32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23" s="1" t="str">
        <f ca="1">IFERROR(__xludf.DUMMYFUNCTION("""COMPUTED_VALUE"""),"Manager who explains what is expected, sets a goal and helps achieve it")</f>
        <v>Manager who explains what is expected, sets a goal and helps achieve it</v>
      </c>
      <c r="P323" s="1" t="str">
        <f ca="1">IFERROR(__xludf.DUMMYFUNCTION("""COMPUTED_VALUE"""),"Work with 5 to 6 people in my team")</f>
        <v>Work with 5 to 6 people in my team</v>
      </c>
      <c r="Q323" s="1"/>
    </row>
    <row r="324" spans="1:17" ht="13.2" x14ac:dyDescent="0.25">
      <c r="A324" s="2">
        <f ca="1">IFERROR(__xludf.DUMMYFUNCTION("""COMPUTED_VALUE"""),44935.0275088194)</f>
        <v>44935.027508819403</v>
      </c>
      <c r="B324" s="1" t="str">
        <f ca="1">IFERROR(__xludf.DUMMYFUNCTION("""COMPUTED_VALUE"""),"India")</f>
        <v>India</v>
      </c>
      <c r="C324" s="1">
        <f ca="1">IFERROR(__xludf.DUMMYFUNCTION("""COMPUTED_VALUE"""),851101)</f>
        <v>851101</v>
      </c>
      <c r="D324" s="3" t="str">
        <f ca="1">IFERROR(__xludf.DUMMYFUNCTION("""COMPUTED_VALUE"""),"Male")</f>
        <v>Male</v>
      </c>
      <c r="E324" s="1" t="str">
        <f ca="1">IFERROR(__xludf.DUMMYFUNCTION("""COMPUTED_VALUE"""),"People who have changed the world for better")</f>
        <v>People who have changed the world for better</v>
      </c>
      <c r="F324" s="1" t="str">
        <f ca="1">IFERROR(__xludf.DUMMYFUNCTION("""COMPUTED_VALUE"""),"Yes, I will earn and do that")</f>
        <v>Yes, I will earn and do that</v>
      </c>
      <c r="G324" s="1" t="str">
        <f ca="1">IFERROR(__xludf.DUMMYFUNCTION("""COMPUTED_VALUE"""),"This will be hard to do, but if it is the right company I would try")</f>
        <v>This will be hard to do, but if it is the right company I would try</v>
      </c>
      <c r="H324" s="1" t="str">
        <f ca="1">IFERROR(__xludf.DUMMYFUNCTION("""COMPUTED_VALUE"""),"Yes")</f>
        <v>Yes</v>
      </c>
      <c r="I324" s="1" t="str">
        <f ca="1">IFERROR(__xludf.DUMMYFUNCTION("""COMPUTED_VALUE"""),"Will work for them")</f>
        <v>Will work for them</v>
      </c>
      <c r="J324" s="1">
        <f ca="1">IFERROR(__xludf.DUMMYFUNCTION("""COMPUTED_VALUE"""),7)</f>
        <v>7</v>
      </c>
      <c r="K324" s="1" t="str">
        <f ca="1">IFERROR(__xludf.DUMMYFUNCTION("""COMPUTED_VALUE"""),"Hybrid Working Environment with less than 15 days a month at office")</f>
        <v>Hybrid Working Environment with less than 15 days a month at office</v>
      </c>
      <c r="L324" s="1" t="str">
        <f ca="1">IFERROR(__xludf.DUMMYFUNCTION("""COMPUTED_VALUE"""),"Employer who pushes your limits by enabling an learning environment, and rewards you at the end")</f>
        <v>Employer who pushes your limits by enabling an learning environment, and rewards you at the end</v>
      </c>
      <c r="M324" s="1" t="str">
        <f ca="1">IFERROR(__xludf.DUMMYFUNCTION("""COMPUTED_VALUE"""),"Instructor or Expert Learning Programs, Trial and error by doing side projects within the company")</f>
        <v>Instructor or Expert Learning Programs, Trial and error by doing side projects within the company</v>
      </c>
      <c r="N324"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24" s="1" t="str">
        <f ca="1">IFERROR(__xludf.DUMMYFUNCTION("""COMPUTED_VALUE"""),"Manager who explains what is expected, sets a goal and helps achieve it")</f>
        <v>Manager who explains what is expected, sets a goal and helps achieve it</v>
      </c>
      <c r="P324" s="1" t="str">
        <f ca="1">IFERROR(__xludf.DUMMYFUNCTION("""COMPUTED_VALUE"""),"Work with 5 to 6 people in my team")</f>
        <v>Work with 5 to 6 people in my team</v>
      </c>
      <c r="Q324" s="1"/>
    </row>
    <row r="325" spans="1:17" ht="13.2" x14ac:dyDescent="0.25">
      <c r="A325" s="2">
        <f ca="1">IFERROR(__xludf.DUMMYFUNCTION("""COMPUTED_VALUE"""),44935.3081085532)</f>
        <v>44935.308108553203</v>
      </c>
      <c r="B325" s="1" t="str">
        <f ca="1">IFERROR(__xludf.DUMMYFUNCTION("""COMPUTED_VALUE"""),"India")</f>
        <v>India</v>
      </c>
      <c r="C325" s="1">
        <f ca="1">IFERROR(__xludf.DUMMYFUNCTION("""COMPUTED_VALUE"""),636701)</f>
        <v>636701</v>
      </c>
      <c r="D325" s="3" t="str">
        <f ca="1">IFERROR(__xludf.DUMMYFUNCTION("""COMPUTED_VALUE"""),"Male")</f>
        <v>Male</v>
      </c>
      <c r="E325" s="1" t="str">
        <f ca="1">IFERROR(__xludf.DUMMYFUNCTION("""COMPUTED_VALUE"""),"Influencers who had successful careers")</f>
        <v>Influencers who had successful careers</v>
      </c>
      <c r="F325" s="1" t="str">
        <f ca="1">IFERROR(__xludf.DUMMYFUNCTION("""COMPUTED_VALUE"""),"No I would not be pursuing Higher Education outside of India")</f>
        <v>No I would not be pursuing Higher Education outside of India</v>
      </c>
      <c r="G325" s="1" t="str">
        <f ca="1">IFERROR(__xludf.DUMMYFUNCTION("""COMPUTED_VALUE"""),"This will be hard to do, but if it is the right company I would try")</f>
        <v>This will be hard to do, but if it is the right company I would try</v>
      </c>
      <c r="H325" s="1" t="str">
        <f ca="1">IFERROR(__xludf.DUMMYFUNCTION("""COMPUTED_VALUE"""),"No")</f>
        <v>No</v>
      </c>
      <c r="I325" s="1" t="str">
        <f ca="1">IFERROR(__xludf.DUMMYFUNCTION("""COMPUTED_VALUE"""),"Will NOT work for them")</f>
        <v>Will NOT work for them</v>
      </c>
      <c r="J325" s="1">
        <f ca="1">IFERROR(__xludf.DUMMYFUNCTION("""COMPUTED_VALUE"""),5)</f>
        <v>5</v>
      </c>
      <c r="K325" s="1" t="str">
        <f ca="1">IFERROR(__xludf.DUMMYFUNCTION("""COMPUTED_VALUE"""),"Hybrid Working Environment with less than 10 days a month at office")</f>
        <v>Hybrid Working Environment with less than 10 days a month at office</v>
      </c>
      <c r="L325" s="1" t="str">
        <f ca="1">IFERROR(__xludf.DUMMYFUNCTION("""COMPUTED_VALUE"""),"Employer who pushes your limits by enabling an learning environment, and rewards you at the end")</f>
        <v>Employer who pushes your limits by enabling an learning environment, and rewards you at the end</v>
      </c>
      <c r="M325" s="1" t="str">
        <f ca="1">IFERROR(__xludf.DUMMYFUNCTION("""COMPUTED_VALUE"""),"Self Paced Learning Portals, Learning by observing others")</f>
        <v>Self Paced Learning Portals, Learning by observing others</v>
      </c>
      <c r="N325"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5" s="1" t="str">
        <f ca="1">IFERROR(__xludf.DUMMYFUNCTION("""COMPUTED_VALUE"""),"Manager who sets goal and helps me achieve it")</f>
        <v>Manager who sets goal and helps me achieve it</v>
      </c>
      <c r="P325" s="1" t="str">
        <f ca="1">IFERROR(__xludf.DUMMYFUNCTION("""COMPUTED_VALUE"""),"Work with 5 to 6 people in my team")</f>
        <v>Work with 5 to 6 people in my team</v>
      </c>
      <c r="Q325" s="1"/>
    </row>
    <row r="326" spans="1:17" ht="13.2" x14ac:dyDescent="0.25">
      <c r="A326" s="2">
        <f ca="1">IFERROR(__xludf.DUMMYFUNCTION("""COMPUTED_VALUE"""),44935.4817815393)</f>
        <v>44935.481781539303</v>
      </c>
      <c r="B326" s="1" t="str">
        <f ca="1">IFERROR(__xludf.DUMMYFUNCTION("""COMPUTED_VALUE"""),"India")</f>
        <v>India</v>
      </c>
      <c r="C326" s="1">
        <f ca="1">IFERROR(__xludf.DUMMYFUNCTION("""COMPUTED_VALUE"""),600007)</f>
        <v>600007</v>
      </c>
      <c r="D326" s="3" t="str">
        <f ca="1">IFERROR(__xludf.DUMMYFUNCTION("""COMPUTED_VALUE"""),"Male")</f>
        <v>Male</v>
      </c>
      <c r="E326" s="1" t="str">
        <f ca="1">IFERROR(__xludf.DUMMYFUNCTION("""COMPUTED_VALUE"""),"People who have changed the world for better")</f>
        <v>People who have changed the world for better</v>
      </c>
      <c r="F326" s="1" t="str">
        <f ca="1">IFERROR(__xludf.DUMMYFUNCTION("""COMPUTED_VALUE"""),"Yes, I will earn and do that")</f>
        <v>Yes, I will earn and do that</v>
      </c>
      <c r="G326" s="1" t="str">
        <f ca="1">IFERROR(__xludf.DUMMYFUNCTION("""COMPUTED_VALUE"""),"Will work for 3 years or more")</f>
        <v>Will work for 3 years or more</v>
      </c>
      <c r="H326" s="1" t="str">
        <f ca="1">IFERROR(__xludf.DUMMYFUNCTION("""COMPUTED_VALUE"""),"No")</f>
        <v>No</v>
      </c>
      <c r="I326" s="1" t="str">
        <f ca="1">IFERROR(__xludf.DUMMYFUNCTION("""COMPUTED_VALUE"""),"Will work for them")</f>
        <v>Will work for them</v>
      </c>
      <c r="J326" s="1">
        <f ca="1">IFERROR(__xludf.DUMMYFUNCTION("""COMPUTED_VALUE"""),8)</f>
        <v>8</v>
      </c>
      <c r="K326" s="1" t="str">
        <f ca="1">IFERROR(__xludf.DUMMYFUNCTION("""COMPUTED_VALUE"""),"Hybrid Working Environment with less than 15 days a month at office")</f>
        <v>Hybrid Working Environment with less than 15 days a month at office</v>
      </c>
      <c r="L326" s="1" t="str">
        <f ca="1">IFERROR(__xludf.DUMMYFUNCTION("""COMPUTED_VALUE"""),"Employer who pushes your limits by enabling an learning environment, and rewards you at the end")</f>
        <v>Employer who pushes your limits by enabling an learning environment, and rewards you at the end</v>
      </c>
      <c r="M326" s="1" t="str">
        <f ca="1">IFERROR(__xludf.DUMMYFUNCTION("""COMPUTED_VALUE"""),"Self Paced Learning Portals, Instructor or Expert Learning Programs")</f>
        <v>Self Paced Learning Portals, Instructor or Expert Learning Programs</v>
      </c>
      <c r="N326"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26" s="1" t="str">
        <f ca="1">IFERROR(__xludf.DUMMYFUNCTION("""COMPUTED_VALUE"""),"Manager who explains what is expected, sets a goal and helps achieve it")</f>
        <v>Manager who explains what is expected, sets a goal and helps achieve it</v>
      </c>
      <c r="P326" s="1" t="str">
        <f ca="1">IFERROR(__xludf.DUMMYFUNCTION("""COMPUTED_VALUE"""),"Work alone, Work with more than 10 people in my team")</f>
        <v>Work alone, Work with more than 10 people in my team</v>
      </c>
      <c r="Q326" s="1"/>
    </row>
    <row r="327" spans="1:17" ht="13.2" x14ac:dyDescent="0.25">
      <c r="A327" s="2">
        <f ca="1">IFERROR(__xludf.DUMMYFUNCTION("""COMPUTED_VALUE"""),44935.5299539699)</f>
        <v>44935.529953969897</v>
      </c>
      <c r="B327" s="1" t="str">
        <f ca="1">IFERROR(__xludf.DUMMYFUNCTION("""COMPUTED_VALUE"""),"India")</f>
        <v>India</v>
      </c>
      <c r="C327" s="1">
        <f ca="1">IFERROR(__xludf.DUMMYFUNCTION("""COMPUTED_VALUE"""),400070)</f>
        <v>400070</v>
      </c>
      <c r="D327" s="3" t="str">
        <f ca="1">IFERROR(__xludf.DUMMYFUNCTION("""COMPUTED_VALUE"""),"Male")</f>
        <v>Male</v>
      </c>
      <c r="E327" s="1" t="str">
        <f ca="1">IFERROR(__xludf.DUMMYFUNCTION("""COMPUTED_VALUE"""),"Influencers who had successful careers")</f>
        <v>Influencers who had successful careers</v>
      </c>
      <c r="F327" s="1" t="str">
        <f ca="1">IFERROR(__xludf.DUMMYFUNCTION("""COMPUTED_VALUE"""),"Yes, I will earn and do that")</f>
        <v>Yes, I will earn and do that</v>
      </c>
      <c r="G327" s="1" t="str">
        <f ca="1">IFERROR(__xludf.DUMMYFUNCTION("""COMPUTED_VALUE"""),"This will be hard to do, but if it is the right company I would try")</f>
        <v>This will be hard to do, but if it is the right company I would try</v>
      </c>
      <c r="H327" s="1" t="str">
        <f ca="1">IFERROR(__xludf.DUMMYFUNCTION("""COMPUTED_VALUE"""),"No")</f>
        <v>No</v>
      </c>
      <c r="I327" s="1" t="str">
        <f ca="1">IFERROR(__xludf.DUMMYFUNCTION("""COMPUTED_VALUE"""),"Will NOT work for them")</f>
        <v>Will NOT work for them</v>
      </c>
      <c r="J327" s="1">
        <f ca="1">IFERROR(__xludf.DUMMYFUNCTION("""COMPUTED_VALUE"""),10)</f>
        <v>10</v>
      </c>
      <c r="K327" s="1" t="str">
        <f ca="1">IFERROR(__xludf.DUMMYFUNCTION("""COMPUTED_VALUE"""),"Hybrid Working Environment with less than 10 days a month at office")</f>
        <v>Hybrid Working Environment with less than 10 days a month at office</v>
      </c>
      <c r="L327" s="1" t="str">
        <f ca="1">IFERROR(__xludf.DUMMYFUNCTION("""COMPUTED_VALUE"""),"Employer who appreciates learning and enables that environment")</f>
        <v>Employer who appreciates learning and enables that environment</v>
      </c>
      <c r="M327" s="1" t="str">
        <f ca="1">IFERROR(__xludf.DUMMYFUNCTION("""COMPUTED_VALUE"""),"Instructor or Expert Learning Programs, Trial and error by doing side projects within the company")</f>
        <v>Instructor or Expert Learning Programs, Trial and error by doing side projects within the company</v>
      </c>
      <c r="N327"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327" s="1" t="str">
        <f ca="1">IFERROR(__xludf.DUMMYFUNCTION("""COMPUTED_VALUE"""),"Manager who sets goal and helps me achieve it")</f>
        <v>Manager who sets goal and helps me achieve it</v>
      </c>
      <c r="P327" s="1" t="str">
        <f ca="1">IFERROR(__xludf.DUMMYFUNCTION("""COMPUTED_VALUE"""),"Work with 7 to 10 or more people in my team")</f>
        <v>Work with 7 to 10 or more people in my team</v>
      </c>
      <c r="Q327" s="1"/>
    </row>
    <row r="328" spans="1:17" ht="13.2" x14ac:dyDescent="0.25">
      <c r="A328" s="2">
        <f ca="1">IFERROR(__xludf.DUMMYFUNCTION("""COMPUTED_VALUE"""),44935.5639017129)</f>
        <v>44935.5639017129</v>
      </c>
      <c r="B328" s="1" t="str">
        <f ca="1">IFERROR(__xludf.DUMMYFUNCTION("""COMPUTED_VALUE"""),"India")</f>
        <v>India</v>
      </c>
      <c r="C328" s="1">
        <f ca="1">IFERROR(__xludf.DUMMYFUNCTION("""COMPUTED_VALUE"""),521001)</f>
        <v>521001</v>
      </c>
      <c r="D328" s="3" t="str">
        <f ca="1">IFERROR(__xludf.DUMMYFUNCTION("""COMPUTED_VALUE"""),"Male")</f>
        <v>Male</v>
      </c>
      <c r="E328" s="1" t="str">
        <f ca="1">IFERROR(__xludf.DUMMYFUNCTION("""COMPUTED_VALUE"""),"Social Media like LinkedIn")</f>
        <v>Social Media like LinkedIn</v>
      </c>
      <c r="F328" s="1" t="str">
        <f ca="1">IFERROR(__xludf.DUMMYFUNCTION("""COMPUTED_VALUE"""),"No I would not be pursuing Higher Education outside of India")</f>
        <v>No I would not be pursuing Higher Education outside of India</v>
      </c>
      <c r="G328" s="1" t="str">
        <f ca="1">IFERROR(__xludf.DUMMYFUNCTION("""COMPUTED_VALUE"""),"This will be hard to do, but if it is the right company I would try")</f>
        <v>This will be hard to do, but if it is the right company I would try</v>
      </c>
      <c r="H328" s="1" t="str">
        <f ca="1">IFERROR(__xludf.DUMMYFUNCTION("""COMPUTED_VALUE"""),"No")</f>
        <v>No</v>
      </c>
      <c r="I328" s="1" t="str">
        <f ca="1">IFERROR(__xludf.DUMMYFUNCTION("""COMPUTED_VALUE"""),"Will NOT work for them")</f>
        <v>Will NOT work for them</v>
      </c>
      <c r="J328" s="1">
        <f ca="1">IFERROR(__xludf.DUMMYFUNCTION("""COMPUTED_VALUE"""),5)</f>
        <v>5</v>
      </c>
      <c r="K328" s="1" t="str">
        <f ca="1">IFERROR(__xludf.DUMMYFUNCTION("""COMPUTED_VALUE"""),"Fully Remote with Options to travel as and when needed")</f>
        <v>Fully Remote with Options to travel as and when needed</v>
      </c>
      <c r="L328" s="1" t="str">
        <f ca="1">IFERROR(__xludf.DUMMYFUNCTION("""COMPUTED_VALUE"""),"Employer who pushes your limits by enabling an learning environment, and rewards you at the end")</f>
        <v>Employer who pushes your limits by enabling an learning environment, and rewards you at the end</v>
      </c>
      <c r="M328" s="1" t="str">
        <f ca="1">IFERROR(__xludf.DUMMYFUNCTION("""COMPUTED_VALUE"""),"Self Paced Learning Portals, Instructor or Expert Learning Programs")</f>
        <v>Self Paced Learning Portals, Instructor or Expert Learning Programs</v>
      </c>
      <c r="N328"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28" s="1" t="str">
        <f ca="1">IFERROR(__xludf.DUMMYFUNCTION("""COMPUTED_VALUE"""),"Manager who explains what is expected, sets a goal and helps achieve it")</f>
        <v>Manager who explains what is expected, sets a goal and helps achieve it</v>
      </c>
      <c r="P328" s="1" t="str">
        <f ca="1">IFERROR(__xludf.DUMMYFUNCTION("""COMPUTED_VALUE"""),"Work with 2 to 3 people in my team, Work with 5 to 6 people in my team")</f>
        <v>Work with 2 to 3 people in my team, Work with 5 to 6 people in my team</v>
      </c>
      <c r="Q328" s="1"/>
    </row>
    <row r="329" spans="1:17" ht="13.2" x14ac:dyDescent="0.25">
      <c r="A329" s="2">
        <f ca="1">IFERROR(__xludf.DUMMYFUNCTION("""COMPUTED_VALUE"""),44935.7051731134)</f>
        <v>44935.705173113398</v>
      </c>
      <c r="B329" s="1" t="str">
        <f ca="1">IFERROR(__xludf.DUMMYFUNCTION("""COMPUTED_VALUE"""),"India")</f>
        <v>India</v>
      </c>
      <c r="C329" s="1">
        <f ca="1">IFERROR(__xludf.DUMMYFUNCTION("""COMPUTED_VALUE"""),411033)</f>
        <v>411033</v>
      </c>
      <c r="D329" s="3" t="str">
        <f ca="1">IFERROR(__xludf.DUMMYFUNCTION("""COMPUTED_VALUE"""),"Female")</f>
        <v>Female</v>
      </c>
      <c r="E329" s="1" t="str">
        <f ca="1">IFERROR(__xludf.DUMMYFUNCTION("""COMPUTED_VALUE"""),"My Parents")</f>
        <v>My Parents</v>
      </c>
      <c r="F329" s="1" t="str">
        <f ca="1">IFERROR(__xludf.DUMMYFUNCTION("""COMPUTED_VALUE"""),"No I would not be pursuing Higher Education outside of India")</f>
        <v>No I would not be pursuing Higher Education outside of India</v>
      </c>
      <c r="G329" s="1" t="str">
        <f ca="1">IFERROR(__xludf.DUMMYFUNCTION("""COMPUTED_VALUE"""),"This will be hard to do, but if it is the right company I would try")</f>
        <v>This will be hard to do, but if it is the right company I would try</v>
      </c>
      <c r="H329" s="1" t="str">
        <f ca="1">IFERROR(__xludf.DUMMYFUNCTION("""COMPUTED_VALUE"""),"No")</f>
        <v>No</v>
      </c>
      <c r="I329" s="1" t="str">
        <f ca="1">IFERROR(__xludf.DUMMYFUNCTION("""COMPUTED_VALUE"""),"Will NOT work for them")</f>
        <v>Will NOT work for them</v>
      </c>
      <c r="J329" s="1">
        <f ca="1">IFERROR(__xludf.DUMMYFUNCTION("""COMPUTED_VALUE"""),5)</f>
        <v>5</v>
      </c>
      <c r="K329" s="1" t="str">
        <f ca="1">IFERROR(__xludf.DUMMYFUNCTION("""COMPUTED_VALUE"""),"Every Day Office Environment")</f>
        <v>Every Day Office Environment</v>
      </c>
      <c r="L329" s="1" t="str">
        <f ca="1">IFERROR(__xludf.DUMMYFUNCTION("""COMPUTED_VALUE"""),"Employer who pushes your limits by enabling an learning environment, and rewards you at the end")</f>
        <v>Employer who pushes your limits by enabling an learning environment, and rewards you at the end</v>
      </c>
      <c r="M329" s="1" t="str">
        <f ca="1">IFERROR(__xludf.DUMMYFUNCTION("""COMPUTED_VALUE"""),"Self Paced Learning Portals, Instructor or Expert Learning Programs")</f>
        <v>Self Paced Learning Portals, Instructor or Expert Learning Programs</v>
      </c>
      <c r="N32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29" s="1" t="str">
        <f ca="1">IFERROR(__xludf.DUMMYFUNCTION("""COMPUTED_VALUE"""),"Manager who explains what is expected, sets a goal and helps achieve it")</f>
        <v>Manager who explains what is expected, sets a goal and helps achieve it</v>
      </c>
      <c r="P329" s="1" t="str">
        <f ca="1">IFERROR(__xludf.DUMMYFUNCTION("""COMPUTED_VALUE"""),"Work with 2 to 3 people in my team")</f>
        <v>Work with 2 to 3 people in my team</v>
      </c>
      <c r="Q329" s="1"/>
    </row>
    <row r="330" spans="1:17" ht="13.2" x14ac:dyDescent="0.25">
      <c r="A330" s="2">
        <f ca="1">IFERROR(__xludf.DUMMYFUNCTION("""COMPUTED_VALUE"""),44935.7640316898)</f>
        <v>44935.764031689803</v>
      </c>
      <c r="B330" s="1" t="str">
        <f ca="1">IFERROR(__xludf.DUMMYFUNCTION("""COMPUTED_VALUE"""),"India")</f>
        <v>India</v>
      </c>
      <c r="C330" s="1">
        <f ca="1">IFERROR(__xludf.DUMMYFUNCTION("""COMPUTED_VALUE"""),263153)</f>
        <v>263153</v>
      </c>
      <c r="D330" s="3" t="str">
        <f ca="1">IFERROR(__xludf.DUMMYFUNCTION("""COMPUTED_VALUE"""),"Female")</f>
        <v>Female</v>
      </c>
      <c r="E330" s="1" t="str">
        <f ca="1">IFERROR(__xludf.DUMMYFUNCTION("""COMPUTED_VALUE"""),"Influencers who had successful careers")</f>
        <v>Influencers who had successful careers</v>
      </c>
      <c r="F330" s="1" t="str">
        <f ca="1">IFERROR(__xludf.DUMMYFUNCTION("""COMPUTED_VALUE"""),"No I would not be pursuing Higher Education outside of India")</f>
        <v>No I would not be pursuing Higher Education outside of India</v>
      </c>
      <c r="G330" s="1" t="str">
        <f ca="1">IFERROR(__xludf.DUMMYFUNCTION("""COMPUTED_VALUE"""),"This will be hard to do, but if it is the right company I would try")</f>
        <v>This will be hard to do, but if it is the right company I would try</v>
      </c>
      <c r="H330" s="1" t="str">
        <f ca="1">IFERROR(__xludf.DUMMYFUNCTION("""COMPUTED_VALUE"""),"Yes")</f>
        <v>Yes</v>
      </c>
      <c r="I330" s="1" t="str">
        <f ca="1">IFERROR(__xludf.DUMMYFUNCTION("""COMPUTED_VALUE"""),"Will NOT work for them")</f>
        <v>Will NOT work for them</v>
      </c>
      <c r="J330" s="1">
        <f ca="1">IFERROR(__xludf.DUMMYFUNCTION("""COMPUTED_VALUE"""),5)</f>
        <v>5</v>
      </c>
      <c r="K330" s="1" t="str">
        <f ca="1">IFERROR(__xludf.DUMMYFUNCTION("""COMPUTED_VALUE"""),"Fully Remote with No option to visit offices")</f>
        <v>Fully Remote with No option to visit offices</v>
      </c>
      <c r="L330" s="1" t="str">
        <f ca="1">IFERROR(__xludf.DUMMYFUNCTION("""COMPUTED_VALUE"""),"Employer who pushes your limits by enabling an learning environment, and rewards you at the end")</f>
        <v>Employer who pushes your limits by enabling an learning environment, and rewards you at the end</v>
      </c>
      <c r="M330" s="1" t="str">
        <f ca="1">IFERROR(__xludf.DUMMYFUNCTION("""COMPUTED_VALUE"""),"Instructor or Expert Learning Programs, Trial and error by doing side projects within the company")</f>
        <v>Instructor or Expert Learning Programs, Trial and error by doing side projects within the company</v>
      </c>
      <c r="N330"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0" s="1" t="str">
        <f ca="1">IFERROR(__xludf.DUMMYFUNCTION("""COMPUTED_VALUE"""),"Manager who explains what is expected, sets a goal and helps achieve it")</f>
        <v>Manager who explains what is expected, sets a goal and helps achieve it</v>
      </c>
      <c r="P330" s="1" t="str">
        <f ca="1">IFERROR(__xludf.DUMMYFUNCTION("""COMPUTED_VALUE"""),"Work with 5 to 6 people in my team")</f>
        <v>Work with 5 to 6 people in my team</v>
      </c>
      <c r="Q330" s="1"/>
    </row>
    <row r="331" spans="1:17" ht="13.2" x14ac:dyDescent="0.25">
      <c r="A331" s="2">
        <f ca="1">IFERROR(__xludf.DUMMYFUNCTION("""COMPUTED_VALUE"""),44935.8380354398)</f>
        <v>44935.838035439803</v>
      </c>
      <c r="B331" s="1" t="str">
        <f ca="1">IFERROR(__xludf.DUMMYFUNCTION("""COMPUTED_VALUE"""),"India")</f>
        <v>India</v>
      </c>
      <c r="C331" s="1">
        <f ca="1">IFERROR(__xludf.DUMMYFUNCTION("""COMPUTED_VALUE"""),465674)</f>
        <v>465674</v>
      </c>
      <c r="D331" s="3" t="str">
        <f ca="1">IFERROR(__xludf.DUMMYFUNCTION("""COMPUTED_VALUE"""),"Female")</f>
        <v>Female</v>
      </c>
      <c r="E331" s="1" t="str">
        <f ca="1">IFERROR(__xludf.DUMMYFUNCTION("""COMPUTED_VALUE"""),"My Parents")</f>
        <v>My Parents</v>
      </c>
      <c r="F331" s="1" t="str">
        <f ca="1">IFERROR(__xludf.DUMMYFUNCTION("""COMPUTED_VALUE"""),"Yes, I will earn and do that")</f>
        <v>Yes, I will earn and do that</v>
      </c>
      <c r="G331" s="1" t="str">
        <f ca="1">IFERROR(__xludf.DUMMYFUNCTION("""COMPUTED_VALUE"""),"Will work for 3 years or more")</f>
        <v>Will work for 3 years or more</v>
      </c>
      <c r="H331" s="1" t="str">
        <f ca="1">IFERROR(__xludf.DUMMYFUNCTION("""COMPUTED_VALUE"""),"No")</f>
        <v>No</v>
      </c>
      <c r="I331" s="1" t="str">
        <f ca="1">IFERROR(__xludf.DUMMYFUNCTION("""COMPUTED_VALUE"""),"Will NOT work for them")</f>
        <v>Will NOT work for them</v>
      </c>
      <c r="J331" s="1">
        <f ca="1">IFERROR(__xludf.DUMMYFUNCTION("""COMPUTED_VALUE"""),1)</f>
        <v>1</v>
      </c>
      <c r="K331" s="1" t="str">
        <f ca="1">IFERROR(__xludf.DUMMYFUNCTION("""COMPUTED_VALUE"""),"Hybrid Working Environment with less than 15 days a month at office")</f>
        <v>Hybrid Working Environment with less than 15 days a month at office</v>
      </c>
      <c r="L331" s="1" t="str">
        <f ca="1">IFERROR(__xludf.DUMMYFUNCTION("""COMPUTED_VALUE"""),"Employer who appreciates learning and enables that environment")</f>
        <v>Employer who appreciates learning and enables that environment</v>
      </c>
      <c r="M331" s="1" t="str">
        <f ca="1">IFERROR(__xludf.DUMMYFUNCTION("""COMPUTED_VALUE"""),"Self Paced Learning Portals, Instructor or Expert Learning Programs")</f>
        <v>Self Paced Learning Portals, Instructor or Expert Learning Programs</v>
      </c>
      <c r="N331"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31" s="1" t="str">
        <f ca="1">IFERROR(__xludf.DUMMYFUNCTION("""COMPUTED_VALUE"""),"Manager who explains what is expected, sets a goal and helps achieve it")</f>
        <v>Manager who explains what is expected, sets a goal and helps achieve it</v>
      </c>
      <c r="P331" s="1" t="str">
        <f ca="1">IFERROR(__xludf.DUMMYFUNCTION("""COMPUTED_VALUE"""),"Work with 7 to 10 or more people in my team")</f>
        <v>Work with 7 to 10 or more people in my team</v>
      </c>
      <c r="Q331" s="1"/>
    </row>
    <row r="332" spans="1:17" ht="13.2" x14ac:dyDescent="0.25">
      <c r="A332" s="2">
        <f ca="1">IFERROR(__xludf.DUMMYFUNCTION("""COMPUTED_VALUE"""),44936.0309894444)</f>
        <v>44936.0309894444</v>
      </c>
      <c r="B332" s="1" t="str">
        <f ca="1">IFERROR(__xludf.DUMMYFUNCTION("""COMPUTED_VALUE"""),"India")</f>
        <v>India</v>
      </c>
      <c r="C332" s="1">
        <f ca="1">IFERROR(__xludf.DUMMYFUNCTION("""COMPUTED_VALUE"""),110027)</f>
        <v>110027</v>
      </c>
      <c r="D332" s="3" t="str">
        <f ca="1">IFERROR(__xludf.DUMMYFUNCTION("""COMPUTED_VALUE"""),"Male")</f>
        <v>Male</v>
      </c>
      <c r="E332" s="1" t="str">
        <f ca="1">IFERROR(__xludf.DUMMYFUNCTION("""COMPUTED_VALUE"""),"People from my circle, but not family members")</f>
        <v>People from my circle, but not family members</v>
      </c>
      <c r="F332" s="1" t="str">
        <f ca="1">IFERROR(__xludf.DUMMYFUNCTION("""COMPUTED_VALUE"""),"No I would not be pursuing Higher Education outside of India")</f>
        <v>No I would not be pursuing Higher Education outside of India</v>
      </c>
      <c r="G332" s="1" t="str">
        <f ca="1">IFERROR(__xludf.DUMMYFUNCTION("""COMPUTED_VALUE"""),"Will work for 3 years or more")</f>
        <v>Will work for 3 years or more</v>
      </c>
      <c r="H332" s="1" t="str">
        <f ca="1">IFERROR(__xludf.DUMMYFUNCTION("""COMPUTED_VALUE"""),"No")</f>
        <v>No</v>
      </c>
      <c r="I332" s="1" t="str">
        <f ca="1">IFERROR(__xludf.DUMMYFUNCTION("""COMPUTED_VALUE"""),"Will NOT work for them")</f>
        <v>Will NOT work for them</v>
      </c>
      <c r="J332" s="1">
        <f ca="1">IFERROR(__xludf.DUMMYFUNCTION("""COMPUTED_VALUE"""),6)</f>
        <v>6</v>
      </c>
      <c r="K332" s="1" t="str">
        <f ca="1">IFERROR(__xludf.DUMMYFUNCTION("""COMPUTED_VALUE"""),"Hybrid Working Environment with less than 15 days a month at office")</f>
        <v>Hybrid Working Environment with less than 15 days a month at office</v>
      </c>
      <c r="L332" s="1" t="str">
        <f ca="1">IFERROR(__xludf.DUMMYFUNCTION("""COMPUTED_VALUE"""),"Employer who pushes your limits by enabling an learning environment, and rewards you at the end")</f>
        <v>Employer who pushes your limits by enabling an learning environment, and rewards you at the end</v>
      </c>
      <c r="M332" s="1" t="str">
        <f ca="1">IFERROR(__xludf.DUMMYFUNCTION("""COMPUTED_VALUE"""),"Instructor or Expert Learning Programs, Trial and error by doing side projects within the company")</f>
        <v>Instructor or Expert Learning Programs, Trial and error by doing side projects within the company</v>
      </c>
      <c r="N33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2" s="1" t="str">
        <f ca="1">IFERROR(__xludf.DUMMYFUNCTION("""COMPUTED_VALUE"""),"Manager who explains what is expected, sets a goal and helps achieve it")</f>
        <v>Manager who explains what is expected, sets a goal and helps achieve it</v>
      </c>
      <c r="P332" s="1" t="str">
        <f ca="1">IFERROR(__xludf.DUMMYFUNCTION("""COMPUTED_VALUE"""),"Work alone, Work with 2 to 3 people in my team, Work with 5 to 6 people in my team")</f>
        <v>Work alone, Work with 2 to 3 people in my team, Work with 5 to 6 people in my team</v>
      </c>
      <c r="Q332" s="1"/>
    </row>
    <row r="333" spans="1:17" ht="13.2" x14ac:dyDescent="0.25">
      <c r="A333" s="2">
        <f ca="1">IFERROR(__xludf.DUMMYFUNCTION("""COMPUTED_VALUE"""),44936.5113378124)</f>
        <v>44936.511337812401</v>
      </c>
      <c r="B333" s="1" t="str">
        <f ca="1">IFERROR(__xludf.DUMMYFUNCTION("""COMPUTED_VALUE"""),"India")</f>
        <v>India</v>
      </c>
      <c r="C333" s="1">
        <f ca="1">IFERROR(__xludf.DUMMYFUNCTION("""COMPUTED_VALUE"""),145001)</f>
        <v>145001</v>
      </c>
      <c r="D333" s="3" t="str">
        <f ca="1">IFERROR(__xludf.DUMMYFUNCTION("""COMPUTED_VALUE"""),"Male")</f>
        <v>Male</v>
      </c>
      <c r="E333" s="1" t="str">
        <f ca="1">IFERROR(__xludf.DUMMYFUNCTION("""COMPUTED_VALUE"""),"Influencers who had successful careers")</f>
        <v>Influencers who had successful careers</v>
      </c>
      <c r="F333" s="1" t="str">
        <f ca="1">IFERROR(__xludf.DUMMYFUNCTION("""COMPUTED_VALUE"""),"No, But if someone could bare the cost I will")</f>
        <v>No, But if someone could bare the cost I will</v>
      </c>
      <c r="G333" s="1" t="str">
        <f ca="1">IFERROR(__xludf.DUMMYFUNCTION("""COMPUTED_VALUE"""),"This will be hard to do, but if it is the right company I would try")</f>
        <v>This will be hard to do, but if it is the right company I would try</v>
      </c>
      <c r="H333" s="1" t="str">
        <f ca="1">IFERROR(__xludf.DUMMYFUNCTION("""COMPUTED_VALUE"""),"No")</f>
        <v>No</v>
      </c>
      <c r="I333" s="1" t="str">
        <f ca="1">IFERROR(__xludf.DUMMYFUNCTION("""COMPUTED_VALUE"""),"Will NOT work for them")</f>
        <v>Will NOT work for them</v>
      </c>
      <c r="J333" s="1">
        <f ca="1">IFERROR(__xludf.DUMMYFUNCTION("""COMPUTED_VALUE"""),1)</f>
        <v>1</v>
      </c>
      <c r="K333" s="1" t="str">
        <f ca="1">IFERROR(__xludf.DUMMYFUNCTION("""COMPUTED_VALUE"""),"Fully Remote with Options to travel as and when needed")</f>
        <v>Fully Remote with Options to travel as and when needed</v>
      </c>
      <c r="L333" s="1" t="str">
        <f ca="1">IFERROR(__xludf.DUMMYFUNCTION("""COMPUTED_VALUE"""),"Employer who pushes your limits by enabling an learning environment, and rewards you at the end")</f>
        <v>Employer who pushes your limits by enabling an learning environment, and rewards you at the end</v>
      </c>
      <c r="M333" s="1" t="str">
        <f ca="1">IFERROR(__xludf.DUMMYFUNCTION("""COMPUTED_VALUE"""),"Instructor or Expert Learning Programs, Learning by observing others")</f>
        <v>Instructor or Expert Learning Programs, Learning by observing others</v>
      </c>
      <c r="N333"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33" s="1" t="str">
        <f ca="1">IFERROR(__xludf.DUMMYFUNCTION("""COMPUTED_VALUE"""),"Manager who explains what is expected, sets a goal and helps achieve it")</f>
        <v>Manager who explains what is expected, sets a goal and helps achieve it</v>
      </c>
      <c r="P333" s="1" t="str">
        <f ca="1">IFERROR(__xludf.DUMMYFUNCTION("""COMPUTED_VALUE"""),"Work with 2 to 3 people in my team")</f>
        <v>Work with 2 to 3 people in my team</v>
      </c>
      <c r="Q333" s="1"/>
    </row>
    <row r="334" spans="1:17" ht="13.2" x14ac:dyDescent="0.25">
      <c r="A334" s="2">
        <f ca="1">IFERROR(__xludf.DUMMYFUNCTION("""COMPUTED_VALUE"""),44936.6800256828)</f>
        <v>44936.680025682799</v>
      </c>
      <c r="B334" s="1" t="str">
        <f ca="1">IFERROR(__xludf.DUMMYFUNCTION("""COMPUTED_VALUE"""),"India")</f>
        <v>India</v>
      </c>
      <c r="C334" s="1">
        <f ca="1">IFERROR(__xludf.DUMMYFUNCTION("""COMPUTED_VALUE"""),431001)</f>
        <v>431001</v>
      </c>
      <c r="D334" s="3" t="str">
        <f ca="1">IFERROR(__xludf.DUMMYFUNCTION("""COMPUTED_VALUE"""),"Male")</f>
        <v>Male</v>
      </c>
      <c r="E334" s="1" t="str">
        <f ca="1">IFERROR(__xludf.DUMMYFUNCTION("""COMPUTED_VALUE"""),"Influencers who had successful careers")</f>
        <v>Influencers who had successful careers</v>
      </c>
      <c r="F334" s="1" t="str">
        <f ca="1">IFERROR(__xludf.DUMMYFUNCTION("""COMPUTED_VALUE"""),"Yes, I will earn and do that")</f>
        <v>Yes, I will earn and do that</v>
      </c>
      <c r="G334" s="1" t="str">
        <f ca="1">IFERROR(__xludf.DUMMYFUNCTION("""COMPUTED_VALUE"""),"This will be hard to do, but if it is the right company I would try")</f>
        <v>This will be hard to do, but if it is the right company I would try</v>
      </c>
      <c r="H334" s="1" t="str">
        <f ca="1">IFERROR(__xludf.DUMMYFUNCTION("""COMPUTED_VALUE"""),"No")</f>
        <v>No</v>
      </c>
      <c r="I334" s="1" t="str">
        <f ca="1">IFERROR(__xludf.DUMMYFUNCTION("""COMPUTED_VALUE"""),"Will NOT work for them")</f>
        <v>Will NOT work for them</v>
      </c>
      <c r="J334" s="1">
        <f ca="1">IFERROR(__xludf.DUMMYFUNCTION("""COMPUTED_VALUE"""),5)</f>
        <v>5</v>
      </c>
      <c r="K334" s="1" t="str">
        <f ca="1">IFERROR(__xludf.DUMMYFUNCTION("""COMPUTED_VALUE"""),"Hybrid Working Environment with less than 15 days a month at office")</f>
        <v>Hybrid Working Environment with less than 15 days a month at office</v>
      </c>
      <c r="L334" s="1" t="str">
        <f ca="1">IFERROR(__xludf.DUMMYFUNCTION("""COMPUTED_VALUE"""),"Employer who pushes your limits by enabling an learning environment, and rewards you at the end")</f>
        <v>Employer who pushes your limits by enabling an learning environment, and rewards you at the end</v>
      </c>
      <c r="M334" s="1" t="str">
        <f ca="1">IFERROR(__xludf.DUMMYFUNCTION("""COMPUTED_VALUE"""),"Self Paced Learning Portals, Trial and error by doing side projects within the company")</f>
        <v>Self Paced Learning Portals, Trial and error by doing side projects within the company</v>
      </c>
      <c r="N33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34" s="1" t="str">
        <f ca="1">IFERROR(__xludf.DUMMYFUNCTION("""COMPUTED_VALUE"""),"Manager who explains what is expected, sets a goal and helps achieve it")</f>
        <v>Manager who explains what is expected, sets a goal and helps achieve it</v>
      </c>
      <c r="P334" s="1" t="str">
        <f ca="1">IFERROR(__xludf.DUMMYFUNCTION("""COMPUTED_VALUE"""),"Work with 7 to 10 or more people in my team")</f>
        <v>Work with 7 to 10 or more people in my team</v>
      </c>
      <c r="Q334" s="1"/>
    </row>
    <row r="335" spans="1:17" ht="13.2" x14ac:dyDescent="0.25">
      <c r="A335" s="2">
        <f ca="1">IFERROR(__xludf.DUMMYFUNCTION("""COMPUTED_VALUE"""),44936.7046449189)</f>
        <v>44936.7046449189</v>
      </c>
      <c r="B335" s="1" t="str">
        <f ca="1">IFERROR(__xludf.DUMMYFUNCTION("""COMPUTED_VALUE"""),"India")</f>
        <v>India</v>
      </c>
      <c r="C335" s="1">
        <f ca="1">IFERROR(__xludf.DUMMYFUNCTION("""COMPUTED_VALUE"""),457001)</f>
        <v>457001</v>
      </c>
      <c r="D335" s="3" t="str">
        <f ca="1">IFERROR(__xludf.DUMMYFUNCTION("""COMPUTED_VALUE"""),"Female")</f>
        <v>Female</v>
      </c>
      <c r="E335" s="1" t="str">
        <f ca="1">IFERROR(__xludf.DUMMYFUNCTION("""COMPUTED_VALUE"""),"Influencers who had successful careers")</f>
        <v>Influencers who had successful careers</v>
      </c>
      <c r="F335" s="1" t="str">
        <f ca="1">IFERROR(__xludf.DUMMYFUNCTION("""COMPUTED_VALUE"""),"No I would not be pursuing Higher Education outside of India")</f>
        <v>No I would not be pursuing Higher Education outside of India</v>
      </c>
      <c r="G335" s="1" t="str">
        <f ca="1">IFERROR(__xludf.DUMMYFUNCTION("""COMPUTED_VALUE"""),"This will be hard to do, but if it is the right company I would try")</f>
        <v>This will be hard to do, but if it is the right company I would try</v>
      </c>
      <c r="H335" s="1" t="str">
        <f ca="1">IFERROR(__xludf.DUMMYFUNCTION("""COMPUTED_VALUE"""),"No")</f>
        <v>No</v>
      </c>
      <c r="I335" s="1" t="str">
        <f ca="1">IFERROR(__xludf.DUMMYFUNCTION("""COMPUTED_VALUE"""),"Will NOT work for them")</f>
        <v>Will NOT work for them</v>
      </c>
      <c r="J335" s="1">
        <f ca="1">IFERROR(__xludf.DUMMYFUNCTION("""COMPUTED_VALUE"""),5)</f>
        <v>5</v>
      </c>
      <c r="K335" s="1" t="str">
        <f ca="1">IFERROR(__xludf.DUMMYFUNCTION("""COMPUTED_VALUE"""),"Hybrid Working Environment with less than 3 days a month at office")</f>
        <v>Hybrid Working Environment with less than 3 days a month at office</v>
      </c>
      <c r="L335" s="1" t="str">
        <f ca="1">IFERROR(__xludf.DUMMYFUNCTION("""COMPUTED_VALUE"""),"Employer who rewards learning and enables that environment")</f>
        <v>Employer who rewards learning and enables that environment</v>
      </c>
      <c r="M335" s="1" t="str">
        <f ca="1">IFERROR(__xludf.DUMMYFUNCTION("""COMPUTED_VALUE"""),"Self Paced Learning Portals, Instructor or Expert Learning Programs")</f>
        <v>Self Paced Learning Portals, Instructor or Expert Learning Programs</v>
      </c>
      <c r="N335"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335" s="1" t="str">
        <f ca="1">IFERROR(__xludf.DUMMYFUNCTION("""COMPUTED_VALUE"""),"Manager who clearly describes what she/he needs")</f>
        <v>Manager who clearly describes what she/he needs</v>
      </c>
      <c r="P335" s="1" t="str">
        <f ca="1">IFERROR(__xludf.DUMMYFUNCTION("""COMPUTED_VALUE"""),"Work alone, Work with 2 to 3 people in my team, Work with 5 to 6 people in my team")</f>
        <v>Work alone, Work with 2 to 3 people in my team, Work with 5 to 6 people in my team</v>
      </c>
      <c r="Q335" s="1"/>
    </row>
    <row r="336" spans="1:17" ht="13.2" x14ac:dyDescent="0.25">
      <c r="A336" s="2">
        <f ca="1">IFERROR(__xludf.DUMMYFUNCTION("""COMPUTED_VALUE"""),44937.3908363425)</f>
        <v>44937.3908363425</v>
      </c>
      <c r="B336" s="1" t="str">
        <f ca="1">IFERROR(__xludf.DUMMYFUNCTION("""COMPUTED_VALUE"""),"India")</f>
        <v>India</v>
      </c>
      <c r="C336" s="1">
        <f ca="1">IFERROR(__xludf.DUMMYFUNCTION("""COMPUTED_VALUE"""),520013)</f>
        <v>520013</v>
      </c>
      <c r="D336" s="3" t="str">
        <f ca="1">IFERROR(__xludf.DUMMYFUNCTION("""COMPUTED_VALUE"""),"Female")</f>
        <v>Female</v>
      </c>
      <c r="E336" s="1" t="str">
        <f ca="1">IFERROR(__xludf.DUMMYFUNCTION("""COMPUTED_VALUE"""),"People from my circle, but not family members")</f>
        <v>People from my circle, but not family members</v>
      </c>
      <c r="F336" s="1" t="str">
        <f ca="1">IFERROR(__xludf.DUMMYFUNCTION("""COMPUTED_VALUE"""),"No, But if someone could bare the cost I will")</f>
        <v>No, But if someone could bare the cost I will</v>
      </c>
      <c r="G336" s="1" t="str">
        <f ca="1">IFERROR(__xludf.DUMMYFUNCTION("""COMPUTED_VALUE"""),"No way, 3 years with one employer is crazy")</f>
        <v>No way, 3 years with one employer is crazy</v>
      </c>
      <c r="H336" s="1" t="str">
        <f ca="1">IFERROR(__xludf.DUMMYFUNCTION("""COMPUTED_VALUE"""),"No")</f>
        <v>No</v>
      </c>
      <c r="I336" s="1" t="str">
        <f ca="1">IFERROR(__xludf.DUMMYFUNCTION("""COMPUTED_VALUE"""),"Will NOT work for them")</f>
        <v>Will NOT work for them</v>
      </c>
      <c r="J336" s="1">
        <f ca="1">IFERROR(__xludf.DUMMYFUNCTION("""COMPUTED_VALUE"""),5)</f>
        <v>5</v>
      </c>
      <c r="K336" s="1" t="str">
        <f ca="1">IFERROR(__xludf.DUMMYFUNCTION("""COMPUTED_VALUE"""),"Hybrid Working Environment with less than 3 days a month at office")</f>
        <v>Hybrid Working Environment with less than 3 days a month at office</v>
      </c>
      <c r="L336" s="1" t="str">
        <f ca="1">IFERROR(__xludf.DUMMYFUNCTION("""COMPUTED_VALUE"""),"Employer who pushes your limits by enabling an learning environment, and rewards you at the end")</f>
        <v>Employer who pushes your limits by enabling an learning environment, and rewards you at the end</v>
      </c>
      <c r="M336" s="1" t="str">
        <f ca="1">IFERROR(__xludf.DUMMYFUNCTION("""COMPUTED_VALUE"""),"Instructor or Expert Learning Programs, Trial and error by doing side projects within the company")</f>
        <v>Instructor or Expert Learning Programs, Trial and error by doing side projects within the company</v>
      </c>
      <c r="N336"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336" s="1" t="str">
        <f ca="1">IFERROR(__xludf.DUMMYFUNCTION("""COMPUTED_VALUE"""),"Manager who explains what is expected, sets a goal and helps achieve it")</f>
        <v>Manager who explains what is expected, sets a goal and helps achieve it</v>
      </c>
      <c r="P336" s="1" t="str">
        <f ca="1">IFERROR(__xludf.DUMMYFUNCTION("""COMPUTED_VALUE"""),"Work with more than 10 people in my team")</f>
        <v>Work with more than 10 people in my team</v>
      </c>
      <c r="Q336" s="1"/>
    </row>
    <row r="337" spans="1:17" ht="13.2" x14ac:dyDescent="0.25">
      <c r="A337" s="2">
        <f ca="1">IFERROR(__xludf.DUMMYFUNCTION("""COMPUTED_VALUE"""),44937.5010597106)</f>
        <v>44937.501059710601</v>
      </c>
      <c r="B337" s="1" t="str">
        <f ca="1">IFERROR(__xludf.DUMMYFUNCTION("""COMPUTED_VALUE"""),"Nigeria")</f>
        <v>Nigeria</v>
      </c>
      <c r="C337" s="1" t="str">
        <f ca="1">IFERROR(__xludf.DUMMYFUNCTION("""COMPUTED_VALUE"""),"UTC+01")</f>
        <v>UTC+01</v>
      </c>
      <c r="D337" s="3" t="str">
        <f ca="1">IFERROR(__xludf.DUMMYFUNCTION("""COMPUTED_VALUE"""),"Male")</f>
        <v>Male</v>
      </c>
      <c r="E337" s="1" t="str">
        <f ca="1">IFERROR(__xludf.DUMMYFUNCTION("""COMPUTED_VALUE"""),"Influencers who had successful careers")</f>
        <v>Influencers who had successful careers</v>
      </c>
      <c r="F337" s="1" t="str">
        <f ca="1">IFERROR(__xludf.DUMMYFUNCTION("""COMPUTED_VALUE"""),"Yes, I will earn and do that")</f>
        <v>Yes, I will earn and do that</v>
      </c>
      <c r="G337" s="1" t="str">
        <f ca="1">IFERROR(__xludf.DUMMYFUNCTION("""COMPUTED_VALUE"""),"This will be hard to do, but if it is the right company I would try")</f>
        <v>This will be hard to do, but if it is the right company I would try</v>
      </c>
      <c r="H337" s="1" t="str">
        <f ca="1">IFERROR(__xludf.DUMMYFUNCTION("""COMPUTED_VALUE"""),"No")</f>
        <v>No</v>
      </c>
      <c r="I337" s="1" t="str">
        <f ca="1">IFERROR(__xludf.DUMMYFUNCTION("""COMPUTED_VALUE"""),"Will NOT work for them")</f>
        <v>Will NOT work for them</v>
      </c>
      <c r="J337" s="1">
        <f ca="1">IFERROR(__xludf.DUMMYFUNCTION("""COMPUTED_VALUE"""),1)</f>
        <v>1</v>
      </c>
      <c r="K337" s="1" t="str">
        <f ca="1">IFERROR(__xludf.DUMMYFUNCTION("""COMPUTED_VALUE"""),"Fully Remote with Options to travel as and when needed")</f>
        <v>Fully Remote with Options to travel as and when needed</v>
      </c>
      <c r="L337" s="1" t="str">
        <f ca="1">IFERROR(__xludf.DUMMYFUNCTION("""COMPUTED_VALUE"""),"Employer who pushes your limits by enabling an learning environment, and rewards you at the end")</f>
        <v>Employer who pushes your limits by enabling an learning environment, and rewards you at the end</v>
      </c>
      <c r="M337" s="1" t="str">
        <f ca="1">IFERROR(__xludf.DUMMYFUNCTION("""COMPUTED_VALUE"""),"Instructor or Expert Learning Programs, Learning by observing others")</f>
        <v>Instructor or Expert Learning Programs, Learning by observing others</v>
      </c>
      <c r="N3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37" s="1" t="str">
        <f ca="1">IFERROR(__xludf.DUMMYFUNCTION("""COMPUTED_VALUE"""),"Manager who explains what is expected, sets a goal and helps achieve it")</f>
        <v>Manager who explains what is expected, sets a goal and helps achieve it</v>
      </c>
      <c r="P337" s="1" t="str">
        <f ca="1">IFERROR(__xludf.DUMMYFUNCTION("""COMPUTED_VALUE"""),"Work with more than 10 people in my team")</f>
        <v>Work with more than 10 people in my team</v>
      </c>
      <c r="Q337" s="1"/>
    </row>
    <row r="338" spans="1:17" ht="13.2" x14ac:dyDescent="0.25">
      <c r="A338" s="2">
        <f ca="1">IFERROR(__xludf.DUMMYFUNCTION("""COMPUTED_VALUE"""),44937.6631981944)</f>
        <v>44937.663198194401</v>
      </c>
      <c r="B338" s="1" t="str">
        <f ca="1">IFERROR(__xludf.DUMMYFUNCTION("""COMPUTED_VALUE"""),"India")</f>
        <v>India</v>
      </c>
      <c r="C338" s="1">
        <f ca="1">IFERROR(__xludf.DUMMYFUNCTION("""COMPUTED_VALUE"""),201304)</f>
        <v>201304</v>
      </c>
      <c r="D338" s="3" t="str">
        <f ca="1">IFERROR(__xludf.DUMMYFUNCTION("""COMPUTED_VALUE"""),"Female")</f>
        <v>Female</v>
      </c>
      <c r="E338" s="1" t="str">
        <f ca="1">IFERROR(__xludf.DUMMYFUNCTION("""COMPUTED_VALUE"""),"Influencers who had successful careers")</f>
        <v>Influencers who had successful careers</v>
      </c>
      <c r="F338" s="1" t="str">
        <f ca="1">IFERROR(__xludf.DUMMYFUNCTION("""COMPUTED_VALUE"""),"No I would not be pursuing Higher Education outside of India")</f>
        <v>No I would not be pursuing Higher Education outside of India</v>
      </c>
      <c r="G338" s="1" t="str">
        <f ca="1">IFERROR(__xludf.DUMMYFUNCTION("""COMPUTED_VALUE"""),"This will be hard to do, but if it is the right company I would try")</f>
        <v>This will be hard to do, but if it is the right company I would try</v>
      </c>
      <c r="H338" s="1" t="str">
        <f ca="1">IFERROR(__xludf.DUMMYFUNCTION("""COMPUTED_VALUE"""),"No")</f>
        <v>No</v>
      </c>
      <c r="I338" s="1" t="str">
        <f ca="1">IFERROR(__xludf.DUMMYFUNCTION("""COMPUTED_VALUE"""),"Will NOT work for them")</f>
        <v>Will NOT work for them</v>
      </c>
      <c r="J338" s="1">
        <f ca="1">IFERROR(__xludf.DUMMYFUNCTION("""COMPUTED_VALUE"""),2)</f>
        <v>2</v>
      </c>
      <c r="K338" s="1" t="str">
        <f ca="1">IFERROR(__xludf.DUMMYFUNCTION("""COMPUTED_VALUE"""),"Hybrid Working Environment with less than 15 days a month at office")</f>
        <v>Hybrid Working Environment with less than 15 days a month at office</v>
      </c>
      <c r="L338" s="1" t="str">
        <f ca="1">IFERROR(__xludf.DUMMYFUNCTION("""COMPUTED_VALUE"""),"Employer who pushes your limits by enabling an learning environment, and rewards you at the end")</f>
        <v>Employer who pushes your limits by enabling an learning environment, and rewards you at the end</v>
      </c>
      <c r="M338" s="1" t="str">
        <f ca="1">IFERROR(__xludf.DUMMYFUNCTION("""COMPUTED_VALUE"""),"Instructor or Expert Learning Programs, Trial and error by doing side projects within the company")</f>
        <v>Instructor or Expert Learning Programs, Trial and error by doing side projects within the company</v>
      </c>
      <c r="N338"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38" s="1" t="str">
        <f ca="1">IFERROR(__xludf.DUMMYFUNCTION("""COMPUTED_VALUE"""),"Manager who clearly describes what she/he needs")</f>
        <v>Manager who clearly describes what she/he needs</v>
      </c>
      <c r="P338" s="1" t="str">
        <f ca="1">IFERROR(__xludf.DUMMYFUNCTION("""COMPUTED_VALUE"""),"Work with 5 to 6 people in my team")</f>
        <v>Work with 5 to 6 people in my team</v>
      </c>
      <c r="Q338" s="1"/>
    </row>
    <row r="339" spans="1:17" ht="13.2" x14ac:dyDescent="0.25">
      <c r="A339" s="2">
        <f ca="1">IFERROR(__xludf.DUMMYFUNCTION("""COMPUTED_VALUE"""),44937.7179000926)</f>
        <v>44937.717900092597</v>
      </c>
      <c r="B339" s="1" t="str">
        <f ca="1">IFERROR(__xludf.DUMMYFUNCTION("""COMPUTED_VALUE"""),"India")</f>
        <v>India</v>
      </c>
      <c r="C339" s="1">
        <f ca="1">IFERROR(__xludf.DUMMYFUNCTION("""COMPUTED_VALUE"""),383007)</f>
        <v>383007</v>
      </c>
      <c r="D339" s="3" t="str">
        <f ca="1">IFERROR(__xludf.DUMMYFUNCTION("""COMPUTED_VALUE"""),"Male")</f>
        <v>Male</v>
      </c>
      <c r="E339" s="1" t="str">
        <f ca="1">IFERROR(__xludf.DUMMYFUNCTION("""COMPUTED_VALUE"""),"People from my circle, but not family members")</f>
        <v>People from my circle, but not family members</v>
      </c>
      <c r="F339" s="1" t="str">
        <f ca="1">IFERROR(__xludf.DUMMYFUNCTION("""COMPUTED_VALUE"""),"No, But if someone could bare the cost I will")</f>
        <v>No, But if someone could bare the cost I will</v>
      </c>
      <c r="G339" s="1" t="str">
        <f ca="1">IFERROR(__xludf.DUMMYFUNCTION("""COMPUTED_VALUE"""),"This will be hard to do, but if it is the right company I would try")</f>
        <v>This will be hard to do, but if it is the right company I would try</v>
      </c>
      <c r="H339" s="1" t="str">
        <f ca="1">IFERROR(__xludf.DUMMYFUNCTION("""COMPUTED_VALUE"""),"No")</f>
        <v>No</v>
      </c>
      <c r="I339" s="1" t="str">
        <f ca="1">IFERROR(__xludf.DUMMYFUNCTION("""COMPUTED_VALUE"""),"Will NOT work for them")</f>
        <v>Will NOT work for them</v>
      </c>
      <c r="J339" s="1">
        <f ca="1">IFERROR(__xludf.DUMMYFUNCTION("""COMPUTED_VALUE"""),8)</f>
        <v>8</v>
      </c>
      <c r="K339" s="1" t="str">
        <f ca="1">IFERROR(__xludf.DUMMYFUNCTION("""COMPUTED_VALUE"""),"Hybrid Working Environment with less than 10 days a month at office")</f>
        <v>Hybrid Working Environment with less than 10 days a month at office</v>
      </c>
      <c r="L339" s="1" t="str">
        <f ca="1">IFERROR(__xludf.DUMMYFUNCTION("""COMPUTED_VALUE"""),"Employer who pushes your limits by enabling an learning environment, and rewards you at the end")</f>
        <v>Employer who pushes your limits by enabling an learning environment, and rewards you at the end</v>
      </c>
      <c r="M339" s="1" t="str">
        <f ca="1">IFERROR(__xludf.DUMMYFUNCTION("""COMPUTED_VALUE"""),"Learning by observing others, Trial and error by doing side projects within the company")</f>
        <v>Learning by observing others, Trial and error by doing side projects within the company</v>
      </c>
      <c r="N33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39" s="1" t="str">
        <f ca="1">IFERROR(__xludf.DUMMYFUNCTION("""COMPUTED_VALUE"""),"Manager who sets goal and helps me achieve it")</f>
        <v>Manager who sets goal and helps me achieve it</v>
      </c>
      <c r="P339" s="1" t="str">
        <f ca="1">IFERROR(__xludf.DUMMYFUNCTION("""COMPUTED_VALUE"""),"Work with 2 to 3 people in my team")</f>
        <v>Work with 2 to 3 people in my team</v>
      </c>
      <c r="Q339" s="1"/>
    </row>
    <row r="340" spans="1:17" ht="13.2" x14ac:dyDescent="0.25">
      <c r="A340" s="2">
        <f ca="1">IFERROR(__xludf.DUMMYFUNCTION("""COMPUTED_VALUE"""),44937.753747037)</f>
        <v>44937.753747037001</v>
      </c>
      <c r="B340" s="1" t="str">
        <f ca="1">IFERROR(__xludf.DUMMYFUNCTION("""COMPUTED_VALUE"""),"India")</f>
        <v>India</v>
      </c>
      <c r="C340" s="1">
        <f ca="1">IFERROR(__xludf.DUMMYFUNCTION("""COMPUTED_VALUE"""),638012)</f>
        <v>638012</v>
      </c>
      <c r="D340" s="3" t="str">
        <f ca="1">IFERROR(__xludf.DUMMYFUNCTION("""COMPUTED_VALUE"""),"Male")</f>
        <v>Male</v>
      </c>
      <c r="E340" s="1" t="str">
        <f ca="1">IFERROR(__xludf.DUMMYFUNCTION("""COMPUTED_VALUE"""),"Influencers who had successful careers")</f>
        <v>Influencers who had successful careers</v>
      </c>
      <c r="F340" s="1" t="str">
        <f ca="1">IFERROR(__xludf.DUMMYFUNCTION("""COMPUTED_VALUE"""),"Yes, I will earn and do that")</f>
        <v>Yes, I will earn and do that</v>
      </c>
      <c r="G340" s="1" t="str">
        <f ca="1">IFERROR(__xludf.DUMMYFUNCTION("""COMPUTED_VALUE"""),"This will be hard to do, but if it is the right company I would try")</f>
        <v>This will be hard to do, but if it is the right company I would try</v>
      </c>
      <c r="H340" s="1" t="str">
        <f ca="1">IFERROR(__xludf.DUMMYFUNCTION("""COMPUTED_VALUE"""),"No")</f>
        <v>No</v>
      </c>
      <c r="I340" s="1" t="str">
        <f ca="1">IFERROR(__xludf.DUMMYFUNCTION("""COMPUTED_VALUE"""),"Will NOT work for them")</f>
        <v>Will NOT work for them</v>
      </c>
      <c r="J340" s="1">
        <f ca="1">IFERROR(__xludf.DUMMYFUNCTION("""COMPUTED_VALUE"""),5)</f>
        <v>5</v>
      </c>
      <c r="K340" s="1" t="str">
        <f ca="1">IFERROR(__xludf.DUMMYFUNCTION("""COMPUTED_VALUE"""),"Hybrid Working Environment with less than 15 days a month at office")</f>
        <v>Hybrid Working Environment with less than 15 days a month at office</v>
      </c>
      <c r="L340" s="1" t="str">
        <f ca="1">IFERROR(__xludf.DUMMYFUNCTION("""COMPUTED_VALUE"""),"Employer who pushes your limits by enabling an learning environment, and rewards you at the end")</f>
        <v>Employer who pushes your limits by enabling an learning environment, and rewards you at the end</v>
      </c>
      <c r="M340" s="1" t="str">
        <f ca="1">IFERROR(__xludf.DUMMYFUNCTION("""COMPUTED_VALUE"""),"Self Paced Learning Portals, Instructor or Expert Learning Programs")</f>
        <v>Self Paced Learning Portals, Instructor or Expert Learning Programs</v>
      </c>
      <c r="N34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0" s="1" t="str">
        <f ca="1">IFERROR(__xludf.DUMMYFUNCTION("""COMPUTED_VALUE"""),"Manager who explains what is expected, sets a goal and helps achieve it")</f>
        <v>Manager who explains what is expected, sets a goal and helps achieve it</v>
      </c>
      <c r="P340" s="1" t="str">
        <f ca="1">IFERROR(__xludf.DUMMYFUNCTION("""COMPUTED_VALUE"""),"Work with 5 to 6 people in my team")</f>
        <v>Work with 5 to 6 people in my team</v>
      </c>
      <c r="Q340" s="1"/>
    </row>
    <row r="341" spans="1:17" ht="13.2" x14ac:dyDescent="0.25">
      <c r="A341" s="2">
        <f ca="1">IFERROR(__xludf.DUMMYFUNCTION("""COMPUTED_VALUE"""),44937.758060324)</f>
        <v>44937.758060323999</v>
      </c>
      <c r="B341" s="1" t="str">
        <f ca="1">IFERROR(__xludf.DUMMYFUNCTION("""COMPUTED_VALUE"""),"India")</f>
        <v>India</v>
      </c>
      <c r="C341" s="1">
        <f ca="1">IFERROR(__xludf.DUMMYFUNCTION("""COMPUTED_VALUE"""),457001)</f>
        <v>457001</v>
      </c>
      <c r="D341" s="3" t="str">
        <f ca="1">IFERROR(__xludf.DUMMYFUNCTION("""COMPUTED_VALUE"""),"Male")</f>
        <v>Male</v>
      </c>
      <c r="E341" s="1" t="str">
        <f ca="1">IFERROR(__xludf.DUMMYFUNCTION("""COMPUTED_VALUE"""),"People who have changed the world for better")</f>
        <v>People who have changed the world for better</v>
      </c>
      <c r="F341" s="1" t="str">
        <f ca="1">IFERROR(__xludf.DUMMYFUNCTION("""COMPUTED_VALUE"""),"Yes, I will earn and do that")</f>
        <v>Yes, I will earn and do that</v>
      </c>
      <c r="G341" s="1" t="str">
        <f ca="1">IFERROR(__xludf.DUMMYFUNCTION("""COMPUTED_VALUE"""),"Will work for 3 years or more")</f>
        <v>Will work for 3 years or more</v>
      </c>
      <c r="H341" s="1" t="str">
        <f ca="1">IFERROR(__xludf.DUMMYFUNCTION("""COMPUTED_VALUE"""),"Yes")</f>
        <v>Yes</v>
      </c>
      <c r="I341" s="1" t="str">
        <f ca="1">IFERROR(__xludf.DUMMYFUNCTION("""COMPUTED_VALUE"""),"Will work for them")</f>
        <v>Will work for them</v>
      </c>
      <c r="J341" s="1">
        <f ca="1">IFERROR(__xludf.DUMMYFUNCTION("""COMPUTED_VALUE"""),5)</f>
        <v>5</v>
      </c>
      <c r="K341" s="1" t="str">
        <f ca="1">IFERROR(__xludf.DUMMYFUNCTION("""COMPUTED_VALUE"""),"Fully Remote with Options to travel as and when needed")</f>
        <v>Fully Remote with Options to travel as and when needed</v>
      </c>
      <c r="L341" s="1" t="str">
        <f ca="1">IFERROR(__xludf.DUMMYFUNCTION("""COMPUTED_VALUE"""),"Employer who appreciates learning and enables that environment")</f>
        <v>Employer who appreciates learning and enables that environment</v>
      </c>
      <c r="M341" s="1" t="str">
        <f ca="1">IFERROR(__xludf.DUMMYFUNCTION("""COMPUTED_VALUE"""),"Self Paced Learning Portals, Learning by observing others")</f>
        <v>Self Paced Learning Portals, Learning by observing others</v>
      </c>
      <c r="N341"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41" s="1" t="str">
        <f ca="1">IFERROR(__xludf.DUMMYFUNCTION("""COMPUTED_VALUE"""),"Manager who sets goal and helps me achieve it")</f>
        <v>Manager who sets goal and helps me achieve it</v>
      </c>
      <c r="P341" s="1" t="str">
        <f ca="1">IFERROR(__xludf.DUMMYFUNCTION("""COMPUTED_VALUE"""),"Work with more than 10 people in my team")</f>
        <v>Work with more than 10 people in my team</v>
      </c>
      <c r="Q341" s="1"/>
    </row>
    <row r="342" spans="1:17" ht="13.2" x14ac:dyDescent="0.25">
      <c r="A342" s="2">
        <f ca="1">IFERROR(__xludf.DUMMYFUNCTION("""COMPUTED_VALUE"""),44937.8912260532)</f>
        <v>44937.891226053202</v>
      </c>
      <c r="B342" s="1" t="str">
        <f ca="1">IFERROR(__xludf.DUMMYFUNCTION("""COMPUTED_VALUE"""),"India")</f>
        <v>India</v>
      </c>
      <c r="C342" s="1">
        <f ca="1">IFERROR(__xludf.DUMMYFUNCTION("""COMPUTED_VALUE"""),560010)</f>
        <v>560010</v>
      </c>
      <c r="D342" s="3" t="str">
        <f ca="1">IFERROR(__xludf.DUMMYFUNCTION("""COMPUTED_VALUE"""),"Female")</f>
        <v>Female</v>
      </c>
      <c r="E342" s="1" t="str">
        <f ca="1">IFERROR(__xludf.DUMMYFUNCTION("""COMPUTED_VALUE"""),"My Parents")</f>
        <v>My Parents</v>
      </c>
      <c r="F342" s="1" t="str">
        <f ca="1">IFERROR(__xludf.DUMMYFUNCTION("""COMPUTED_VALUE"""),"No I would not be pursuing Higher Education outside of India")</f>
        <v>No I would not be pursuing Higher Education outside of India</v>
      </c>
      <c r="G342" s="1" t="str">
        <f ca="1">IFERROR(__xludf.DUMMYFUNCTION("""COMPUTED_VALUE"""),"This will be hard to do, but if it is the right company I would try")</f>
        <v>This will be hard to do, but if it is the right company I would try</v>
      </c>
      <c r="H342" s="1" t="str">
        <f ca="1">IFERROR(__xludf.DUMMYFUNCTION("""COMPUTED_VALUE"""),"No")</f>
        <v>No</v>
      </c>
      <c r="I342" s="1" t="str">
        <f ca="1">IFERROR(__xludf.DUMMYFUNCTION("""COMPUTED_VALUE"""),"Will NOT work for them")</f>
        <v>Will NOT work for them</v>
      </c>
      <c r="J342" s="1">
        <f ca="1">IFERROR(__xludf.DUMMYFUNCTION("""COMPUTED_VALUE"""),8)</f>
        <v>8</v>
      </c>
      <c r="K342" s="1" t="str">
        <f ca="1">IFERROR(__xludf.DUMMYFUNCTION("""COMPUTED_VALUE"""),"Every Day Office Environment")</f>
        <v>Every Day Office Environment</v>
      </c>
      <c r="L342" s="1" t="str">
        <f ca="1">IFERROR(__xludf.DUMMYFUNCTION("""COMPUTED_VALUE"""),"Employer who appreciates learning and enables that environment")</f>
        <v>Employer who appreciates learning and enables that environment</v>
      </c>
      <c r="M342" s="1" t="str">
        <f ca="1">IFERROR(__xludf.DUMMYFUNCTION("""COMPUTED_VALUE"""),"Instructor or Expert Learning Programs, Learning by observing others")</f>
        <v>Instructor or Expert Learning Programs, Learning by observing others</v>
      </c>
      <c r="N34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2" s="1" t="str">
        <f ca="1">IFERROR(__xludf.DUMMYFUNCTION("""COMPUTED_VALUE"""),"Manager who sets goal and helps me achieve it")</f>
        <v>Manager who sets goal and helps me achieve it</v>
      </c>
      <c r="P342" s="1" t="str">
        <f ca="1">IFERROR(__xludf.DUMMYFUNCTION("""COMPUTED_VALUE"""),"Work with 5 to 6 people in my team")</f>
        <v>Work with 5 to 6 people in my team</v>
      </c>
      <c r="Q342" s="1"/>
    </row>
    <row r="343" spans="1:17" ht="13.2" x14ac:dyDescent="0.25">
      <c r="A343" s="2">
        <f ca="1">IFERROR(__xludf.DUMMYFUNCTION("""COMPUTED_VALUE"""),44937.891986655)</f>
        <v>44937.891986654999</v>
      </c>
      <c r="B343" s="1" t="str">
        <f ca="1">IFERROR(__xludf.DUMMYFUNCTION("""COMPUTED_VALUE"""),"India")</f>
        <v>India</v>
      </c>
      <c r="C343" s="1">
        <f ca="1">IFERROR(__xludf.DUMMYFUNCTION("""COMPUTED_VALUE"""),411048)</f>
        <v>411048</v>
      </c>
      <c r="D343" s="3" t="str">
        <f ca="1">IFERROR(__xludf.DUMMYFUNCTION("""COMPUTED_VALUE"""),"Male")</f>
        <v>Male</v>
      </c>
      <c r="E343" s="1" t="str">
        <f ca="1">IFERROR(__xludf.DUMMYFUNCTION("""COMPUTED_VALUE"""),"Social Media like LinkedIn")</f>
        <v>Social Media like LinkedIn</v>
      </c>
      <c r="F343" s="1" t="str">
        <f ca="1">IFERROR(__xludf.DUMMYFUNCTION("""COMPUTED_VALUE"""),"No, But if someone could bare the cost I will")</f>
        <v>No, But if someone could bare the cost I will</v>
      </c>
      <c r="G343" s="1" t="str">
        <f ca="1">IFERROR(__xludf.DUMMYFUNCTION("""COMPUTED_VALUE"""),"This will be hard to do, but if it is the right company I would try")</f>
        <v>This will be hard to do, but if it is the right company I would try</v>
      </c>
      <c r="H343" s="1" t="str">
        <f ca="1">IFERROR(__xludf.DUMMYFUNCTION("""COMPUTED_VALUE"""),"No")</f>
        <v>No</v>
      </c>
      <c r="I343" s="1" t="str">
        <f ca="1">IFERROR(__xludf.DUMMYFUNCTION("""COMPUTED_VALUE"""),"Will NOT work for them")</f>
        <v>Will NOT work for them</v>
      </c>
      <c r="J343" s="1">
        <f ca="1">IFERROR(__xludf.DUMMYFUNCTION("""COMPUTED_VALUE"""),7)</f>
        <v>7</v>
      </c>
      <c r="K343" s="1" t="str">
        <f ca="1">IFERROR(__xludf.DUMMYFUNCTION("""COMPUTED_VALUE"""),"Hybrid Working Environment with less than 3 days a month at office")</f>
        <v>Hybrid Working Environment with less than 3 days a month at office</v>
      </c>
      <c r="L343" s="1" t="str">
        <f ca="1">IFERROR(__xludf.DUMMYFUNCTION("""COMPUTED_VALUE"""),"Employer who pushes your limits by enabling an learning environment, and rewards you at the end")</f>
        <v>Employer who pushes your limits by enabling an learning environment, and rewards you at the end</v>
      </c>
      <c r="M343" s="1" t="str">
        <f ca="1">IFERROR(__xludf.DUMMYFUNCTION("""COMPUTED_VALUE"""),"Instructor or Expert Learning Programs, Learning by observing others")</f>
        <v>Instructor or Expert Learning Programs, Learning by observing others</v>
      </c>
      <c r="N34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3" s="1" t="str">
        <f ca="1">IFERROR(__xludf.DUMMYFUNCTION("""COMPUTED_VALUE"""),"Manager who explains what is expected, sets a goal and helps achieve it")</f>
        <v>Manager who explains what is expected, sets a goal and helps achieve it</v>
      </c>
      <c r="P343" s="1" t="str">
        <f ca="1">IFERROR(__xludf.DUMMYFUNCTION("""COMPUTED_VALUE"""),"Work with more than 10 people in my team")</f>
        <v>Work with more than 10 people in my team</v>
      </c>
      <c r="Q343" s="1"/>
    </row>
    <row r="344" spans="1:17" ht="13.2" x14ac:dyDescent="0.25">
      <c r="A344" s="2">
        <f ca="1">IFERROR(__xludf.DUMMYFUNCTION("""COMPUTED_VALUE"""),44938.0538303125)</f>
        <v>44938.053830312499</v>
      </c>
      <c r="B344" s="1" t="str">
        <f ca="1">IFERROR(__xludf.DUMMYFUNCTION("""COMPUTED_VALUE"""),"India")</f>
        <v>India</v>
      </c>
      <c r="C344" s="1">
        <f ca="1">IFERROR(__xludf.DUMMYFUNCTION("""COMPUTED_VALUE"""),283203)</f>
        <v>283203</v>
      </c>
      <c r="D344" s="3" t="str">
        <f ca="1">IFERROR(__xludf.DUMMYFUNCTION("""COMPUTED_VALUE"""),"Female")</f>
        <v>Female</v>
      </c>
      <c r="E344" s="1" t="str">
        <f ca="1">IFERROR(__xludf.DUMMYFUNCTION("""COMPUTED_VALUE"""),"My Parents")</f>
        <v>My Parents</v>
      </c>
      <c r="F344" s="1" t="str">
        <f ca="1">IFERROR(__xludf.DUMMYFUNCTION("""COMPUTED_VALUE"""),"Yes, I will earn and do that")</f>
        <v>Yes, I will earn and do that</v>
      </c>
      <c r="G344" s="1" t="str">
        <f ca="1">IFERROR(__xludf.DUMMYFUNCTION("""COMPUTED_VALUE"""),"This will be hard to do, but if it is the right company I would try")</f>
        <v>This will be hard to do, but if it is the right company I would try</v>
      </c>
      <c r="H344" s="1" t="str">
        <f ca="1">IFERROR(__xludf.DUMMYFUNCTION("""COMPUTED_VALUE"""),"Yes")</f>
        <v>Yes</v>
      </c>
      <c r="I344" s="1" t="str">
        <f ca="1">IFERROR(__xludf.DUMMYFUNCTION("""COMPUTED_VALUE"""),"Will NOT work for them")</f>
        <v>Will NOT work for them</v>
      </c>
      <c r="J344" s="1">
        <f ca="1">IFERROR(__xludf.DUMMYFUNCTION("""COMPUTED_VALUE"""),8)</f>
        <v>8</v>
      </c>
      <c r="K344" s="1" t="str">
        <f ca="1">IFERROR(__xludf.DUMMYFUNCTION("""COMPUTED_VALUE"""),"Hybrid Working Environment with less than 10 days a month at office")</f>
        <v>Hybrid Working Environment with less than 10 days a month at office</v>
      </c>
      <c r="L344" s="1" t="str">
        <f ca="1">IFERROR(__xludf.DUMMYFUNCTION("""COMPUTED_VALUE"""),"Employer who pushes your limits by enabling an learning environment, and rewards you at the end")</f>
        <v>Employer who pushes your limits by enabling an learning environment, and rewards you at the end</v>
      </c>
      <c r="M344" s="1" t="str">
        <f ca="1">IFERROR(__xludf.DUMMYFUNCTION("""COMPUTED_VALUE"""),"Instructor or Expert Learning Programs, Trial and error by doing side projects within the company")</f>
        <v>Instructor or Expert Learning Programs, Trial and error by doing side projects within the company</v>
      </c>
      <c r="N3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4" s="1" t="str">
        <f ca="1">IFERROR(__xludf.DUMMYFUNCTION("""COMPUTED_VALUE"""),"Manager who explains what is expected, sets a goal and helps achieve it")</f>
        <v>Manager who explains what is expected, sets a goal and helps achieve it</v>
      </c>
      <c r="P344" s="1" t="str">
        <f ca="1">IFERROR(__xludf.DUMMYFUNCTION("""COMPUTED_VALUE"""),"Work with 5 to 6 people in my team")</f>
        <v>Work with 5 to 6 people in my team</v>
      </c>
      <c r="Q344" s="1"/>
    </row>
    <row r="345" spans="1:17" ht="13.2" x14ac:dyDescent="0.25">
      <c r="A345" s="2">
        <f ca="1">IFERROR(__xludf.DUMMYFUNCTION("""COMPUTED_VALUE"""),44938.4051238078)</f>
        <v>44938.405123807803</v>
      </c>
      <c r="B345" s="1" t="str">
        <f ca="1">IFERROR(__xludf.DUMMYFUNCTION("""COMPUTED_VALUE"""),"India")</f>
        <v>India</v>
      </c>
      <c r="C345" s="1">
        <f ca="1">IFERROR(__xludf.DUMMYFUNCTION("""COMPUTED_VALUE"""),206001)</f>
        <v>206001</v>
      </c>
      <c r="D345" s="3" t="str">
        <f ca="1">IFERROR(__xludf.DUMMYFUNCTION("""COMPUTED_VALUE"""),"Male")</f>
        <v>Male</v>
      </c>
      <c r="E345" s="1" t="str">
        <f ca="1">IFERROR(__xludf.DUMMYFUNCTION("""COMPUTED_VALUE"""),"Influencers who had successful careers")</f>
        <v>Influencers who had successful careers</v>
      </c>
      <c r="F345" s="1" t="str">
        <f ca="1">IFERROR(__xludf.DUMMYFUNCTION("""COMPUTED_VALUE"""),"Yes, I will earn and do that")</f>
        <v>Yes, I will earn and do that</v>
      </c>
      <c r="G345" s="1" t="str">
        <f ca="1">IFERROR(__xludf.DUMMYFUNCTION("""COMPUTED_VALUE"""),"This will be hard to do, but if it is the right company I would try")</f>
        <v>This will be hard to do, but if it is the right company I would try</v>
      </c>
      <c r="H345" s="1" t="str">
        <f ca="1">IFERROR(__xludf.DUMMYFUNCTION("""COMPUTED_VALUE"""),"No")</f>
        <v>No</v>
      </c>
      <c r="I345" s="1" t="str">
        <f ca="1">IFERROR(__xludf.DUMMYFUNCTION("""COMPUTED_VALUE"""),"Will NOT work for them")</f>
        <v>Will NOT work for them</v>
      </c>
      <c r="J345" s="1">
        <f ca="1">IFERROR(__xludf.DUMMYFUNCTION("""COMPUTED_VALUE"""),6)</f>
        <v>6</v>
      </c>
      <c r="K345" s="1" t="str">
        <f ca="1">IFERROR(__xludf.DUMMYFUNCTION("""COMPUTED_VALUE"""),"Fully Remote with Options to travel as and when needed")</f>
        <v>Fully Remote with Options to travel as and when needed</v>
      </c>
      <c r="L345" s="1" t="str">
        <f ca="1">IFERROR(__xludf.DUMMYFUNCTION("""COMPUTED_VALUE"""),"Employer who pushes your limits by enabling an learning environment, and rewards you at the end")</f>
        <v>Employer who pushes your limits by enabling an learning environment, and rewards you at the end</v>
      </c>
      <c r="M345" s="1" t="str">
        <f ca="1">IFERROR(__xludf.DUMMYFUNCTION("""COMPUTED_VALUE"""),"Instructor or Expert Learning Programs, Trial and error by doing side projects within the company")</f>
        <v>Instructor or Expert Learning Programs, Trial and error by doing side projects within the company</v>
      </c>
      <c r="N34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45" s="1" t="str">
        <f ca="1">IFERROR(__xludf.DUMMYFUNCTION("""COMPUTED_VALUE"""),"Manager who explains what is expected, sets a goal and helps achieve it")</f>
        <v>Manager who explains what is expected, sets a goal and helps achieve it</v>
      </c>
      <c r="P345" s="1" t="str">
        <f ca="1">IFERROR(__xludf.DUMMYFUNCTION("""COMPUTED_VALUE"""),"Work with 5 to 6 people in my team")</f>
        <v>Work with 5 to 6 people in my team</v>
      </c>
      <c r="Q345" s="1"/>
    </row>
    <row r="346" spans="1:17" ht="13.2" x14ac:dyDescent="0.25">
      <c r="A346" s="2">
        <f ca="1">IFERROR(__xludf.DUMMYFUNCTION("""COMPUTED_VALUE"""),44938.8226759259)</f>
        <v>44938.822675925898</v>
      </c>
      <c r="B346" s="1" t="str">
        <f ca="1">IFERROR(__xludf.DUMMYFUNCTION("""COMPUTED_VALUE"""),"India")</f>
        <v>India</v>
      </c>
      <c r="C346" s="1">
        <f ca="1">IFERROR(__xludf.DUMMYFUNCTION("""COMPUTED_VALUE"""),412308)</f>
        <v>412308</v>
      </c>
      <c r="D346" s="3" t="str">
        <f ca="1">IFERROR(__xludf.DUMMYFUNCTION("""COMPUTED_VALUE"""),"Male")</f>
        <v>Male</v>
      </c>
      <c r="E346" s="1" t="str">
        <f ca="1">IFERROR(__xludf.DUMMYFUNCTION("""COMPUTED_VALUE"""),"Influencers who had successful careers")</f>
        <v>Influencers who had successful careers</v>
      </c>
      <c r="F346" s="1" t="str">
        <f ca="1">IFERROR(__xludf.DUMMYFUNCTION("""COMPUTED_VALUE"""),"Yes, I will earn and do that")</f>
        <v>Yes, I will earn and do that</v>
      </c>
      <c r="G346" s="1" t="str">
        <f ca="1">IFERROR(__xludf.DUMMYFUNCTION("""COMPUTED_VALUE"""),"Will work for 3 years or more")</f>
        <v>Will work for 3 years or more</v>
      </c>
      <c r="H346" s="1" t="str">
        <f ca="1">IFERROR(__xludf.DUMMYFUNCTION("""COMPUTED_VALUE"""),"No")</f>
        <v>No</v>
      </c>
      <c r="I346" s="1" t="str">
        <f ca="1">IFERROR(__xludf.DUMMYFUNCTION("""COMPUTED_VALUE"""),"Will NOT work for them")</f>
        <v>Will NOT work for them</v>
      </c>
      <c r="J346" s="1">
        <f ca="1">IFERROR(__xludf.DUMMYFUNCTION("""COMPUTED_VALUE"""),10)</f>
        <v>10</v>
      </c>
      <c r="K346" s="1" t="str">
        <f ca="1">IFERROR(__xludf.DUMMYFUNCTION("""COMPUTED_VALUE"""),"Hybrid Working Environment with less than 10 days a month at office")</f>
        <v>Hybrid Working Environment with less than 10 days a month at office</v>
      </c>
      <c r="L346" s="1" t="str">
        <f ca="1">IFERROR(__xludf.DUMMYFUNCTION("""COMPUTED_VALUE"""),"Employer who pushes your limits by enabling an learning environment, and rewards you at the end")</f>
        <v>Employer who pushes your limits by enabling an learning environment, and rewards you at the end</v>
      </c>
      <c r="M346" s="1" t="str">
        <f ca="1">IFERROR(__xludf.DUMMYFUNCTION("""COMPUTED_VALUE"""),"Self Paced Learning Portals, Instructor or Expert Learning Programs")</f>
        <v>Self Paced Learning Portals, Instructor or Expert Learning Programs</v>
      </c>
      <c r="N346"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46" s="1" t="str">
        <f ca="1">IFERROR(__xludf.DUMMYFUNCTION("""COMPUTED_VALUE"""),"Manager who explains what is expected, sets a goal and helps achieve it")</f>
        <v>Manager who explains what is expected, sets a goal and helps achieve it</v>
      </c>
      <c r="P346" s="1" t="str">
        <f ca="1">IFERROR(__xludf.DUMMYFUNCTION("""COMPUTED_VALUE"""),"Work with 5 to 6 people in my team")</f>
        <v>Work with 5 to 6 people in my team</v>
      </c>
      <c r="Q346" s="1"/>
    </row>
    <row r="347" spans="1:17" ht="13.2" x14ac:dyDescent="0.25">
      <c r="A347" s="2">
        <f ca="1">IFERROR(__xludf.DUMMYFUNCTION("""COMPUTED_VALUE"""),44938.8339716319)</f>
        <v>44938.833971631902</v>
      </c>
      <c r="B347" s="1" t="str">
        <f ca="1">IFERROR(__xludf.DUMMYFUNCTION("""COMPUTED_VALUE"""),"India")</f>
        <v>India</v>
      </c>
      <c r="C347" s="1">
        <f ca="1">IFERROR(__xludf.DUMMYFUNCTION("""COMPUTED_VALUE"""),457001)</f>
        <v>457001</v>
      </c>
      <c r="D347" s="3" t="str">
        <f ca="1">IFERROR(__xludf.DUMMYFUNCTION("""COMPUTED_VALUE"""),"Female")</f>
        <v>Female</v>
      </c>
      <c r="E347" s="1" t="str">
        <f ca="1">IFERROR(__xludf.DUMMYFUNCTION("""COMPUTED_VALUE"""),"Influencers who had successful careers")</f>
        <v>Influencers who had successful careers</v>
      </c>
      <c r="F347" s="1" t="str">
        <f ca="1">IFERROR(__xludf.DUMMYFUNCTION("""COMPUTED_VALUE"""),"No I would not be pursuing Higher Education outside of India")</f>
        <v>No I would not be pursuing Higher Education outside of India</v>
      </c>
      <c r="G347" s="1" t="str">
        <f ca="1">IFERROR(__xludf.DUMMYFUNCTION("""COMPUTED_VALUE"""),"This will be hard to do, but if it is the right company I would try")</f>
        <v>This will be hard to do, but if it is the right company I would try</v>
      </c>
      <c r="H347" s="1" t="str">
        <f ca="1">IFERROR(__xludf.DUMMYFUNCTION("""COMPUTED_VALUE"""),"No")</f>
        <v>No</v>
      </c>
      <c r="I347" s="1" t="str">
        <f ca="1">IFERROR(__xludf.DUMMYFUNCTION("""COMPUTED_VALUE"""),"Will NOT work for them")</f>
        <v>Will NOT work for them</v>
      </c>
      <c r="J347" s="1">
        <f ca="1">IFERROR(__xludf.DUMMYFUNCTION("""COMPUTED_VALUE"""),4)</f>
        <v>4</v>
      </c>
      <c r="K347" s="1" t="str">
        <f ca="1">IFERROR(__xludf.DUMMYFUNCTION("""COMPUTED_VALUE"""),"Hybrid Working Environment with less than 10 days a month at office")</f>
        <v>Hybrid Working Environment with less than 10 days a month at office</v>
      </c>
      <c r="L347" s="1" t="str">
        <f ca="1">IFERROR(__xludf.DUMMYFUNCTION("""COMPUTED_VALUE"""),"Employer who pushes your limits by enabling an learning environment, and rewards you at the end")</f>
        <v>Employer who pushes your limits by enabling an learning environment, and rewards you at the end</v>
      </c>
      <c r="M347" s="1" t="str">
        <f ca="1">IFERROR(__xludf.DUMMYFUNCTION("""COMPUTED_VALUE"""),"Self Paced Learning Portals, Learning by observing others")</f>
        <v>Self Paced Learning Portals, Learning by observing others</v>
      </c>
      <c r="N34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47" s="1" t="str">
        <f ca="1">IFERROR(__xludf.DUMMYFUNCTION("""COMPUTED_VALUE"""),"Manager who explains what is expected, sets a goal and helps achieve it")</f>
        <v>Manager who explains what is expected, sets a goal and helps achieve it</v>
      </c>
      <c r="P347" s="1" t="str">
        <f ca="1">IFERROR(__xludf.DUMMYFUNCTION("""COMPUTED_VALUE"""),"Work with 2 to 3 people in my team")</f>
        <v>Work with 2 to 3 people in my team</v>
      </c>
      <c r="Q347" s="1"/>
    </row>
    <row r="348" spans="1:17" ht="13.2" x14ac:dyDescent="0.25">
      <c r="A348" s="2">
        <f ca="1">IFERROR(__xludf.DUMMYFUNCTION("""COMPUTED_VALUE"""),44938.8532356018)</f>
        <v>44938.853235601797</v>
      </c>
      <c r="B348" s="1" t="str">
        <f ca="1">IFERROR(__xludf.DUMMYFUNCTION("""COMPUTED_VALUE"""),"India")</f>
        <v>India</v>
      </c>
      <c r="C348" s="1">
        <f ca="1">IFERROR(__xludf.DUMMYFUNCTION("""COMPUTED_VALUE"""),560067)</f>
        <v>560067</v>
      </c>
      <c r="D348" s="3" t="str">
        <f ca="1">IFERROR(__xludf.DUMMYFUNCTION("""COMPUTED_VALUE"""),"Male")</f>
        <v>Male</v>
      </c>
      <c r="E348" s="1" t="str">
        <f ca="1">IFERROR(__xludf.DUMMYFUNCTION("""COMPUTED_VALUE"""),"People from my circle, but not family members")</f>
        <v>People from my circle, but not family members</v>
      </c>
      <c r="F348" s="1" t="str">
        <f ca="1">IFERROR(__xludf.DUMMYFUNCTION("""COMPUTED_VALUE"""),"No I would not be pursuing Higher Education outside of India")</f>
        <v>No I would not be pursuing Higher Education outside of India</v>
      </c>
      <c r="G348" s="1" t="str">
        <f ca="1">IFERROR(__xludf.DUMMYFUNCTION("""COMPUTED_VALUE"""),"Will work for 3 years or more")</f>
        <v>Will work for 3 years or more</v>
      </c>
      <c r="H348" s="1" t="str">
        <f ca="1">IFERROR(__xludf.DUMMYFUNCTION("""COMPUTED_VALUE"""),"No")</f>
        <v>No</v>
      </c>
      <c r="I348" s="1" t="str">
        <f ca="1">IFERROR(__xludf.DUMMYFUNCTION("""COMPUTED_VALUE"""),"Will NOT work for them")</f>
        <v>Will NOT work for them</v>
      </c>
      <c r="J348" s="1">
        <f ca="1">IFERROR(__xludf.DUMMYFUNCTION("""COMPUTED_VALUE"""),5)</f>
        <v>5</v>
      </c>
      <c r="K348" s="1" t="str">
        <f ca="1">IFERROR(__xludf.DUMMYFUNCTION("""COMPUTED_VALUE"""),"Fully Remote with Options to travel as and when needed")</f>
        <v>Fully Remote with Options to travel as and when needed</v>
      </c>
      <c r="L348" s="1" t="str">
        <f ca="1">IFERROR(__xludf.DUMMYFUNCTION("""COMPUTED_VALUE"""),"Employer who pushes your limits by enabling an learning environment, and rewards you at the end")</f>
        <v>Employer who pushes your limits by enabling an learning environment, and rewards you at the end</v>
      </c>
      <c r="M348" s="1" t="str">
        <f ca="1">IFERROR(__xludf.DUMMYFUNCTION("""COMPUTED_VALUE"""),"Self Paced Learning Portals, Instructor or Expert Learning Programs")</f>
        <v>Self Paced Learning Portals, Instructor or Expert Learning Programs</v>
      </c>
      <c r="N348"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48" s="1" t="str">
        <f ca="1">IFERROR(__xludf.DUMMYFUNCTION("""COMPUTED_VALUE"""),"Manager who explains what is expected, sets a goal and helps achieve it")</f>
        <v>Manager who explains what is expected, sets a goal and helps achieve it</v>
      </c>
      <c r="P348"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348" s="1"/>
    </row>
    <row r="349" spans="1:17" ht="13.2" x14ac:dyDescent="0.25">
      <c r="A349" s="2">
        <f ca="1">IFERROR(__xludf.DUMMYFUNCTION("""COMPUTED_VALUE"""),44938.9027559722)</f>
        <v>44938.902755972202</v>
      </c>
      <c r="B349" s="1" t="str">
        <f ca="1">IFERROR(__xludf.DUMMYFUNCTION("""COMPUTED_VALUE"""),"India")</f>
        <v>India</v>
      </c>
      <c r="C349" s="1">
        <f ca="1">IFERROR(__xludf.DUMMYFUNCTION("""COMPUTED_VALUE"""),560010)</f>
        <v>560010</v>
      </c>
      <c r="D349" s="3" t="str">
        <f ca="1">IFERROR(__xludf.DUMMYFUNCTION("""COMPUTED_VALUE"""),"Male")</f>
        <v>Male</v>
      </c>
      <c r="E349" s="1" t="str">
        <f ca="1">IFERROR(__xludf.DUMMYFUNCTION("""COMPUTED_VALUE"""),"My Parents")</f>
        <v>My Parents</v>
      </c>
      <c r="F349" s="1" t="str">
        <f ca="1">IFERROR(__xludf.DUMMYFUNCTION("""COMPUTED_VALUE"""),"No, But if someone could bare the cost I will")</f>
        <v>No, But if someone could bare the cost I will</v>
      </c>
      <c r="G349" s="1" t="str">
        <f ca="1">IFERROR(__xludf.DUMMYFUNCTION("""COMPUTED_VALUE"""),"Will work for 3 years or more")</f>
        <v>Will work for 3 years or more</v>
      </c>
      <c r="H349" s="1" t="str">
        <f ca="1">IFERROR(__xludf.DUMMYFUNCTION("""COMPUTED_VALUE"""),"No")</f>
        <v>No</v>
      </c>
      <c r="I349" s="1" t="str">
        <f ca="1">IFERROR(__xludf.DUMMYFUNCTION("""COMPUTED_VALUE"""),"Will work for them")</f>
        <v>Will work for them</v>
      </c>
      <c r="J349" s="1">
        <f ca="1">IFERROR(__xludf.DUMMYFUNCTION("""COMPUTED_VALUE"""),6)</f>
        <v>6</v>
      </c>
      <c r="K349" s="1" t="str">
        <f ca="1">IFERROR(__xludf.DUMMYFUNCTION("""COMPUTED_VALUE"""),"Hybrid Working Environment with less than 3 days a month at office")</f>
        <v>Hybrid Working Environment with less than 3 days a month at office</v>
      </c>
      <c r="L349" s="1" t="str">
        <f ca="1">IFERROR(__xludf.DUMMYFUNCTION("""COMPUTED_VALUE"""),"Employer who appreciates learning and enables that environment")</f>
        <v>Employer who appreciates learning and enables that environment</v>
      </c>
      <c r="M349" s="1" t="str">
        <f ca="1">IFERROR(__xludf.DUMMYFUNCTION("""COMPUTED_VALUE"""),"Self Paced Learning Portals, Instructor or Expert Learning Programs")</f>
        <v>Self Paced Learning Portals, Instructor or Expert Learning Programs</v>
      </c>
      <c r="N34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349" s="1" t="str">
        <f ca="1">IFERROR(__xludf.DUMMYFUNCTION("""COMPUTED_VALUE"""),"Manager who sets goal and helps me achieve it")</f>
        <v>Manager who sets goal and helps me achieve it</v>
      </c>
      <c r="P349" s="1" t="str">
        <f ca="1">IFERROR(__xludf.DUMMYFUNCTION("""COMPUTED_VALUE"""),"Work with 5 to 6 people in my team")</f>
        <v>Work with 5 to 6 people in my team</v>
      </c>
      <c r="Q349" s="1"/>
    </row>
    <row r="350" spans="1:17" ht="13.2" x14ac:dyDescent="0.25">
      <c r="A350" s="2">
        <f ca="1">IFERROR(__xludf.DUMMYFUNCTION("""COMPUTED_VALUE"""),44939.3858035069)</f>
        <v>44939.385803506899</v>
      </c>
      <c r="B350" s="1" t="str">
        <f ca="1">IFERROR(__xludf.DUMMYFUNCTION("""COMPUTED_VALUE"""),"India")</f>
        <v>India</v>
      </c>
      <c r="C350" s="1">
        <f ca="1">IFERROR(__xludf.DUMMYFUNCTION("""COMPUTED_VALUE"""),641602)</f>
        <v>641602</v>
      </c>
      <c r="D350" s="3" t="str">
        <f ca="1">IFERROR(__xludf.DUMMYFUNCTION("""COMPUTED_VALUE"""),"Male")</f>
        <v>Male</v>
      </c>
      <c r="E350" s="1" t="str">
        <f ca="1">IFERROR(__xludf.DUMMYFUNCTION("""COMPUTED_VALUE"""),"People who have changed the world for better")</f>
        <v>People who have changed the world for better</v>
      </c>
      <c r="F350" s="1" t="str">
        <f ca="1">IFERROR(__xludf.DUMMYFUNCTION("""COMPUTED_VALUE"""),"No I would not be pursuing Higher Education outside of India")</f>
        <v>No I would not be pursuing Higher Education outside of India</v>
      </c>
      <c r="G350" s="1" t="str">
        <f ca="1">IFERROR(__xludf.DUMMYFUNCTION("""COMPUTED_VALUE"""),"This will be hard to do, but if it is the right company I would try")</f>
        <v>This will be hard to do, but if it is the right company I would try</v>
      </c>
      <c r="H350" s="1" t="str">
        <f ca="1">IFERROR(__xludf.DUMMYFUNCTION("""COMPUTED_VALUE"""),"No")</f>
        <v>No</v>
      </c>
      <c r="I350" s="1" t="str">
        <f ca="1">IFERROR(__xludf.DUMMYFUNCTION("""COMPUTED_VALUE"""),"Will NOT work for them")</f>
        <v>Will NOT work for them</v>
      </c>
      <c r="J350" s="1">
        <f ca="1">IFERROR(__xludf.DUMMYFUNCTION("""COMPUTED_VALUE"""),8)</f>
        <v>8</v>
      </c>
      <c r="K350" s="1" t="str">
        <f ca="1">IFERROR(__xludf.DUMMYFUNCTION("""COMPUTED_VALUE"""),"Hybrid Working Environment with less than 15 days a month at office")</f>
        <v>Hybrid Working Environment with less than 15 days a month at office</v>
      </c>
      <c r="L350" s="1" t="str">
        <f ca="1">IFERROR(__xludf.DUMMYFUNCTION("""COMPUTED_VALUE"""),"Employer who rewards learning and enables that environment")</f>
        <v>Employer who rewards learning and enables that environment</v>
      </c>
      <c r="M350" s="1" t="str">
        <f ca="1">IFERROR(__xludf.DUMMYFUNCTION("""COMPUTED_VALUE"""),"Self Paced Learning Portals, Learning by observing others")</f>
        <v>Self Paced Learning Portals, Learning by observing others</v>
      </c>
      <c r="N350"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50" s="1" t="str">
        <f ca="1">IFERROR(__xludf.DUMMYFUNCTION("""COMPUTED_VALUE"""),"Manager who sets goal and helps me achieve it")</f>
        <v>Manager who sets goal and helps me achieve it</v>
      </c>
      <c r="P350" s="1" t="str">
        <f ca="1">IFERROR(__xludf.DUMMYFUNCTION("""COMPUTED_VALUE"""),"Work with 7 to 10 or more people in my team, Work with more than 10 people in my team")</f>
        <v>Work with 7 to 10 or more people in my team, Work with more than 10 people in my team</v>
      </c>
      <c r="Q350" s="1"/>
    </row>
    <row r="351" spans="1:17" ht="13.2" x14ac:dyDescent="0.25">
      <c r="A351" s="2">
        <f ca="1">IFERROR(__xludf.DUMMYFUNCTION("""COMPUTED_VALUE"""),44939.4151089236)</f>
        <v>44939.415108923597</v>
      </c>
      <c r="B351" s="1" t="str">
        <f ca="1">IFERROR(__xludf.DUMMYFUNCTION("""COMPUTED_VALUE"""),"India")</f>
        <v>India</v>
      </c>
      <c r="C351" s="1">
        <f ca="1">IFERROR(__xludf.DUMMYFUNCTION("""COMPUTED_VALUE"""),457001)</f>
        <v>457001</v>
      </c>
      <c r="D351" s="3" t="str">
        <f ca="1">IFERROR(__xludf.DUMMYFUNCTION("""COMPUTED_VALUE"""),"Male")</f>
        <v>Male</v>
      </c>
      <c r="E351" s="1" t="str">
        <f ca="1">IFERROR(__xludf.DUMMYFUNCTION("""COMPUTED_VALUE"""),"Social Media like LinkedIn")</f>
        <v>Social Media like LinkedIn</v>
      </c>
      <c r="F351" s="1" t="str">
        <f ca="1">IFERROR(__xludf.DUMMYFUNCTION("""COMPUTED_VALUE"""),"Yes, I will earn and do that")</f>
        <v>Yes, I will earn and do that</v>
      </c>
      <c r="G351" s="1" t="str">
        <f ca="1">IFERROR(__xludf.DUMMYFUNCTION("""COMPUTED_VALUE"""),"This will be hard to do, but if it is the right company I would try")</f>
        <v>This will be hard to do, but if it is the right company I would try</v>
      </c>
      <c r="H351" s="1" t="str">
        <f ca="1">IFERROR(__xludf.DUMMYFUNCTION("""COMPUTED_VALUE"""),"No")</f>
        <v>No</v>
      </c>
      <c r="I351" s="1" t="str">
        <f ca="1">IFERROR(__xludf.DUMMYFUNCTION("""COMPUTED_VALUE"""),"Will NOT work for them")</f>
        <v>Will NOT work for them</v>
      </c>
      <c r="J351" s="1">
        <f ca="1">IFERROR(__xludf.DUMMYFUNCTION("""COMPUTED_VALUE"""),4)</f>
        <v>4</v>
      </c>
      <c r="K351" s="1" t="str">
        <f ca="1">IFERROR(__xludf.DUMMYFUNCTION("""COMPUTED_VALUE"""),"Hybrid Working Environment with less than 15 days a month at office")</f>
        <v>Hybrid Working Environment with less than 15 days a month at office</v>
      </c>
      <c r="L351" s="1" t="str">
        <f ca="1">IFERROR(__xludf.DUMMYFUNCTION("""COMPUTED_VALUE"""),"Employer who pushes your limits by enabling an learning environment, and rewards you at the end")</f>
        <v>Employer who pushes your limits by enabling an learning environment, and rewards you at the end</v>
      </c>
      <c r="M351" s="1" t="str">
        <f ca="1">IFERROR(__xludf.DUMMYFUNCTION("""COMPUTED_VALUE"""),"Instructor or Expert Learning Programs, Trial and error by doing side projects within the company")</f>
        <v>Instructor or Expert Learning Programs, Trial and error by doing side projects within the company</v>
      </c>
      <c r="N351"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1" s="1" t="str">
        <f ca="1">IFERROR(__xludf.DUMMYFUNCTION("""COMPUTED_VALUE"""),"Manager who explains what is expected, sets a goal and helps achieve it")</f>
        <v>Manager who explains what is expected, sets a goal and helps achieve it</v>
      </c>
      <c r="P351" s="1" t="str">
        <f ca="1">IFERROR(__xludf.DUMMYFUNCTION("""COMPUTED_VALUE"""),"Work with 2 to 3 people in my team, Work with 5 to 6 people in my team")</f>
        <v>Work with 2 to 3 people in my team, Work with 5 to 6 people in my team</v>
      </c>
      <c r="Q351" s="1"/>
    </row>
    <row r="352" spans="1:17" ht="13.2" x14ac:dyDescent="0.25">
      <c r="A352" s="2">
        <f ca="1">IFERROR(__xludf.DUMMYFUNCTION("""COMPUTED_VALUE"""),44939.451500706)</f>
        <v>44939.451500706004</v>
      </c>
      <c r="B352" s="1" t="str">
        <f ca="1">IFERROR(__xludf.DUMMYFUNCTION("""COMPUTED_VALUE"""),"India")</f>
        <v>India</v>
      </c>
      <c r="C352" s="1">
        <f ca="1">IFERROR(__xludf.DUMMYFUNCTION("""COMPUTED_VALUE"""),465614)</f>
        <v>465614</v>
      </c>
      <c r="D352" s="3" t="str">
        <f ca="1">IFERROR(__xludf.DUMMYFUNCTION("""COMPUTED_VALUE"""),"Male")</f>
        <v>Male</v>
      </c>
      <c r="E352" s="1" t="str">
        <f ca="1">IFERROR(__xludf.DUMMYFUNCTION("""COMPUTED_VALUE"""),"Social Media like LinkedIn")</f>
        <v>Social Media like LinkedIn</v>
      </c>
      <c r="F352" s="1" t="str">
        <f ca="1">IFERROR(__xludf.DUMMYFUNCTION("""COMPUTED_VALUE"""),"Yes, I will earn and do that")</f>
        <v>Yes, I will earn and do that</v>
      </c>
      <c r="G352" s="1" t="str">
        <f ca="1">IFERROR(__xludf.DUMMYFUNCTION("""COMPUTED_VALUE"""),"This will be hard to do, but if it is the right company I would try")</f>
        <v>This will be hard to do, but if it is the right company I would try</v>
      </c>
      <c r="H352" s="1" t="str">
        <f ca="1">IFERROR(__xludf.DUMMYFUNCTION("""COMPUTED_VALUE"""),"No")</f>
        <v>No</v>
      </c>
      <c r="I352" s="1" t="str">
        <f ca="1">IFERROR(__xludf.DUMMYFUNCTION("""COMPUTED_VALUE"""),"Will NOT work for them")</f>
        <v>Will NOT work for them</v>
      </c>
      <c r="J352" s="1">
        <f ca="1">IFERROR(__xludf.DUMMYFUNCTION("""COMPUTED_VALUE"""),1)</f>
        <v>1</v>
      </c>
      <c r="K352" s="1" t="str">
        <f ca="1">IFERROR(__xludf.DUMMYFUNCTION("""COMPUTED_VALUE"""),"Fully Remote with Options to travel as and when needed")</f>
        <v>Fully Remote with Options to travel as and when needed</v>
      </c>
      <c r="L352" s="1" t="str">
        <f ca="1">IFERROR(__xludf.DUMMYFUNCTION("""COMPUTED_VALUE"""),"Employer who appreciates learning and enables that environment")</f>
        <v>Employer who appreciates learning and enables that environment</v>
      </c>
      <c r="M352" s="1" t="str">
        <f ca="1">IFERROR(__xludf.DUMMYFUNCTION("""COMPUTED_VALUE"""),"Self Paced Learning Portals, Instructor or Expert Learning Programs")</f>
        <v>Self Paced Learning Portals, Instructor or Expert Learning Programs</v>
      </c>
      <c r="N35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52" s="1" t="str">
        <f ca="1">IFERROR(__xludf.DUMMYFUNCTION("""COMPUTED_VALUE"""),"Manager who clearly describes what she/he needs")</f>
        <v>Manager who clearly describes what she/he needs</v>
      </c>
      <c r="P352" s="1" t="str">
        <f ca="1">IFERROR(__xludf.DUMMYFUNCTION("""COMPUTED_VALUE"""),"Work with more than 10 people in my team")</f>
        <v>Work with more than 10 people in my team</v>
      </c>
      <c r="Q352" s="1"/>
    </row>
    <row r="353" spans="1:17" ht="13.2" x14ac:dyDescent="0.25">
      <c r="A353" s="2">
        <f ca="1">IFERROR(__xludf.DUMMYFUNCTION("""COMPUTED_VALUE"""),44939.4556909722)</f>
        <v>44939.455690972201</v>
      </c>
      <c r="B353" s="1" t="str">
        <f ca="1">IFERROR(__xludf.DUMMYFUNCTION("""COMPUTED_VALUE"""),"India")</f>
        <v>India</v>
      </c>
      <c r="C353" s="1">
        <f ca="1">IFERROR(__xludf.DUMMYFUNCTION("""COMPUTED_VALUE"""),560010)</f>
        <v>560010</v>
      </c>
      <c r="D353" s="3" t="str">
        <f ca="1">IFERROR(__xludf.DUMMYFUNCTION("""COMPUTED_VALUE"""),"Male")</f>
        <v>Male</v>
      </c>
      <c r="E353" s="1" t="str">
        <f ca="1">IFERROR(__xludf.DUMMYFUNCTION("""COMPUTED_VALUE"""),"People who have changed the world for better")</f>
        <v>People who have changed the world for better</v>
      </c>
      <c r="F353" s="1" t="str">
        <f ca="1">IFERROR(__xludf.DUMMYFUNCTION("""COMPUTED_VALUE"""),"No I would not be pursuing Higher Education outside of India")</f>
        <v>No I would not be pursuing Higher Education outside of India</v>
      </c>
      <c r="G353" s="1" t="str">
        <f ca="1">IFERROR(__xludf.DUMMYFUNCTION("""COMPUTED_VALUE"""),"This will be hard to do, but if it is the right company I would try")</f>
        <v>This will be hard to do, but if it is the right company I would try</v>
      </c>
      <c r="H353" s="1" t="str">
        <f ca="1">IFERROR(__xludf.DUMMYFUNCTION("""COMPUTED_VALUE"""),"No")</f>
        <v>No</v>
      </c>
      <c r="I353" s="1" t="str">
        <f ca="1">IFERROR(__xludf.DUMMYFUNCTION("""COMPUTED_VALUE"""),"Will NOT work for them")</f>
        <v>Will NOT work for them</v>
      </c>
      <c r="J353" s="1">
        <f ca="1">IFERROR(__xludf.DUMMYFUNCTION("""COMPUTED_VALUE"""),7)</f>
        <v>7</v>
      </c>
      <c r="K353" s="1" t="str">
        <f ca="1">IFERROR(__xludf.DUMMYFUNCTION("""COMPUTED_VALUE"""),"Hybrid Working Environment with less than 15 days a month at office")</f>
        <v>Hybrid Working Environment with less than 15 days a month at office</v>
      </c>
      <c r="L353" s="1" t="str">
        <f ca="1">IFERROR(__xludf.DUMMYFUNCTION("""COMPUTED_VALUE"""),"Employer who pushes your limits by enabling an learning environment, and rewards you at the end")</f>
        <v>Employer who pushes your limits by enabling an learning environment, and rewards you at the end</v>
      </c>
      <c r="M353" s="1" t="str">
        <f ca="1">IFERROR(__xludf.DUMMYFUNCTION("""COMPUTED_VALUE"""),"Instructor or Expert Learning Programs, Learning by observing others")</f>
        <v>Instructor or Expert Learning Programs, Learning by observing others</v>
      </c>
      <c r="N353"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353" s="1" t="str">
        <f ca="1">IFERROR(__xludf.DUMMYFUNCTION("""COMPUTED_VALUE"""),"Manager who explains what is expected, sets a goal and helps achieve it")</f>
        <v>Manager who explains what is expected, sets a goal and helps achieve it</v>
      </c>
      <c r="P353" s="1" t="str">
        <f ca="1">IFERROR(__xludf.DUMMYFUNCTION("""COMPUTED_VALUE"""),"Work with 7 to 10 or more people in my team, Work with more than 10 people in my team")</f>
        <v>Work with 7 to 10 or more people in my team, Work with more than 10 people in my team</v>
      </c>
      <c r="Q353" s="1"/>
    </row>
    <row r="354" spans="1:17" ht="13.2" x14ac:dyDescent="0.25">
      <c r="A354" s="2">
        <f ca="1">IFERROR(__xludf.DUMMYFUNCTION("""COMPUTED_VALUE"""),44939.5227505902)</f>
        <v>44939.5227505902</v>
      </c>
      <c r="B354" s="1" t="str">
        <f ca="1">IFERROR(__xludf.DUMMYFUNCTION("""COMPUTED_VALUE"""),"India")</f>
        <v>India</v>
      </c>
      <c r="C354" s="1">
        <f ca="1">IFERROR(__xludf.DUMMYFUNCTION("""COMPUTED_VALUE"""),560015)</f>
        <v>560015</v>
      </c>
      <c r="D354" s="3" t="str">
        <f ca="1">IFERROR(__xludf.DUMMYFUNCTION("""COMPUTED_VALUE"""),"Male")</f>
        <v>Male</v>
      </c>
      <c r="E354" s="1" t="str">
        <f ca="1">IFERROR(__xludf.DUMMYFUNCTION("""COMPUTED_VALUE"""),"People from my circle, but not family members")</f>
        <v>People from my circle, but not family members</v>
      </c>
      <c r="F354" s="1" t="str">
        <f ca="1">IFERROR(__xludf.DUMMYFUNCTION("""COMPUTED_VALUE"""),"No I would not be pursuing Higher Education outside of India")</f>
        <v>No I would not be pursuing Higher Education outside of India</v>
      </c>
      <c r="G354" s="1" t="str">
        <f ca="1">IFERROR(__xludf.DUMMYFUNCTION("""COMPUTED_VALUE"""),"This will be hard to do, but if it is the right company I would try")</f>
        <v>This will be hard to do, but if it is the right company I would try</v>
      </c>
      <c r="H354" s="1" t="str">
        <f ca="1">IFERROR(__xludf.DUMMYFUNCTION("""COMPUTED_VALUE"""),"No")</f>
        <v>No</v>
      </c>
      <c r="I354" s="1" t="str">
        <f ca="1">IFERROR(__xludf.DUMMYFUNCTION("""COMPUTED_VALUE"""),"Will NOT work for them")</f>
        <v>Will NOT work for them</v>
      </c>
      <c r="J354" s="1">
        <f ca="1">IFERROR(__xludf.DUMMYFUNCTION("""COMPUTED_VALUE"""),1)</f>
        <v>1</v>
      </c>
      <c r="K354" s="1" t="str">
        <f ca="1">IFERROR(__xludf.DUMMYFUNCTION("""COMPUTED_VALUE"""),"Hybrid Working Environment with less than 10 days a month at office")</f>
        <v>Hybrid Working Environment with less than 10 days a month at office</v>
      </c>
      <c r="L354" s="1" t="str">
        <f ca="1">IFERROR(__xludf.DUMMYFUNCTION("""COMPUTED_VALUE"""),"Employer who rewards learning and enables that environment")</f>
        <v>Employer who rewards learning and enables that environment</v>
      </c>
      <c r="M354" s="1" t="str">
        <f ca="1">IFERROR(__xludf.DUMMYFUNCTION("""COMPUTED_VALUE"""),"Self Paced Learning Portals, Learning by observing others")</f>
        <v>Self Paced Learning Portals, Learning by observing others</v>
      </c>
      <c r="N354"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354" s="1" t="str">
        <f ca="1">IFERROR(__xludf.DUMMYFUNCTION("""COMPUTED_VALUE"""),"Manager who explains what is expected, sets a goal and helps achieve it")</f>
        <v>Manager who explains what is expected, sets a goal and helps achieve it</v>
      </c>
      <c r="P354" s="1" t="str">
        <f ca="1">IFERROR(__xludf.DUMMYFUNCTION("""COMPUTED_VALUE"""),"Work with 2 to 3 people in my team")</f>
        <v>Work with 2 to 3 people in my team</v>
      </c>
      <c r="Q354" s="1"/>
    </row>
    <row r="355" spans="1:17" ht="13.2" x14ac:dyDescent="0.25">
      <c r="A355" s="2">
        <f ca="1">IFERROR(__xludf.DUMMYFUNCTION("""COMPUTED_VALUE"""),44939.5722373611)</f>
        <v>44939.572237361099</v>
      </c>
      <c r="B355" s="1" t="str">
        <f ca="1">IFERROR(__xludf.DUMMYFUNCTION("""COMPUTED_VALUE"""),"India")</f>
        <v>India</v>
      </c>
      <c r="C355" s="1">
        <f ca="1">IFERROR(__xludf.DUMMYFUNCTION("""COMPUTED_VALUE"""),560077)</f>
        <v>560077</v>
      </c>
      <c r="D355" s="3" t="str">
        <f ca="1">IFERROR(__xludf.DUMMYFUNCTION("""COMPUTED_VALUE"""),"Male")</f>
        <v>Male</v>
      </c>
      <c r="E355" s="1" t="str">
        <f ca="1">IFERROR(__xludf.DUMMYFUNCTION("""COMPUTED_VALUE"""),"My Parents")</f>
        <v>My Parents</v>
      </c>
      <c r="F355" s="1" t="str">
        <f ca="1">IFERROR(__xludf.DUMMYFUNCTION("""COMPUTED_VALUE"""),"No, But if someone could bare the cost I will")</f>
        <v>No, But if someone could bare the cost I will</v>
      </c>
      <c r="G355" s="1" t="str">
        <f ca="1">IFERROR(__xludf.DUMMYFUNCTION("""COMPUTED_VALUE"""),"Will work for 3 years or more")</f>
        <v>Will work for 3 years or more</v>
      </c>
      <c r="H355" s="1" t="str">
        <f ca="1">IFERROR(__xludf.DUMMYFUNCTION("""COMPUTED_VALUE"""),"Yes")</f>
        <v>Yes</v>
      </c>
      <c r="I355" s="1" t="str">
        <f ca="1">IFERROR(__xludf.DUMMYFUNCTION("""COMPUTED_VALUE"""),"Will work for them")</f>
        <v>Will work for them</v>
      </c>
      <c r="J355" s="1">
        <f ca="1">IFERROR(__xludf.DUMMYFUNCTION("""COMPUTED_VALUE"""),4)</f>
        <v>4</v>
      </c>
      <c r="K355" s="1" t="str">
        <f ca="1">IFERROR(__xludf.DUMMYFUNCTION("""COMPUTED_VALUE"""),"Hybrid Working Environment with less than 15 days a month at office")</f>
        <v>Hybrid Working Environment with less than 15 days a month at office</v>
      </c>
      <c r="L355" s="1" t="str">
        <f ca="1">IFERROR(__xludf.DUMMYFUNCTION("""COMPUTED_VALUE"""),"Employer who rewards learning and enables that environment")</f>
        <v>Employer who rewards learning and enables that environment</v>
      </c>
      <c r="M355" s="1" t="str">
        <f ca="1">IFERROR(__xludf.DUMMYFUNCTION("""COMPUTED_VALUE"""),"Learning by observing others, Trial and error by doing side projects within the company")</f>
        <v>Learning by observing others, Trial and error by doing side projects within the company</v>
      </c>
      <c r="N35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55" s="1" t="str">
        <f ca="1">IFERROR(__xludf.DUMMYFUNCTION("""COMPUTED_VALUE"""),"Manager who explains what is expected, sets a goal and helps achieve it")</f>
        <v>Manager who explains what is expected, sets a goal and helps achieve it</v>
      </c>
      <c r="P355" s="1" t="str">
        <f ca="1">IFERROR(__xludf.DUMMYFUNCTION("""COMPUTED_VALUE"""),"Work with 7 to 10 or more people in my team, Work with more than 10 people in my team")</f>
        <v>Work with 7 to 10 or more people in my team, Work with more than 10 people in my team</v>
      </c>
      <c r="Q355" s="1"/>
    </row>
    <row r="356" spans="1:17" ht="13.2" x14ac:dyDescent="0.25">
      <c r="A356" s="2">
        <f ca="1">IFERROR(__xludf.DUMMYFUNCTION("""COMPUTED_VALUE"""),44939.8109976736)</f>
        <v>44939.810997673601</v>
      </c>
      <c r="B356" s="1" t="str">
        <f ca="1">IFERROR(__xludf.DUMMYFUNCTION("""COMPUTED_VALUE"""),"India")</f>
        <v>India</v>
      </c>
      <c r="C356" s="1">
        <f ca="1">IFERROR(__xludf.DUMMYFUNCTION("""COMPUTED_VALUE"""),401105)</f>
        <v>401105</v>
      </c>
      <c r="D356" s="3" t="str">
        <f ca="1">IFERROR(__xludf.DUMMYFUNCTION("""COMPUTED_VALUE"""),"Male")</f>
        <v>Male</v>
      </c>
      <c r="E356" s="1" t="str">
        <f ca="1">IFERROR(__xludf.DUMMYFUNCTION("""COMPUTED_VALUE"""),"People who have changed the world for better")</f>
        <v>People who have changed the world for better</v>
      </c>
      <c r="F356" s="1" t="str">
        <f ca="1">IFERROR(__xludf.DUMMYFUNCTION("""COMPUTED_VALUE"""),"No, But if someone could bare the cost I will")</f>
        <v>No, But if someone could bare the cost I will</v>
      </c>
      <c r="G356" s="1" t="str">
        <f ca="1">IFERROR(__xludf.DUMMYFUNCTION("""COMPUTED_VALUE"""),"This will be hard to do, but if it is the right company I would try")</f>
        <v>This will be hard to do, but if it is the right company I would try</v>
      </c>
      <c r="H356" s="1" t="str">
        <f ca="1">IFERROR(__xludf.DUMMYFUNCTION("""COMPUTED_VALUE"""),"No")</f>
        <v>No</v>
      </c>
      <c r="I356" s="1" t="str">
        <f ca="1">IFERROR(__xludf.DUMMYFUNCTION("""COMPUTED_VALUE"""),"Will NOT work for them")</f>
        <v>Will NOT work for them</v>
      </c>
      <c r="J356" s="1">
        <f ca="1">IFERROR(__xludf.DUMMYFUNCTION("""COMPUTED_VALUE"""),5)</f>
        <v>5</v>
      </c>
      <c r="K356" s="1" t="str">
        <f ca="1">IFERROR(__xludf.DUMMYFUNCTION("""COMPUTED_VALUE"""),"Hybrid Working Environment with less than 10 days a month at office")</f>
        <v>Hybrid Working Environment with less than 10 days a month at office</v>
      </c>
      <c r="L356" s="1" t="str">
        <f ca="1">IFERROR(__xludf.DUMMYFUNCTION("""COMPUTED_VALUE"""),"Employer who pushes your limits by enabling an learning environment, and rewards you at the end")</f>
        <v>Employer who pushes your limits by enabling an learning environment, and rewards you at the end</v>
      </c>
      <c r="M356" s="1" t="str">
        <f ca="1">IFERROR(__xludf.DUMMYFUNCTION("""COMPUTED_VALUE"""),"Learning by observing others, Trial and error by doing side projects within the company")</f>
        <v>Learning by observing others, Trial and error by doing side projects within the company</v>
      </c>
      <c r="N356"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356" s="1" t="str">
        <f ca="1">IFERROR(__xludf.DUMMYFUNCTION("""COMPUTED_VALUE"""),"Manager who explains what is expected, sets a goal and helps achieve it")</f>
        <v>Manager who explains what is expected, sets a goal and helps achieve it</v>
      </c>
      <c r="P356" s="1" t="str">
        <f ca="1">IFERROR(__xludf.DUMMYFUNCTION("""COMPUTED_VALUE"""),"Work with 5 to 6 people in my team")</f>
        <v>Work with 5 to 6 people in my team</v>
      </c>
      <c r="Q356" s="1"/>
    </row>
    <row r="357" spans="1:17" ht="13.2" x14ac:dyDescent="0.25">
      <c r="A357" s="2">
        <f ca="1">IFERROR(__xludf.DUMMYFUNCTION("""COMPUTED_VALUE"""),44939.956319699)</f>
        <v>44939.956319698998</v>
      </c>
      <c r="B357" s="1" t="str">
        <f ca="1">IFERROR(__xludf.DUMMYFUNCTION("""COMPUTED_VALUE"""),"India")</f>
        <v>India</v>
      </c>
      <c r="C357" s="1">
        <f ca="1">IFERROR(__xludf.DUMMYFUNCTION("""COMPUTED_VALUE"""),500010)</f>
        <v>500010</v>
      </c>
      <c r="D357" s="3" t="str">
        <f ca="1">IFERROR(__xludf.DUMMYFUNCTION("""COMPUTED_VALUE"""),"Male")</f>
        <v>Male</v>
      </c>
      <c r="E357" s="1" t="str">
        <f ca="1">IFERROR(__xludf.DUMMYFUNCTION("""COMPUTED_VALUE"""),"Social Media like LinkedIn")</f>
        <v>Social Media like LinkedIn</v>
      </c>
      <c r="F357" s="1" t="str">
        <f ca="1">IFERROR(__xludf.DUMMYFUNCTION("""COMPUTED_VALUE"""),"No I would not be pursuing Higher Education outside of India")</f>
        <v>No I would not be pursuing Higher Education outside of India</v>
      </c>
      <c r="G357" s="1" t="str">
        <f ca="1">IFERROR(__xludf.DUMMYFUNCTION("""COMPUTED_VALUE"""),"This will be hard to do, but if it is the right company I would try")</f>
        <v>This will be hard to do, but if it is the right company I would try</v>
      </c>
      <c r="H357" s="1" t="str">
        <f ca="1">IFERROR(__xludf.DUMMYFUNCTION("""COMPUTED_VALUE"""),"Yes")</f>
        <v>Yes</v>
      </c>
      <c r="I357" s="1" t="str">
        <f ca="1">IFERROR(__xludf.DUMMYFUNCTION("""COMPUTED_VALUE"""),"Will work for them")</f>
        <v>Will work for them</v>
      </c>
      <c r="J357" s="1">
        <f ca="1">IFERROR(__xludf.DUMMYFUNCTION("""COMPUTED_VALUE"""),6)</f>
        <v>6</v>
      </c>
      <c r="K357" s="1" t="str">
        <f ca="1">IFERROR(__xludf.DUMMYFUNCTION("""COMPUTED_VALUE"""),"Every Day Office Environment")</f>
        <v>Every Day Office Environment</v>
      </c>
      <c r="L357" s="1" t="str">
        <f ca="1">IFERROR(__xludf.DUMMYFUNCTION("""COMPUTED_VALUE"""),"Employer who pushes your limits by enabling an learning environment, and rewards you at the end")</f>
        <v>Employer who pushes your limits by enabling an learning environment, and rewards you at the end</v>
      </c>
      <c r="M357" s="1" t="str">
        <f ca="1">IFERROR(__xludf.DUMMYFUNCTION("""COMPUTED_VALUE"""),"Instructor or Expert Learning Programs, Trial and error by doing side projects within the company")</f>
        <v>Instructor or Expert Learning Programs, Trial and error by doing side projects within the company</v>
      </c>
      <c r="N357"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57" s="1" t="str">
        <f ca="1">IFERROR(__xludf.DUMMYFUNCTION("""COMPUTED_VALUE"""),"Manager who explains what is expected, sets a goal and helps achieve it")</f>
        <v>Manager who explains what is expected, sets a goal and helps achieve it</v>
      </c>
      <c r="P357" s="1" t="str">
        <f ca="1">IFERROR(__xludf.DUMMYFUNCTION("""COMPUTED_VALUE"""),"Work with 2 to 3 people in my team, Work with 5 to 6 people in my team")</f>
        <v>Work with 2 to 3 people in my team, Work with 5 to 6 people in my team</v>
      </c>
      <c r="Q357" s="1"/>
    </row>
    <row r="358" spans="1:17" ht="13.2" x14ac:dyDescent="0.25">
      <c r="A358" s="2">
        <f ca="1">IFERROR(__xludf.DUMMYFUNCTION("""COMPUTED_VALUE"""),44940.5050044328)</f>
        <v>44940.505004432802</v>
      </c>
      <c r="B358" s="1" t="str">
        <f ca="1">IFERROR(__xludf.DUMMYFUNCTION("""COMPUTED_VALUE"""),"India")</f>
        <v>India</v>
      </c>
      <c r="C358" s="1">
        <f ca="1">IFERROR(__xludf.DUMMYFUNCTION("""COMPUTED_VALUE"""),534003)</f>
        <v>534003</v>
      </c>
      <c r="D358" s="3" t="str">
        <f ca="1">IFERROR(__xludf.DUMMYFUNCTION("""COMPUTED_VALUE"""),"Female")</f>
        <v>Female</v>
      </c>
      <c r="E358" s="1" t="str">
        <f ca="1">IFERROR(__xludf.DUMMYFUNCTION("""COMPUTED_VALUE"""),"Influencers who had successful careers")</f>
        <v>Influencers who had successful careers</v>
      </c>
      <c r="F358" s="1" t="str">
        <f ca="1">IFERROR(__xludf.DUMMYFUNCTION("""COMPUTED_VALUE"""),"No I would not be pursuing Higher Education outside of India")</f>
        <v>No I would not be pursuing Higher Education outside of India</v>
      </c>
      <c r="G358" s="1" t="str">
        <f ca="1">IFERROR(__xludf.DUMMYFUNCTION("""COMPUTED_VALUE"""),"This will be hard to do, but if it is the right company I would try")</f>
        <v>This will be hard to do, but if it is the right company I would try</v>
      </c>
      <c r="H358" s="1" t="str">
        <f ca="1">IFERROR(__xludf.DUMMYFUNCTION("""COMPUTED_VALUE"""),"No")</f>
        <v>No</v>
      </c>
      <c r="I358" s="1" t="str">
        <f ca="1">IFERROR(__xludf.DUMMYFUNCTION("""COMPUTED_VALUE"""),"Will NOT work for them")</f>
        <v>Will NOT work for them</v>
      </c>
      <c r="J358" s="1">
        <f ca="1">IFERROR(__xludf.DUMMYFUNCTION("""COMPUTED_VALUE"""),5)</f>
        <v>5</v>
      </c>
      <c r="K358" s="1" t="str">
        <f ca="1">IFERROR(__xludf.DUMMYFUNCTION("""COMPUTED_VALUE"""),"Fully Remote with No option to visit offices")</f>
        <v>Fully Remote with No option to visit offices</v>
      </c>
      <c r="L358" s="1" t="str">
        <f ca="1">IFERROR(__xludf.DUMMYFUNCTION("""COMPUTED_VALUE"""),"Employer who pushes your limits by enabling an learning environment, and rewards you at the end")</f>
        <v>Employer who pushes your limits by enabling an learning environment, and rewards you at the end</v>
      </c>
      <c r="M358" s="1" t="str">
        <f ca="1">IFERROR(__xludf.DUMMYFUNCTION("""COMPUTED_VALUE"""),"Instructor or Expert Learning Programs, Trial and error by doing side projects within the company")</f>
        <v>Instructor or Expert Learning Programs, Trial and error by doing side projects within the company</v>
      </c>
      <c r="N358"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58" s="1" t="str">
        <f ca="1">IFERROR(__xludf.DUMMYFUNCTION("""COMPUTED_VALUE"""),"Manager who sets goal and helps me achieve it")</f>
        <v>Manager who sets goal and helps me achieve it</v>
      </c>
      <c r="P358" s="1" t="str">
        <f ca="1">IFERROR(__xludf.DUMMYFUNCTION("""COMPUTED_VALUE"""),"Work with 5 to 6 people in my team")</f>
        <v>Work with 5 to 6 people in my team</v>
      </c>
      <c r="Q358" s="1"/>
    </row>
    <row r="359" spans="1:17" ht="13.2" x14ac:dyDescent="0.25">
      <c r="A359" s="2">
        <f ca="1">IFERROR(__xludf.DUMMYFUNCTION("""COMPUTED_VALUE"""),44940.5063320717)</f>
        <v>44940.506332071702</v>
      </c>
      <c r="B359" s="1" t="str">
        <f ca="1">IFERROR(__xludf.DUMMYFUNCTION("""COMPUTED_VALUE"""),"India")</f>
        <v>India</v>
      </c>
      <c r="C359" s="1">
        <f ca="1">IFERROR(__xludf.DUMMYFUNCTION("""COMPUTED_VALUE"""),534001)</f>
        <v>534001</v>
      </c>
      <c r="D359" s="3" t="str">
        <f ca="1">IFERROR(__xludf.DUMMYFUNCTION("""COMPUTED_VALUE"""),"Male")</f>
        <v>Male</v>
      </c>
      <c r="E359" s="1" t="str">
        <f ca="1">IFERROR(__xludf.DUMMYFUNCTION("""COMPUTED_VALUE"""),"Influencers who had successful careers")</f>
        <v>Influencers who had successful careers</v>
      </c>
      <c r="F359" s="1" t="str">
        <f ca="1">IFERROR(__xludf.DUMMYFUNCTION("""COMPUTED_VALUE"""),"No I would not be pursuing Higher Education outside of India")</f>
        <v>No I would not be pursuing Higher Education outside of India</v>
      </c>
      <c r="G359" s="1" t="str">
        <f ca="1">IFERROR(__xludf.DUMMYFUNCTION("""COMPUTED_VALUE"""),"This will be hard to do, but if it is the right company I would try")</f>
        <v>This will be hard to do, but if it is the right company I would try</v>
      </c>
      <c r="H359" s="1" t="str">
        <f ca="1">IFERROR(__xludf.DUMMYFUNCTION("""COMPUTED_VALUE"""),"No")</f>
        <v>No</v>
      </c>
      <c r="I359" s="1" t="str">
        <f ca="1">IFERROR(__xludf.DUMMYFUNCTION("""COMPUTED_VALUE"""),"Will NOT work for them")</f>
        <v>Will NOT work for them</v>
      </c>
      <c r="J359" s="1">
        <f ca="1">IFERROR(__xludf.DUMMYFUNCTION("""COMPUTED_VALUE"""),6)</f>
        <v>6</v>
      </c>
      <c r="K359" s="1" t="str">
        <f ca="1">IFERROR(__xludf.DUMMYFUNCTION("""COMPUTED_VALUE"""),"Fully Remote with No option to visit offices")</f>
        <v>Fully Remote with No option to visit offices</v>
      </c>
      <c r="L359" s="1" t="str">
        <f ca="1">IFERROR(__xludf.DUMMYFUNCTION("""COMPUTED_VALUE"""),"Employer who appreciates learning and enables that environment")</f>
        <v>Employer who appreciates learning and enables that environment</v>
      </c>
      <c r="M359" s="1" t="str">
        <f ca="1">IFERROR(__xludf.DUMMYFUNCTION("""COMPUTED_VALUE"""),"Self Paced Learning Portals, Learning by observing others")</f>
        <v>Self Paced Learning Portals, Learning by observing others</v>
      </c>
      <c r="N35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9" s="1" t="str">
        <f ca="1">IFERROR(__xludf.DUMMYFUNCTION("""COMPUTED_VALUE"""),"Manager who explains what is expected, sets a goal and helps achieve it")</f>
        <v>Manager who explains what is expected, sets a goal and helps achieve it</v>
      </c>
      <c r="P359" s="1" t="str">
        <f ca="1">IFERROR(__xludf.DUMMYFUNCTION("""COMPUTED_VALUE"""),"Work with 2 to 3 people in my team, Work with 5 to 6 people in my team")</f>
        <v>Work with 2 to 3 people in my team, Work with 5 to 6 people in my team</v>
      </c>
      <c r="Q359" s="1"/>
    </row>
    <row r="360" spans="1:17" ht="13.2" x14ac:dyDescent="0.25">
      <c r="A360" s="2">
        <f ca="1">IFERROR(__xludf.DUMMYFUNCTION("""COMPUTED_VALUE"""),44940.5133477893)</f>
        <v>44940.513347789303</v>
      </c>
      <c r="B360" s="1" t="str">
        <f ca="1">IFERROR(__xludf.DUMMYFUNCTION("""COMPUTED_VALUE"""),"India")</f>
        <v>India</v>
      </c>
      <c r="C360" s="1">
        <f ca="1">IFERROR(__xludf.DUMMYFUNCTION("""COMPUTED_VALUE"""),534462)</f>
        <v>534462</v>
      </c>
      <c r="D360" s="3" t="str">
        <f ca="1">IFERROR(__xludf.DUMMYFUNCTION("""COMPUTED_VALUE"""),"Female")</f>
        <v>Female</v>
      </c>
      <c r="E360" s="1" t="str">
        <f ca="1">IFERROR(__xludf.DUMMYFUNCTION("""COMPUTED_VALUE"""),"My Parents")</f>
        <v>My Parents</v>
      </c>
      <c r="F360" s="1" t="str">
        <f ca="1">IFERROR(__xludf.DUMMYFUNCTION("""COMPUTED_VALUE"""),"Yes, I will earn and do that")</f>
        <v>Yes, I will earn and do that</v>
      </c>
      <c r="G360" s="1" t="str">
        <f ca="1">IFERROR(__xludf.DUMMYFUNCTION("""COMPUTED_VALUE"""),"This will be hard to do, but if it is the right company I would try")</f>
        <v>This will be hard to do, but if it is the right company I would try</v>
      </c>
      <c r="H360" s="1" t="str">
        <f ca="1">IFERROR(__xludf.DUMMYFUNCTION("""COMPUTED_VALUE"""),"No")</f>
        <v>No</v>
      </c>
      <c r="I360" s="1" t="str">
        <f ca="1">IFERROR(__xludf.DUMMYFUNCTION("""COMPUTED_VALUE"""),"Will work for them")</f>
        <v>Will work for them</v>
      </c>
      <c r="J360" s="1">
        <f ca="1">IFERROR(__xludf.DUMMYFUNCTION("""COMPUTED_VALUE"""),8)</f>
        <v>8</v>
      </c>
      <c r="K360" s="1" t="str">
        <f ca="1">IFERROR(__xludf.DUMMYFUNCTION("""COMPUTED_VALUE"""),"Hybrid Working Environment with less than 3 days a month at office")</f>
        <v>Hybrid Working Environment with less than 3 days a month at office</v>
      </c>
      <c r="L360" s="1" t="str">
        <f ca="1">IFERROR(__xludf.DUMMYFUNCTION("""COMPUTED_VALUE"""),"Employer who rewards learning and enables that environment")</f>
        <v>Employer who rewards learning and enables that environment</v>
      </c>
      <c r="M360" s="1" t="str">
        <f ca="1">IFERROR(__xludf.DUMMYFUNCTION("""COMPUTED_VALUE"""),"Self Paced Learning Portals, Learning by observing others")</f>
        <v>Self Paced Learning Portals, Learning by observing others</v>
      </c>
      <c r="N360"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360" s="1" t="str">
        <f ca="1">IFERROR(__xludf.DUMMYFUNCTION("""COMPUTED_VALUE"""),"Manager who clearly describes what she/he needs")</f>
        <v>Manager who clearly describes what she/he needs</v>
      </c>
      <c r="P360" s="1" t="str">
        <f ca="1">IFERROR(__xludf.DUMMYFUNCTION("""COMPUTED_VALUE"""),"Work with 2 to 3 people in my team")</f>
        <v>Work with 2 to 3 people in my team</v>
      </c>
      <c r="Q360" s="1"/>
    </row>
    <row r="361" spans="1:17" ht="13.2" x14ac:dyDescent="0.25">
      <c r="A361" s="2">
        <f ca="1">IFERROR(__xludf.DUMMYFUNCTION("""COMPUTED_VALUE"""),44940.5151725)</f>
        <v>44940.515172500003</v>
      </c>
      <c r="B361" s="1" t="str">
        <f ca="1">IFERROR(__xludf.DUMMYFUNCTION("""COMPUTED_VALUE"""),"India")</f>
        <v>India</v>
      </c>
      <c r="C361" s="1">
        <f ca="1">IFERROR(__xludf.DUMMYFUNCTION("""COMPUTED_VALUE"""),503003)</f>
        <v>503003</v>
      </c>
      <c r="D361" s="3" t="str">
        <f ca="1">IFERROR(__xludf.DUMMYFUNCTION("""COMPUTED_VALUE"""),"Female")</f>
        <v>Female</v>
      </c>
      <c r="E361" s="1" t="str">
        <f ca="1">IFERROR(__xludf.DUMMYFUNCTION("""COMPUTED_VALUE"""),"People who have changed the world for better")</f>
        <v>People who have changed the world for better</v>
      </c>
      <c r="F361" s="1" t="str">
        <f ca="1">IFERROR(__xludf.DUMMYFUNCTION("""COMPUTED_VALUE"""),"Yes, I will earn and do that")</f>
        <v>Yes, I will earn and do that</v>
      </c>
      <c r="G361" s="1" t="str">
        <f ca="1">IFERROR(__xludf.DUMMYFUNCTION("""COMPUTED_VALUE"""),"This will be hard to do, but if it is the right company I would try")</f>
        <v>This will be hard to do, but if it is the right company I would try</v>
      </c>
      <c r="H361" s="1" t="str">
        <f ca="1">IFERROR(__xludf.DUMMYFUNCTION("""COMPUTED_VALUE"""),"No")</f>
        <v>No</v>
      </c>
      <c r="I361" s="1" t="str">
        <f ca="1">IFERROR(__xludf.DUMMYFUNCTION("""COMPUTED_VALUE"""),"Will NOT work for them")</f>
        <v>Will NOT work for them</v>
      </c>
      <c r="J361" s="1">
        <f ca="1">IFERROR(__xludf.DUMMYFUNCTION("""COMPUTED_VALUE"""),4)</f>
        <v>4</v>
      </c>
      <c r="K361" s="1" t="str">
        <f ca="1">IFERROR(__xludf.DUMMYFUNCTION("""COMPUTED_VALUE"""),"Every Day Office Environment")</f>
        <v>Every Day Office Environment</v>
      </c>
      <c r="L361" s="1" t="str">
        <f ca="1">IFERROR(__xludf.DUMMYFUNCTION("""COMPUTED_VALUE"""),"Employer who pushes your limits by enabling an learning environment, and rewards you at the end")</f>
        <v>Employer who pushes your limits by enabling an learning environment, and rewards you at the end</v>
      </c>
      <c r="M361" s="1" t="str">
        <f ca="1">IFERROR(__xludf.DUMMYFUNCTION("""COMPUTED_VALUE"""),"Self Paced Learning Portals, Instructor or Expert Learning Programs")</f>
        <v>Self Paced Learning Portals, Instructor or Expert Learning Programs</v>
      </c>
      <c r="N361"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61" s="1" t="str">
        <f ca="1">IFERROR(__xludf.DUMMYFUNCTION("""COMPUTED_VALUE"""),"Manager who explains what is expected, sets a goal and helps achieve it")</f>
        <v>Manager who explains what is expected, sets a goal and helps achieve it</v>
      </c>
      <c r="P361" s="1" t="str">
        <f ca="1">IFERROR(__xludf.DUMMYFUNCTION("""COMPUTED_VALUE"""),"Work with more than 10 people in my team")</f>
        <v>Work with more than 10 people in my team</v>
      </c>
      <c r="Q361" s="1"/>
    </row>
    <row r="362" spans="1:17" ht="13.2" x14ac:dyDescent="0.25">
      <c r="A362" s="2">
        <f ca="1">IFERROR(__xludf.DUMMYFUNCTION("""COMPUTED_VALUE"""),44940.5228396759)</f>
        <v>44940.522839675898</v>
      </c>
      <c r="B362" s="1" t="str">
        <f ca="1">IFERROR(__xludf.DUMMYFUNCTION("""COMPUTED_VALUE"""),"India")</f>
        <v>India</v>
      </c>
      <c r="C362" s="1">
        <f ca="1">IFERROR(__xludf.DUMMYFUNCTION("""COMPUTED_VALUE"""),534001)</f>
        <v>534001</v>
      </c>
      <c r="D362" s="3" t="str">
        <f ca="1">IFERROR(__xludf.DUMMYFUNCTION("""COMPUTED_VALUE"""),"Male")</f>
        <v>Male</v>
      </c>
      <c r="E362" s="1" t="str">
        <f ca="1">IFERROR(__xludf.DUMMYFUNCTION("""COMPUTED_VALUE"""),"People who have changed the world for better")</f>
        <v>People who have changed the world for better</v>
      </c>
      <c r="F362" s="1" t="str">
        <f ca="1">IFERROR(__xludf.DUMMYFUNCTION("""COMPUTED_VALUE"""),"No I would not be pursuing Higher Education outside of India")</f>
        <v>No I would not be pursuing Higher Education outside of India</v>
      </c>
      <c r="G362" s="1" t="str">
        <f ca="1">IFERROR(__xludf.DUMMYFUNCTION("""COMPUTED_VALUE"""),"This will be hard to do, but if it is the right company I would try")</f>
        <v>This will be hard to do, but if it is the right company I would try</v>
      </c>
      <c r="H362" s="1" t="str">
        <f ca="1">IFERROR(__xludf.DUMMYFUNCTION("""COMPUTED_VALUE"""),"No")</f>
        <v>No</v>
      </c>
      <c r="I362" s="1" t="str">
        <f ca="1">IFERROR(__xludf.DUMMYFUNCTION("""COMPUTED_VALUE"""),"Will NOT work for them")</f>
        <v>Will NOT work for them</v>
      </c>
      <c r="J362" s="1">
        <f ca="1">IFERROR(__xludf.DUMMYFUNCTION("""COMPUTED_VALUE"""),8)</f>
        <v>8</v>
      </c>
      <c r="K362" s="1" t="str">
        <f ca="1">IFERROR(__xludf.DUMMYFUNCTION("""COMPUTED_VALUE"""),"Hybrid Working Environment with less than 15 days a month at office")</f>
        <v>Hybrid Working Environment with less than 15 days a month at office</v>
      </c>
      <c r="L362" s="1" t="str">
        <f ca="1">IFERROR(__xludf.DUMMYFUNCTION("""COMPUTED_VALUE"""),"Employer who pushes your limits by enabling an learning environment, and rewards you at the end")</f>
        <v>Employer who pushes your limits by enabling an learning environment, and rewards you at the end</v>
      </c>
      <c r="M362" s="1" t="str">
        <f ca="1">IFERROR(__xludf.DUMMYFUNCTION("""COMPUTED_VALUE"""),"Instructor or Expert Learning Programs, Learning by observing others")</f>
        <v>Instructor or Expert Learning Programs, Learning by observing others</v>
      </c>
      <c r="N362"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362" s="1" t="str">
        <f ca="1">IFERROR(__xludf.DUMMYFUNCTION("""COMPUTED_VALUE"""),"Manager who sets goal and helps me achieve it")</f>
        <v>Manager who sets goal and helps me achieve it</v>
      </c>
      <c r="P362" s="1" t="str">
        <f ca="1">IFERROR(__xludf.DUMMYFUNCTION("""COMPUTED_VALUE"""),"Work with 2 to 3 people in my team, Work with 5 to 6 people in my team")</f>
        <v>Work with 2 to 3 people in my team, Work with 5 to 6 people in my team</v>
      </c>
      <c r="Q362" s="1"/>
    </row>
    <row r="363" spans="1:17" ht="13.2" x14ac:dyDescent="0.25">
      <c r="A363" s="2">
        <f ca="1">IFERROR(__xludf.DUMMYFUNCTION("""COMPUTED_VALUE"""),44940.5248081944)</f>
        <v>44940.524808194401</v>
      </c>
      <c r="B363" s="1" t="str">
        <f ca="1">IFERROR(__xludf.DUMMYFUNCTION("""COMPUTED_VALUE"""),"India")</f>
        <v>India</v>
      </c>
      <c r="C363" s="1">
        <f ca="1">IFERROR(__xludf.DUMMYFUNCTION("""COMPUTED_VALUE"""),516401)</f>
        <v>516401</v>
      </c>
      <c r="D363" s="3" t="str">
        <f ca="1">IFERROR(__xludf.DUMMYFUNCTION("""COMPUTED_VALUE"""),"Male")</f>
        <v>Male</v>
      </c>
      <c r="E363" s="1" t="str">
        <f ca="1">IFERROR(__xludf.DUMMYFUNCTION("""COMPUTED_VALUE"""),"Influencers who had successful careers")</f>
        <v>Influencers who had successful careers</v>
      </c>
      <c r="F363" s="1" t="str">
        <f ca="1">IFERROR(__xludf.DUMMYFUNCTION("""COMPUTED_VALUE"""),"Yes, I will earn and do that")</f>
        <v>Yes, I will earn and do that</v>
      </c>
      <c r="G363" s="1" t="str">
        <f ca="1">IFERROR(__xludf.DUMMYFUNCTION("""COMPUTED_VALUE"""),"Will work for 3 years or more")</f>
        <v>Will work for 3 years or more</v>
      </c>
      <c r="H363" s="1" t="str">
        <f ca="1">IFERROR(__xludf.DUMMYFUNCTION("""COMPUTED_VALUE"""),"No")</f>
        <v>No</v>
      </c>
      <c r="I363" s="1" t="str">
        <f ca="1">IFERROR(__xludf.DUMMYFUNCTION("""COMPUTED_VALUE"""),"Will NOT work for them")</f>
        <v>Will NOT work for them</v>
      </c>
      <c r="J363" s="1">
        <f ca="1">IFERROR(__xludf.DUMMYFUNCTION("""COMPUTED_VALUE"""),10)</f>
        <v>10</v>
      </c>
      <c r="K363" s="1" t="str">
        <f ca="1">IFERROR(__xludf.DUMMYFUNCTION("""COMPUTED_VALUE"""),"Every Day Office Environment")</f>
        <v>Every Day Office Environment</v>
      </c>
      <c r="L363" s="1" t="str">
        <f ca="1">IFERROR(__xludf.DUMMYFUNCTION("""COMPUTED_VALUE"""),"Employer who pushes your limits by enabling an learning environment, and rewards you at the end")</f>
        <v>Employer who pushes your limits by enabling an learning environment, and rewards you at the end</v>
      </c>
      <c r="M363" s="1" t="str">
        <f ca="1">IFERROR(__xludf.DUMMYFUNCTION("""COMPUTED_VALUE"""),"Instructor or Expert Learning Programs, Learning by observing others")</f>
        <v>Instructor or Expert Learning Programs, Learning by observing others</v>
      </c>
      <c r="N363" s="1" t="str">
        <f ca="1">IFERROR(__xludf.DUMMYFUNCTION("""COMPUTED_VALUE"""),"Design and Creative strategy in any company, Build and develop a Team, Design and Develop amazing software")</f>
        <v>Design and Creative strategy in any company, Build and develop a Team, Design and Develop amazing software</v>
      </c>
      <c r="O363" s="1" t="str">
        <f ca="1">IFERROR(__xludf.DUMMYFUNCTION("""COMPUTED_VALUE"""),"Manager who explains what is expected, sets a goal and helps achieve it")</f>
        <v>Manager who explains what is expected, sets a goal and helps achieve it</v>
      </c>
      <c r="P363" s="1" t="str">
        <f ca="1">IFERROR(__xludf.DUMMYFUNCTION("""COMPUTED_VALUE"""),"Work with 5 to 6 people in my team")</f>
        <v>Work with 5 to 6 people in my team</v>
      </c>
      <c r="Q363" s="1"/>
    </row>
    <row r="364" spans="1:17" ht="13.2" x14ac:dyDescent="0.25">
      <c r="A364" s="2">
        <f ca="1">IFERROR(__xludf.DUMMYFUNCTION("""COMPUTED_VALUE"""),44940.5311496412)</f>
        <v>44940.531149641203</v>
      </c>
      <c r="B364" s="1" t="str">
        <f ca="1">IFERROR(__xludf.DUMMYFUNCTION("""COMPUTED_VALUE"""),"India")</f>
        <v>India</v>
      </c>
      <c r="C364" s="1">
        <f ca="1">IFERROR(__xludf.DUMMYFUNCTION("""COMPUTED_VALUE"""),473551)</f>
        <v>473551</v>
      </c>
      <c r="D364" s="3" t="str">
        <f ca="1">IFERROR(__xludf.DUMMYFUNCTION("""COMPUTED_VALUE"""),"Male")</f>
        <v>Male</v>
      </c>
      <c r="E364" s="1" t="str">
        <f ca="1">IFERROR(__xludf.DUMMYFUNCTION("""COMPUTED_VALUE"""),"My Parents")</f>
        <v>My Parents</v>
      </c>
      <c r="F364" s="1" t="str">
        <f ca="1">IFERROR(__xludf.DUMMYFUNCTION("""COMPUTED_VALUE"""),"No I would not be pursuing Higher Education outside of India")</f>
        <v>No I would not be pursuing Higher Education outside of India</v>
      </c>
      <c r="G364" s="1" t="str">
        <f ca="1">IFERROR(__xludf.DUMMYFUNCTION("""COMPUTED_VALUE"""),"This will be hard to do, but if it is the right company I would try")</f>
        <v>This will be hard to do, but if it is the right company I would try</v>
      </c>
      <c r="H364" s="1" t="str">
        <f ca="1">IFERROR(__xludf.DUMMYFUNCTION("""COMPUTED_VALUE"""),"Yes")</f>
        <v>Yes</v>
      </c>
      <c r="I364" s="1" t="str">
        <f ca="1">IFERROR(__xludf.DUMMYFUNCTION("""COMPUTED_VALUE"""),"Will NOT work for them")</f>
        <v>Will NOT work for them</v>
      </c>
      <c r="J364" s="1">
        <f ca="1">IFERROR(__xludf.DUMMYFUNCTION("""COMPUTED_VALUE"""),5)</f>
        <v>5</v>
      </c>
      <c r="K364" s="1" t="str">
        <f ca="1">IFERROR(__xludf.DUMMYFUNCTION("""COMPUTED_VALUE"""),"Fully Remote with Options to travel as and when needed")</f>
        <v>Fully Remote with Options to travel as and when needed</v>
      </c>
      <c r="L364" s="1" t="str">
        <f ca="1">IFERROR(__xludf.DUMMYFUNCTION("""COMPUTED_VALUE"""),"Employer who appreciates learning and enables that environment")</f>
        <v>Employer who appreciates learning and enables that environment</v>
      </c>
      <c r="M364" s="1" t="str">
        <f ca="1">IFERROR(__xludf.DUMMYFUNCTION("""COMPUTED_VALUE"""),"Instructor or Expert Learning Programs, Trial and error by doing side projects within the company")</f>
        <v>Instructor or Expert Learning Programs, Trial and error by doing side projects within the company</v>
      </c>
      <c r="N36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4" s="1" t="str">
        <f ca="1">IFERROR(__xludf.DUMMYFUNCTION("""COMPUTED_VALUE"""),"Manager who explains what is expected, sets a goal and helps achieve it")</f>
        <v>Manager who explains what is expected, sets a goal and helps achieve it</v>
      </c>
      <c r="P364" s="1" t="str">
        <f ca="1">IFERROR(__xludf.DUMMYFUNCTION("""COMPUTED_VALUE"""),"Work with 5 to 6 people in my team, Work with more than 10 people in my team")</f>
        <v>Work with 5 to 6 people in my team, Work with more than 10 people in my team</v>
      </c>
      <c r="Q364" s="1"/>
    </row>
    <row r="365" spans="1:17" ht="13.2" x14ac:dyDescent="0.25">
      <c r="A365" s="2">
        <f ca="1">IFERROR(__xludf.DUMMYFUNCTION("""COMPUTED_VALUE"""),44940.6212412037)</f>
        <v>44940.621241203698</v>
      </c>
      <c r="B365" s="1" t="str">
        <f ca="1">IFERROR(__xludf.DUMMYFUNCTION("""COMPUTED_VALUE"""),"India")</f>
        <v>India</v>
      </c>
      <c r="C365" s="1">
        <f ca="1">IFERROR(__xludf.DUMMYFUNCTION("""COMPUTED_VALUE"""),522647)</f>
        <v>522647</v>
      </c>
      <c r="D365" s="3" t="str">
        <f ca="1">IFERROR(__xludf.DUMMYFUNCTION("""COMPUTED_VALUE"""),"Female")</f>
        <v>Female</v>
      </c>
      <c r="E365" s="1" t="str">
        <f ca="1">IFERROR(__xludf.DUMMYFUNCTION("""COMPUTED_VALUE"""),"People from my circle, but not family members")</f>
        <v>People from my circle, but not family members</v>
      </c>
      <c r="F365" s="1" t="str">
        <f ca="1">IFERROR(__xludf.DUMMYFUNCTION("""COMPUTED_VALUE"""),"Yes, I will earn and do that")</f>
        <v>Yes, I will earn and do that</v>
      </c>
      <c r="G365" s="1" t="str">
        <f ca="1">IFERROR(__xludf.DUMMYFUNCTION("""COMPUTED_VALUE"""),"This will be hard to do, but if it is the right company I would try")</f>
        <v>This will be hard to do, but if it is the right company I would try</v>
      </c>
      <c r="H365" s="1" t="str">
        <f ca="1">IFERROR(__xludf.DUMMYFUNCTION("""COMPUTED_VALUE"""),"Yes")</f>
        <v>Yes</v>
      </c>
      <c r="I365" s="1" t="str">
        <f ca="1">IFERROR(__xludf.DUMMYFUNCTION("""COMPUTED_VALUE"""),"Will work for them")</f>
        <v>Will work for them</v>
      </c>
      <c r="J365" s="1">
        <f ca="1">IFERROR(__xludf.DUMMYFUNCTION("""COMPUTED_VALUE"""),2)</f>
        <v>2</v>
      </c>
      <c r="K365" s="1" t="str">
        <f ca="1">IFERROR(__xludf.DUMMYFUNCTION("""COMPUTED_VALUE"""),"Hybrid Working Environment with less than 3 days a month at office")</f>
        <v>Hybrid Working Environment with less than 3 days a month at office</v>
      </c>
      <c r="L365" s="1" t="str">
        <f ca="1">IFERROR(__xludf.DUMMYFUNCTION("""COMPUTED_VALUE"""),"Employer who appreciates learning and enables that environment")</f>
        <v>Employer who appreciates learning and enables that environment</v>
      </c>
      <c r="M365" s="1" t="str">
        <f ca="1">IFERROR(__xludf.DUMMYFUNCTION("""COMPUTED_VALUE"""),"Self Paced Learning Portals, Trial and error by doing side projects within the company")</f>
        <v>Self Paced Learning Portals, Trial and error by doing side projects within the company</v>
      </c>
      <c r="N365"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365" s="1" t="str">
        <f ca="1">IFERROR(__xludf.DUMMYFUNCTION("""COMPUTED_VALUE"""),"Manager who clearly describes what she/he needs")</f>
        <v>Manager who clearly describes what she/he needs</v>
      </c>
      <c r="P365" s="1" t="str">
        <f ca="1">IFERROR(__xludf.DUMMYFUNCTION("""COMPUTED_VALUE"""),"Work with 2 to 3 people in my team, Work with 5 to 6 people in my team")</f>
        <v>Work with 2 to 3 people in my team, Work with 5 to 6 people in my team</v>
      </c>
      <c r="Q365" s="1"/>
    </row>
    <row r="366" spans="1:17" ht="13.2" x14ac:dyDescent="0.25">
      <c r="A366" s="2">
        <f ca="1">IFERROR(__xludf.DUMMYFUNCTION("""COMPUTED_VALUE"""),44940.6232545949)</f>
        <v>44940.623254594902</v>
      </c>
      <c r="B366" s="1" t="str">
        <f ca="1">IFERROR(__xludf.DUMMYFUNCTION("""COMPUTED_VALUE"""),"India")</f>
        <v>India</v>
      </c>
      <c r="C366" s="1">
        <f ca="1">IFERROR(__xludf.DUMMYFUNCTION("""COMPUTED_VALUE"""),500083)</f>
        <v>500083</v>
      </c>
      <c r="D366" s="3" t="str">
        <f ca="1">IFERROR(__xludf.DUMMYFUNCTION("""COMPUTED_VALUE"""),"Female")</f>
        <v>Female</v>
      </c>
      <c r="E366" s="1" t="str">
        <f ca="1">IFERROR(__xludf.DUMMYFUNCTION("""COMPUTED_VALUE"""),"People from my circle, but not family members")</f>
        <v>People from my circle, but not family members</v>
      </c>
      <c r="F366" s="1" t="str">
        <f ca="1">IFERROR(__xludf.DUMMYFUNCTION("""COMPUTED_VALUE"""),"Yes, I will earn and do that")</f>
        <v>Yes, I will earn and do that</v>
      </c>
      <c r="G366" s="1" t="str">
        <f ca="1">IFERROR(__xludf.DUMMYFUNCTION("""COMPUTED_VALUE"""),"This will be hard to do, but if it is the right company I would try")</f>
        <v>This will be hard to do, but if it is the right company I would try</v>
      </c>
      <c r="H366" s="1" t="str">
        <f ca="1">IFERROR(__xludf.DUMMYFUNCTION("""COMPUTED_VALUE"""),"No")</f>
        <v>No</v>
      </c>
      <c r="I366" s="1" t="str">
        <f ca="1">IFERROR(__xludf.DUMMYFUNCTION("""COMPUTED_VALUE"""),"Will work for them")</f>
        <v>Will work for them</v>
      </c>
      <c r="J366" s="1">
        <f ca="1">IFERROR(__xludf.DUMMYFUNCTION("""COMPUTED_VALUE"""),9)</f>
        <v>9</v>
      </c>
      <c r="K366" s="1" t="str">
        <f ca="1">IFERROR(__xludf.DUMMYFUNCTION("""COMPUTED_VALUE"""),"Hybrid Working Environment with less than 3 days a month at office")</f>
        <v>Hybrid Working Environment with less than 3 days a month at office</v>
      </c>
      <c r="L366" s="1" t="str">
        <f ca="1">IFERROR(__xludf.DUMMYFUNCTION("""COMPUTED_VALUE"""),"Employer who rewards learning and enables that environment")</f>
        <v>Employer who rewards learning and enables that environment</v>
      </c>
      <c r="M366" s="1" t="str">
        <f ca="1">IFERROR(__xludf.DUMMYFUNCTION("""COMPUTED_VALUE"""),"Self Paced Learning Portals, Learning by observing others")</f>
        <v>Self Paced Learning Portals, Learning by observing others</v>
      </c>
      <c r="N36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66" s="1" t="str">
        <f ca="1">IFERROR(__xludf.DUMMYFUNCTION("""COMPUTED_VALUE"""),"Manager who explains what is expected, sets a goal and helps achieve it")</f>
        <v>Manager who explains what is expected, sets a goal and helps achieve it</v>
      </c>
      <c r="P366" s="1" t="str">
        <f ca="1">IFERROR(__xludf.DUMMYFUNCTION("""COMPUTED_VALUE"""),"Work with 2 to 3 people in my team, Work with 5 to 6 people in my team")</f>
        <v>Work with 2 to 3 people in my team, Work with 5 to 6 people in my team</v>
      </c>
      <c r="Q366" s="1"/>
    </row>
    <row r="367" spans="1:17" ht="13.2" x14ac:dyDescent="0.25">
      <c r="A367" s="2">
        <f ca="1">IFERROR(__xludf.DUMMYFUNCTION("""COMPUTED_VALUE"""),44940.7054760185)</f>
        <v>44940.705476018498</v>
      </c>
      <c r="B367" s="1" t="str">
        <f ca="1">IFERROR(__xludf.DUMMYFUNCTION("""COMPUTED_VALUE"""),"India")</f>
        <v>India</v>
      </c>
      <c r="C367" s="1">
        <f ca="1">IFERROR(__xludf.DUMMYFUNCTION("""COMPUTED_VALUE"""),305001)</f>
        <v>305001</v>
      </c>
      <c r="D367" s="3" t="str">
        <f ca="1">IFERROR(__xludf.DUMMYFUNCTION("""COMPUTED_VALUE"""),"Female")</f>
        <v>Female</v>
      </c>
      <c r="E367" s="1" t="str">
        <f ca="1">IFERROR(__xludf.DUMMYFUNCTION("""COMPUTED_VALUE"""),"Influencers who had successful careers")</f>
        <v>Influencers who had successful careers</v>
      </c>
      <c r="F367" s="1" t="str">
        <f ca="1">IFERROR(__xludf.DUMMYFUNCTION("""COMPUTED_VALUE"""),"No I would not be pursuing Higher Education outside of India")</f>
        <v>No I would not be pursuing Higher Education outside of India</v>
      </c>
      <c r="G367" s="1" t="str">
        <f ca="1">IFERROR(__xludf.DUMMYFUNCTION("""COMPUTED_VALUE"""),"This will be hard to do, but if it is the right company I would try")</f>
        <v>This will be hard to do, but if it is the right company I would try</v>
      </c>
      <c r="H367" s="1" t="str">
        <f ca="1">IFERROR(__xludf.DUMMYFUNCTION("""COMPUTED_VALUE"""),"No")</f>
        <v>No</v>
      </c>
      <c r="I367" s="1" t="str">
        <f ca="1">IFERROR(__xludf.DUMMYFUNCTION("""COMPUTED_VALUE"""),"Will NOT work for them")</f>
        <v>Will NOT work for them</v>
      </c>
      <c r="J367" s="1">
        <f ca="1">IFERROR(__xludf.DUMMYFUNCTION("""COMPUTED_VALUE"""),6)</f>
        <v>6</v>
      </c>
      <c r="K367" s="1" t="str">
        <f ca="1">IFERROR(__xludf.DUMMYFUNCTION("""COMPUTED_VALUE"""),"Fully Remote with Options to travel as and when needed")</f>
        <v>Fully Remote with Options to travel as and when needed</v>
      </c>
      <c r="L367" s="1" t="str">
        <f ca="1">IFERROR(__xludf.DUMMYFUNCTION("""COMPUTED_VALUE"""),"Employer who pushes your limits by enabling an learning environment, and rewards you at the end")</f>
        <v>Employer who pushes your limits by enabling an learning environment, and rewards you at the end</v>
      </c>
      <c r="M367" s="1" t="str">
        <f ca="1">IFERROR(__xludf.DUMMYFUNCTION("""COMPUTED_VALUE"""),"Instructor or Expert Learning Programs, Trial and error by doing side projects within the company")</f>
        <v>Instructor or Expert Learning Programs, Trial and error by doing side projects within the company</v>
      </c>
      <c r="N3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67" s="1" t="str">
        <f ca="1">IFERROR(__xludf.DUMMYFUNCTION("""COMPUTED_VALUE"""),"Manager who explains what is expected, sets a goal and helps achieve it")</f>
        <v>Manager who explains what is expected, sets a goal and helps achieve it</v>
      </c>
      <c r="P367" s="1" t="str">
        <f ca="1">IFERROR(__xludf.DUMMYFUNCTION("""COMPUTED_VALUE"""),"Work with 2 to 3 people in my team")</f>
        <v>Work with 2 to 3 people in my team</v>
      </c>
      <c r="Q367" s="1"/>
    </row>
    <row r="368" spans="1:17" ht="13.2" x14ac:dyDescent="0.25">
      <c r="A368" s="2">
        <f ca="1">IFERROR(__xludf.DUMMYFUNCTION("""COMPUTED_VALUE"""),44940.9715226967)</f>
        <v>44940.971522696702</v>
      </c>
      <c r="B368" s="1" t="str">
        <f ca="1">IFERROR(__xludf.DUMMYFUNCTION("""COMPUTED_VALUE"""),"India")</f>
        <v>India</v>
      </c>
      <c r="C368" s="1">
        <f ca="1">IFERROR(__xludf.DUMMYFUNCTION("""COMPUTED_VALUE"""),110034)</f>
        <v>110034</v>
      </c>
      <c r="D368" s="3" t="str">
        <f ca="1">IFERROR(__xludf.DUMMYFUNCTION("""COMPUTED_VALUE"""),"Male")</f>
        <v>Male</v>
      </c>
      <c r="E368" s="1" t="str">
        <f ca="1">IFERROR(__xludf.DUMMYFUNCTION("""COMPUTED_VALUE"""),"Social Media like LinkedIn")</f>
        <v>Social Media like LinkedIn</v>
      </c>
      <c r="F368" s="1" t="str">
        <f ca="1">IFERROR(__xludf.DUMMYFUNCTION("""COMPUTED_VALUE"""),"Yes, I will earn and do that")</f>
        <v>Yes, I will earn and do that</v>
      </c>
      <c r="G368" s="1" t="str">
        <f ca="1">IFERROR(__xludf.DUMMYFUNCTION("""COMPUTED_VALUE"""),"Will work for 3 years or more")</f>
        <v>Will work for 3 years or more</v>
      </c>
      <c r="H368" s="1" t="str">
        <f ca="1">IFERROR(__xludf.DUMMYFUNCTION("""COMPUTED_VALUE"""),"No")</f>
        <v>No</v>
      </c>
      <c r="I368" s="1" t="str">
        <f ca="1">IFERROR(__xludf.DUMMYFUNCTION("""COMPUTED_VALUE"""),"Will NOT work for them")</f>
        <v>Will NOT work for them</v>
      </c>
      <c r="J368" s="1">
        <f ca="1">IFERROR(__xludf.DUMMYFUNCTION("""COMPUTED_VALUE"""),5)</f>
        <v>5</v>
      </c>
      <c r="K368" s="1" t="str">
        <f ca="1">IFERROR(__xludf.DUMMYFUNCTION("""COMPUTED_VALUE"""),"Hybrid Working Environment with less than 3 days a month at office")</f>
        <v>Hybrid Working Environment with less than 3 days a month at office</v>
      </c>
      <c r="L368" s="1" t="str">
        <f ca="1">IFERROR(__xludf.DUMMYFUNCTION("""COMPUTED_VALUE"""),"Employer who rewards learning and enables that environment")</f>
        <v>Employer who rewards learning and enables that environment</v>
      </c>
      <c r="M368" s="1" t="str">
        <f ca="1">IFERROR(__xludf.DUMMYFUNCTION("""COMPUTED_VALUE"""),"Self Paced Learning Portals, Learning by observing others")</f>
        <v>Self Paced Learning Portals, Learning by observing others</v>
      </c>
      <c r="N36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8" s="1" t="str">
        <f ca="1">IFERROR(__xludf.DUMMYFUNCTION("""COMPUTED_VALUE"""),"Manager who sets targets and expects me to achieve it")</f>
        <v>Manager who sets targets and expects me to achieve it</v>
      </c>
      <c r="P368" s="1" t="str">
        <f ca="1">IFERROR(__xludf.DUMMYFUNCTION("""COMPUTED_VALUE"""),"Work with 7 to 10 or more people in my team, Work with more than 10 people in my team")</f>
        <v>Work with 7 to 10 or more people in my team, Work with more than 10 people in my team</v>
      </c>
      <c r="Q368" s="1"/>
    </row>
    <row r="369" spans="1:17" ht="13.2" x14ac:dyDescent="0.25">
      <c r="A369" s="2">
        <f ca="1">IFERROR(__xludf.DUMMYFUNCTION("""COMPUTED_VALUE"""),44944.391160405)</f>
        <v>44944.391160405001</v>
      </c>
      <c r="B369" s="1" t="str">
        <f ca="1">IFERROR(__xludf.DUMMYFUNCTION("""COMPUTED_VALUE"""),"India")</f>
        <v>India</v>
      </c>
      <c r="C369" s="1">
        <f ca="1">IFERROR(__xludf.DUMMYFUNCTION("""COMPUTED_VALUE"""),760009)</f>
        <v>760009</v>
      </c>
      <c r="D369" s="3" t="str">
        <f ca="1">IFERROR(__xludf.DUMMYFUNCTION("""COMPUTED_VALUE"""),"Male")</f>
        <v>Male</v>
      </c>
      <c r="E369" s="1" t="str">
        <f ca="1">IFERROR(__xludf.DUMMYFUNCTION("""COMPUTED_VALUE"""),"People who have changed the world for better")</f>
        <v>People who have changed the world for better</v>
      </c>
      <c r="F369" s="1" t="str">
        <f ca="1">IFERROR(__xludf.DUMMYFUNCTION("""COMPUTED_VALUE"""),"No I would not be pursuing Higher Education outside of India")</f>
        <v>No I would not be pursuing Higher Education outside of India</v>
      </c>
      <c r="G369" s="1" t="str">
        <f ca="1">IFERROR(__xludf.DUMMYFUNCTION("""COMPUTED_VALUE"""),"This will be hard to do, but if it is the right company I would try")</f>
        <v>This will be hard to do, but if it is the right company I would try</v>
      </c>
      <c r="H369" s="1" t="str">
        <f ca="1">IFERROR(__xludf.DUMMYFUNCTION("""COMPUTED_VALUE"""),"No")</f>
        <v>No</v>
      </c>
      <c r="I369" s="1" t="str">
        <f ca="1">IFERROR(__xludf.DUMMYFUNCTION("""COMPUTED_VALUE"""),"Will work for them")</f>
        <v>Will work for them</v>
      </c>
      <c r="J369" s="1">
        <f ca="1">IFERROR(__xludf.DUMMYFUNCTION("""COMPUTED_VALUE"""),5)</f>
        <v>5</v>
      </c>
      <c r="K369" s="1" t="str">
        <f ca="1">IFERROR(__xludf.DUMMYFUNCTION("""COMPUTED_VALUE"""),"Hybrid Working Environment with less than 15 days a month at office")</f>
        <v>Hybrid Working Environment with less than 15 days a month at office</v>
      </c>
      <c r="L369" s="1" t="str">
        <f ca="1">IFERROR(__xludf.DUMMYFUNCTION("""COMPUTED_VALUE"""),"Employer who appreciates learning and enables that environment")</f>
        <v>Employer who appreciates learning and enables that environment</v>
      </c>
      <c r="M369" s="1" t="str">
        <f ca="1">IFERROR(__xludf.DUMMYFUNCTION("""COMPUTED_VALUE"""),"Instructor or Expert Learning Programs, Trial and error by doing side projects within the company")</f>
        <v>Instructor or Expert Learning Programs, Trial and error by doing side projects within the company</v>
      </c>
      <c r="N36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9" s="1" t="str">
        <f ca="1">IFERROR(__xludf.DUMMYFUNCTION("""COMPUTED_VALUE"""),"Manager who explains what is expected, sets a goal and helps achieve it")</f>
        <v>Manager who explains what is expected, sets a goal and helps achieve it</v>
      </c>
      <c r="P369" s="1" t="str">
        <f ca="1">IFERROR(__xludf.DUMMYFUNCTION("""COMPUTED_VALUE"""),"Work with more than 10 people in my team")</f>
        <v>Work with more than 10 people in my team</v>
      </c>
      <c r="Q369" s="1"/>
    </row>
    <row r="370" spans="1:17" ht="13.2" x14ac:dyDescent="0.25">
      <c r="A370" s="2">
        <f ca="1">IFERROR(__xludf.DUMMYFUNCTION("""COMPUTED_VALUE"""),44944.4298348495)</f>
        <v>44944.429834849499</v>
      </c>
      <c r="B370" s="1" t="str">
        <f ca="1">IFERROR(__xludf.DUMMYFUNCTION("""COMPUTED_VALUE"""),"India")</f>
        <v>India</v>
      </c>
      <c r="C370" s="1">
        <f ca="1">IFERROR(__xludf.DUMMYFUNCTION("""COMPUTED_VALUE"""),500062)</f>
        <v>500062</v>
      </c>
      <c r="D370" s="3" t="str">
        <f ca="1">IFERROR(__xludf.DUMMYFUNCTION("""COMPUTED_VALUE"""),"Female")</f>
        <v>Female</v>
      </c>
      <c r="E370" s="1" t="str">
        <f ca="1">IFERROR(__xludf.DUMMYFUNCTION("""COMPUTED_VALUE"""),"My Parents")</f>
        <v>My Parents</v>
      </c>
      <c r="F370" s="1" t="str">
        <f ca="1">IFERROR(__xludf.DUMMYFUNCTION("""COMPUTED_VALUE"""),"Yes, I will earn and do that")</f>
        <v>Yes, I will earn and do that</v>
      </c>
      <c r="G370" s="1" t="str">
        <f ca="1">IFERROR(__xludf.DUMMYFUNCTION("""COMPUTED_VALUE"""),"Will work for 3 years or more")</f>
        <v>Will work for 3 years or more</v>
      </c>
      <c r="H370" s="1" t="str">
        <f ca="1">IFERROR(__xludf.DUMMYFUNCTION("""COMPUTED_VALUE"""),"No")</f>
        <v>No</v>
      </c>
      <c r="I370" s="1" t="str">
        <f ca="1">IFERROR(__xludf.DUMMYFUNCTION("""COMPUTED_VALUE"""),"Will NOT work for them")</f>
        <v>Will NOT work for them</v>
      </c>
      <c r="J370" s="1">
        <f ca="1">IFERROR(__xludf.DUMMYFUNCTION("""COMPUTED_VALUE"""),5)</f>
        <v>5</v>
      </c>
      <c r="K370" s="1" t="str">
        <f ca="1">IFERROR(__xludf.DUMMYFUNCTION("""COMPUTED_VALUE"""),"Every Day Office Environment")</f>
        <v>Every Day Office Environment</v>
      </c>
      <c r="L370" s="1" t="str">
        <f ca="1">IFERROR(__xludf.DUMMYFUNCTION("""COMPUTED_VALUE"""),"Employer who appreciates learning and enables that environment")</f>
        <v>Employer who appreciates learning and enables that environment</v>
      </c>
      <c r="M370" s="1" t="str">
        <f ca="1">IFERROR(__xludf.DUMMYFUNCTION("""COMPUTED_VALUE"""),"Self Paced Learning Portals, Instructor or Expert Learning Programs")</f>
        <v>Self Paced Learning Portals, Instructor or Expert Learning Programs</v>
      </c>
      <c r="N370"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370" s="1" t="str">
        <f ca="1">IFERROR(__xludf.DUMMYFUNCTION("""COMPUTED_VALUE"""),"Manager who sets goal and helps me achieve it")</f>
        <v>Manager who sets goal and helps me achieve it</v>
      </c>
      <c r="P370" s="1" t="str">
        <f ca="1">IFERROR(__xludf.DUMMYFUNCTION("""COMPUTED_VALUE"""),"Work with 5 to 6 people in my team")</f>
        <v>Work with 5 to 6 people in my team</v>
      </c>
      <c r="Q370" s="1"/>
    </row>
    <row r="371" spans="1:17" ht="13.2" x14ac:dyDescent="0.25">
      <c r="A371" s="2">
        <f ca="1">IFERROR(__xludf.DUMMYFUNCTION("""COMPUTED_VALUE"""),44944.9019997569)</f>
        <v>44944.901999756898</v>
      </c>
      <c r="B371" s="1" t="str">
        <f ca="1">IFERROR(__xludf.DUMMYFUNCTION("""COMPUTED_VALUE"""),"India")</f>
        <v>India</v>
      </c>
      <c r="C371" s="1">
        <f ca="1">IFERROR(__xludf.DUMMYFUNCTION("""COMPUTED_VALUE"""),560100)</f>
        <v>560100</v>
      </c>
      <c r="D371" s="3" t="str">
        <f ca="1">IFERROR(__xludf.DUMMYFUNCTION("""COMPUTED_VALUE"""),"Female")</f>
        <v>Female</v>
      </c>
      <c r="E371" s="1" t="str">
        <f ca="1">IFERROR(__xludf.DUMMYFUNCTION("""COMPUTED_VALUE"""),"People who have changed the world for better")</f>
        <v>People who have changed the world for better</v>
      </c>
      <c r="F371" s="1" t="str">
        <f ca="1">IFERROR(__xludf.DUMMYFUNCTION("""COMPUTED_VALUE"""),"Yes, I will earn and do that")</f>
        <v>Yes, I will earn and do that</v>
      </c>
      <c r="G371" s="1" t="str">
        <f ca="1">IFERROR(__xludf.DUMMYFUNCTION("""COMPUTED_VALUE"""),"This will be hard to do, but if it is the right company I would try")</f>
        <v>This will be hard to do, but if it is the right company I would try</v>
      </c>
      <c r="H371" s="1" t="str">
        <f ca="1">IFERROR(__xludf.DUMMYFUNCTION("""COMPUTED_VALUE"""),"Yes")</f>
        <v>Yes</v>
      </c>
      <c r="I371" s="1" t="str">
        <f ca="1">IFERROR(__xludf.DUMMYFUNCTION("""COMPUTED_VALUE"""),"Will NOT work for them")</f>
        <v>Will NOT work for them</v>
      </c>
      <c r="J371" s="1">
        <f ca="1">IFERROR(__xludf.DUMMYFUNCTION("""COMPUTED_VALUE"""),6)</f>
        <v>6</v>
      </c>
      <c r="K371" s="1" t="str">
        <f ca="1">IFERROR(__xludf.DUMMYFUNCTION("""COMPUTED_VALUE"""),"Hybrid Working Environment with less than 10 days a month at office")</f>
        <v>Hybrid Working Environment with less than 10 days a month at office</v>
      </c>
      <c r="L371" s="1" t="str">
        <f ca="1">IFERROR(__xludf.DUMMYFUNCTION("""COMPUTED_VALUE"""),"Employer who pushes your limits by enabling an learning environment, and rewards you at the end")</f>
        <v>Employer who pushes your limits by enabling an learning environment, and rewards you at the end</v>
      </c>
      <c r="M371" s="1" t="str">
        <f ca="1">IFERROR(__xludf.DUMMYFUNCTION("""COMPUTED_VALUE"""),"Instructor or Expert Learning Programs, Trial and error by doing side projects within the company")</f>
        <v>Instructor or Expert Learning Programs, Trial and error by doing side projects within the company</v>
      </c>
      <c r="N371"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71" s="1" t="str">
        <f ca="1">IFERROR(__xludf.DUMMYFUNCTION("""COMPUTED_VALUE"""),"Manager who explains what is expected, sets a goal and helps achieve it")</f>
        <v>Manager who explains what is expected, sets a goal and helps achieve it</v>
      </c>
      <c r="P371" s="1" t="str">
        <f ca="1">IFERROR(__xludf.DUMMYFUNCTION("""COMPUTED_VALUE"""),"Work with 5 to 6 people in my team")</f>
        <v>Work with 5 to 6 people in my team</v>
      </c>
      <c r="Q371" s="1"/>
    </row>
    <row r="372" spans="1:17" ht="13.2" x14ac:dyDescent="0.25">
      <c r="A372" s="2">
        <f ca="1">IFERROR(__xludf.DUMMYFUNCTION("""COMPUTED_VALUE"""),44945.7068227083)</f>
        <v>44945.7068227083</v>
      </c>
      <c r="B372" s="1" t="str">
        <f ca="1">IFERROR(__xludf.DUMMYFUNCTION("""COMPUTED_VALUE"""),"India")</f>
        <v>India</v>
      </c>
      <c r="C372" s="1">
        <f ca="1">IFERROR(__xludf.DUMMYFUNCTION("""COMPUTED_VALUE"""),490006)</f>
        <v>490006</v>
      </c>
      <c r="D372" s="3" t="str">
        <f ca="1">IFERROR(__xludf.DUMMYFUNCTION("""COMPUTED_VALUE"""),"Female")</f>
        <v>Female</v>
      </c>
      <c r="E372" s="1" t="str">
        <f ca="1">IFERROR(__xludf.DUMMYFUNCTION("""COMPUTED_VALUE"""),"My Parents")</f>
        <v>My Parents</v>
      </c>
      <c r="F372" s="1" t="str">
        <f ca="1">IFERROR(__xludf.DUMMYFUNCTION("""COMPUTED_VALUE"""),"No I would not be pursuing Higher Education outside of India")</f>
        <v>No I would not be pursuing Higher Education outside of India</v>
      </c>
      <c r="G372" s="1" t="str">
        <f ca="1">IFERROR(__xludf.DUMMYFUNCTION("""COMPUTED_VALUE"""),"This will be hard to do, but if it is the right company I would try")</f>
        <v>This will be hard to do, but if it is the right company I would try</v>
      </c>
      <c r="H372" s="1" t="str">
        <f ca="1">IFERROR(__xludf.DUMMYFUNCTION("""COMPUTED_VALUE"""),"No")</f>
        <v>No</v>
      </c>
      <c r="I372" s="1" t="str">
        <f ca="1">IFERROR(__xludf.DUMMYFUNCTION("""COMPUTED_VALUE"""),"Will NOT work for them")</f>
        <v>Will NOT work for them</v>
      </c>
      <c r="J372" s="1">
        <f ca="1">IFERROR(__xludf.DUMMYFUNCTION("""COMPUTED_VALUE"""),7)</f>
        <v>7</v>
      </c>
      <c r="K372" s="1" t="str">
        <f ca="1">IFERROR(__xludf.DUMMYFUNCTION("""COMPUTED_VALUE"""),"Hybrid Working Environment with less than 15 days a month at office")</f>
        <v>Hybrid Working Environment with less than 15 days a month at office</v>
      </c>
      <c r="L372" s="1" t="str">
        <f ca="1">IFERROR(__xludf.DUMMYFUNCTION("""COMPUTED_VALUE"""),"Employer who pushes your limits by enabling an learning environment, and rewards you at the end")</f>
        <v>Employer who pushes your limits by enabling an learning environment, and rewards you at the end</v>
      </c>
      <c r="M372" s="1" t="str">
        <f ca="1">IFERROR(__xludf.DUMMYFUNCTION("""COMPUTED_VALUE"""),"Instructor or Expert Learning Programs, Trial and error by doing side projects within the company")</f>
        <v>Instructor or Expert Learning Programs, Trial and error by doing side projects within the company</v>
      </c>
      <c r="N3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72" s="1" t="str">
        <f ca="1">IFERROR(__xludf.DUMMYFUNCTION("""COMPUTED_VALUE"""),"Manager who clearly describes what she/he needs")</f>
        <v>Manager who clearly describes what she/he needs</v>
      </c>
      <c r="P372" s="1" t="str">
        <f ca="1">IFERROR(__xludf.DUMMYFUNCTION("""COMPUTED_VALUE"""),"Work with 5 to 6 people in my team")</f>
        <v>Work with 5 to 6 people in my team</v>
      </c>
      <c r="Q372" s="1"/>
    </row>
    <row r="373" spans="1:17" ht="13.2" x14ac:dyDescent="0.25">
      <c r="A373" s="2">
        <f ca="1">IFERROR(__xludf.DUMMYFUNCTION("""COMPUTED_VALUE"""),44946.8637613888)</f>
        <v>44946.863761388799</v>
      </c>
      <c r="B373" s="1" t="str">
        <f ca="1">IFERROR(__xludf.DUMMYFUNCTION("""COMPUTED_VALUE"""),"India")</f>
        <v>India</v>
      </c>
      <c r="C373" s="1">
        <f ca="1">IFERROR(__xludf.DUMMYFUNCTION("""COMPUTED_VALUE"""),834001)</f>
        <v>834001</v>
      </c>
      <c r="D373" s="3" t="str">
        <f ca="1">IFERROR(__xludf.DUMMYFUNCTION("""COMPUTED_VALUE"""),"Male")</f>
        <v>Male</v>
      </c>
      <c r="E373" s="1" t="str">
        <f ca="1">IFERROR(__xludf.DUMMYFUNCTION("""COMPUTED_VALUE"""),"Influencers who had successful careers")</f>
        <v>Influencers who had successful careers</v>
      </c>
      <c r="F373" s="1" t="str">
        <f ca="1">IFERROR(__xludf.DUMMYFUNCTION("""COMPUTED_VALUE"""),"No, But if someone could bare the cost I will")</f>
        <v>No, But if someone could bare the cost I will</v>
      </c>
      <c r="G373" s="1" t="str">
        <f ca="1">IFERROR(__xludf.DUMMYFUNCTION("""COMPUTED_VALUE"""),"This will be hard to do, but if it is the right company I would try")</f>
        <v>This will be hard to do, but if it is the right company I would try</v>
      </c>
      <c r="H373" s="1" t="str">
        <f ca="1">IFERROR(__xludf.DUMMYFUNCTION("""COMPUTED_VALUE"""),"Yes")</f>
        <v>Yes</v>
      </c>
      <c r="I373" s="1" t="str">
        <f ca="1">IFERROR(__xludf.DUMMYFUNCTION("""COMPUTED_VALUE"""),"Will NOT work for them")</f>
        <v>Will NOT work for them</v>
      </c>
      <c r="J373" s="1">
        <f ca="1">IFERROR(__xludf.DUMMYFUNCTION("""COMPUTED_VALUE"""),7)</f>
        <v>7</v>
      </c>
      <c r="K373" s="1" t="str">
        <f ca="1">IFERROR(__xludf.DUMMYFUNCTION("""COMPUTED_VALUE"""),"Hybrid Working Environment with less than 15 days a month at office")</f>
        <v>Hybrid Working Environment with less than 15 days a month at office</v>
      </c>
      <c r="L373" s="1" t="str">
        <f ca="1">IFERROR(__xludf.DUMMYFUNCTION("""COMPUTED_VALUE"""),"Employer who pushes your limits by enabling an learning environment, and rewards you at the end")</f>
        <v>Employer who pushes your limits by enabling an learning environment, and rewards you at the end</v>
      </c>
      <c r="M373" s="1" t="str">
        <f ca="1">IFERROR(__xludf.DUMMYFUNCTION("""COMPUTED_VALUE"""),"Instructor or Expert Learning Programs, Trial and error by doing side projects within the company")</f>
        <v>Instructor or Expert Learning Programs, Trial and error by doing side projects within the company</v>
      </c>
      <c r="N37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73" s="1" t="str">
        <f ca="1">IFERROR(__xludf.DUMMYFUNCTION("""COMPUTED_VALUE"""),"Manager who explains what is expected, sets a goal and helps achieve it")</f>
        <v>Manager who explains what is expected, sets a goal and helps achieve it</v>
      </c>
      <c r="P373" s="1" t="str">
        <f ca="1">IFERROR(__xludf.DUMMYFUNCTION("""COMPUTED_VALUE"""),"Work with 5 to 6 people in my team")</f>
        <v>Work with 5 to 6 people in my team</v>
      </c>
      <c r="Q373" s="1"/>
    </row>
    <row r="374" spans="1:17" ht="13.2" x14ac:dyDescent="0.25">
      <c r="A374" s="2">
        <f ca="1">IFERROR(__xludf.DUMMYFUNCTION("""COMPUTED_VALUE"""),44951.6269945833)</f>
        <v>44951.626994583297</v>
      </c>
      <c r="B374" s="1" t="str">
        <f ca="1">IFERROR(__xludf.DUMMYFUNCTION("""COMPUTED_VALUE"""),"India")</f>
        <v>India</v>
      </c>
      <c r="C374" s="1">
        <f ca="1">IFERROR(__xludf.DUMMYFUNCTION("""COMPUTED_VALUE"""),441111)</f>
        <v>441111</v>
      </c>
      <c r="D374" s="3" t="str">
        <f ca="1">IFERROR(__xludf.DUMMYFUNCTION("""COMPUTED_VALUE"""),"Female")</f>
        <v>Female</v>
      </c>
      <c r="E374" s="1" t="str">
        <f ca="1">IFERROR(__xludf.DUMMYFUNCTION("""COMPUTED_VALUE"""),"Influencers who had successful careers")</f>
        <v>Influencers who had successful careers</v>
      </c>
      <c r="F374" s="1" t="str">
        <f ca="1">IFERROR(__xludf.DUMMYFUNCTION("""COMPUTED_VALUE"""),"Yes, I will earn and do that")</f>
        <v>Yes, I will earn and do that</v>
      </c>
      <c r="G374" s="1" t="str">
        <f ca="1">IFERROR(__xludf.DUMMYFUNCTION("""COMPUTED_VALUE"""),"This will be hard to do, but if it is the right company I would try")</f>
        <v>This will be hard to do, but if it is the right company I would try</v>
      </c>
      <c r="H374" s="1" t="str">
        <f ca="1">IFERROR(__xludf.DUMMYFUNCTION("""COMPUTED_VALUE"""),"No")</f>
        <v>No</v>
      </c>
      <c r="I374" s="1" t="str">
        <f ca="1">IFERROR(__xludf.DUMMYFUNCTION("""COMPUTED_VALUE"""),"Will NOT work for them")</f>
        <v>Will NOT work for them</v>
      </c>
      <c r="J374" s="1">
        <f ca="1">IFERROR(__xludf.DUMMYFUNCTION("""COMPUTED_VALUE"""),1)</f>
        <v>1</v>
      </c>
      <c r="K374" s="1" t="str">
        <f ca="1">IFERROR(__xludf.DUMMYFUNCTION("""COMPUTED_VALUE"""),"Every Day Office Environment")</f>
        <v>Every Day Office Environment</v>
      </c>
      <c r="L374" s="1" t="str">
        <f ca="1">IFERROR(__xludf.DUMMYFUNCTION("""COMPUTED_VALUE"""),"Employer who pushes your limits by enabling an learning environment, and rewards you at the end")</f>
        <v>Employer who pushes your limits by enabling an learning environment, and rewards you at the end</v>
      </c>
      <c r="M374" s="1" t="str">
        <f ca="1">IFERROR(__xludf.DUMMYFUNCTION("""COMPUTED_VALUE"""),"Instructor or Expert Learning Programs, Trial and error by doing side projects within the company")</f>
        <v>Instructor or Expert Learning Programs, Trial and error by doing side projects within the company</v>
      </c>
      <c r="N37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74" s="1" t="str">
        <f ca="1">IFERROR(__xludf.DUMMYFUNCTION("""COMPUTED_VALUE"""),"Manager who explains what is expected, sets a goal and helps achieve it")</f>
        <v>Manager who explains what is expected, sets a goal and helps achieve it</v>
      </c>
      <c r="P374" s="1" t="str">
        <f ca="1">IFERROR(__xludf.DUMMYFUNCTION("""COMPUTED_VALUE"""),"Work with more than 10 people in my team")</f>
        <v>Work with more than 10 people in my team</v>
      </c>
      <c r="Q374" s="1"/>
    </row>
    <row r="375" spans="1:17" ht="13.2" x14ac:dyDescent="0.25">
      <c r="A375" s="2">
        <f ca="1">IFERROR(__xludf.DUMMYFUNCTION("""COMPUTED_VALUE"""),44952.7191622916)</f>
        <v>44952.7191622916</v>
      </c>
      <c r="B375" s="1" t="str">
        <f ca="1">IFERROR(__xludf.DUMMYFUNCTION("""COMPUTED_VALUE"""),"India")</f>
        <v>India</v>
      </c>
      <c r="C375" s="1">
        <f ca="1">IFERROR(__xludf.DUMMYFUNCTION("""COMPUTED_VALUE"""),631052)</f>
        <v>631052</v>
      </c>
      <c r="D375" s="3" t="str">
        <f ca="1">IFERROR(__xludf.DUMMYFUNCTION("""COMPUTED_VALUE"""),"Female")</f>
        <v>Female</v>
      </c>
      <c r="E375" s="1" t="str">
        <f ca="1">IFERROR(__xludf.DUMMYFUNCTION("""COMPUTED_VALUE"""),"My Parents")</f>
        <v>My Parents</v>
      </c>
      <c r="F375" s="1" t="str">
        <f ca="1">IFERROR(__xludf.DUMMYFUNCTION("""COMPUTED_VALUE"""),"Yes, I will earn and do that")</f>
        <v>Yes, I will earn and do that</v>
      </c>
      <c r="G375" s="1" t="str">
        <f ca="1">IFERROR(__xludf.DUMMYFUNCTION("""COMPUTED_VALUE"""),"This will be hard to do, but if it is the right company I would try")</f>
        <v>This will be hard to do, but if it is the right company I would try</v>
      </c>
      <c r="H375" s="1" t="str">
        <f ca="1">IFERROR(__xludf.DUMMYFUNCTION("""COMPUTED_VALUE"""),"No")</f>
        <v>No</v>
      </c>
      <c r="I375" s="1" t="str">
        <f ca="1">IFERROR(__xludf.DUMMYFUNCTION("""COMPUTED_VALUE"""),"Will NOT work for them")</f>
        <v>Will NOT work for them</v>
      </c>
      <c r="J375" s="1">
        <f ca="1">IFERROR(__xludf.DUMMYFUNCTION("""COMPUTED_VALUE"""),2)</f>
        <v>2</v>
      </c>
      <c r="K375" s="1" t="str">
        <f ca="1">IFERROR(__xludf.DUMMYFUNCTION("""COMPUTED_VALUE"""),"Hybrid Working Environment with less than 15 days a month at office")</f>
        <v>Hybrid Working Environment with less than 15 days a month at office</v>
      </c>
      <c r="L375" s="1" t="str">
        <f ca="1">IFERROR(__xludf.DUMMYFUNCTION("""COMPUTED_VALUE"""),"Employer who appreciates learning and enables that environment")</f>
        <v>Employer who appreciates learning and enables that environment</v>
      </c>
      <c r="M375" s="1" t="str">
        <f ca="1">IFERROR(__xludf.DUMMYFUNCTION("""COMPUTED_VALUE"""),"Self Paced Learning Portals, Instructor or Expert Learning Programs")</f>
        <v>Self Paced Learning Portals, Instructor or Expert Learning Programs</v>
      </c>
      <c r="N375"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75" s="1" t="str">
        <f ca="1">IFERROR(__xludf.DUMMYFUNCTION("""COMPUTED_VALUE"""),"Manager who explains what is expected, sets a goal and helps achieve it")</f>
        <v>Manager who explains what is expected, sets a goal and helps achieve it</v>
      </c>
      <c r="P375" s="1" t="str">
        <f ca="1">IFERROR(__xludf.DUMMYFUNCTION("""COMPUTED_VALUE"""),"Work with 7 to 10 or more people in my team")</f>
        <v>Work with 7 to 10 or more people in my team</v>
      </c>
      <c r="Q375" s="1"/>
    </row>
    <row r="376" spans="1:17" ht="13.2" x14ac:dyDescent="0.25">
      <c r="A376" s="2">
        <f ca="1">IFERROR(__xludf.DUMMYFUNCTION("""COMPUTED_VALUE"""),44952.9457343055)</f>
        <v>44952.945734305496</v>
      </c>
      <c r="B376" s="1" t="str">
        <f ca="1">IFERROR(__xludf.DUMMYFUNCTION("""COMPUTED_VALUE"""),"India")</f>
        <v>India</v>
      </c>
      <c r="C376" s="1">
        <f ca="1">IFERROR(__xludf.DUMMYFUNCTION("""COMPUTED_VALUE"""),416520)</f>
        <v>416520</v>
      </c>
      <c r="D376" s="3" t="str">
        <f ca="1">IFERROR(__xludf.DUMMYFUNCTION("""COMPUTED_VALUE"""),"Female")</f>
        <v>Female</v>
      </c>
      <c r="E376" s="1" t="str">
        <f ca="1">IFERROR(__xludf.DUMMYFUNCTION("""COMPUTED_VALUE"""),"My Parents")</f>
        <v>My Parents</v>
      </c>
      <c r="F376" s="1" t="str">
        <f ca="1">IFERROR(__xludf.DUMMYFUNCTION("""COMPUTED_VALUE"""),"No I would not be pursuing Higher Education outside of India")</f>
        <v>No I would not be pursuing Higher Education outside of India</v>
      </c>
      <c r="G376" s="1" t="str">
        <f ca="1">IFERROR(__xludf.DUMMYFUNCTION("""COMPUTED_VALUE"""),"Will work for 3 years or more")</f>
        <v>Will work for 3 years or more</v>
      </c>
      <c r="H376" s="1" t="str">
        <f ca="1">IFERROR(__xludf.DUMMYFUNCTION("""COMPUTED_VALUE"""),"Yes")</f>
        <v>Yes</v>
      </c>
      <c r="I376" s="1" t="str">
        <f ca="1">IFERROR(__xludf.DUMMYFUNCTION("""COMPUTED_VALUE"""),"Will work for them")</f>
        <v>Will work for them</v>
      </c>
      <c r="J376" s="1">
        <f ca="1">IFERROR(__xludf.DUMMYFUNCTION("""COMPUTED_VALUE"""),2)</f>
        <v>2</v>
      </c>
      <c r="K376" s="1" t="str">
        <f ca="1">IFERROR(__xludf.DUMMYFUNCTION("""COMPUTED_VALUE"""),"Fully Remote with Options to travel as and when needed")</f>
        <v>Fully Remote with Options to travel as and when needed</v>
      </c>
      <c r="L376" s="1" t="str">
        <f ca="1">IFERROR(__xludf.DUMMYFUNCTION("""COMPUTED_VALUE"""),"Employer who pushes your limits by enabling an learning environment, and rewards you at the end")</f>
        <v>Employer who pushes your limits by enabling an learning environment, and rewards you at the end</v>
      </c>
      <c r="M376" s="1" t="str">
        <f ca="1">IFERROR(__xludf.DUMMYFUNCTION("""COMPUTED_VALUE"""),"Learning by observing others, Trial and error by doing side projects within the company")</f>
        <v>Learning by observing others, Trial and error by doing side projects within the company</v>
      </c>
      <c r="N37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76" s="1" t="str">
        <f ca="1">IFERROR(__xludf.DUMMYFUNCTION("""COMPUTED_VALUE"""),"Manager who explains what is expected, sets a goal and helps achieve it")</f>
        <v>Manager who explains what is expected, sets a goal and helps achieve it</v>
      </c>
      <c r="P376" s="1" t="str">
        <f ca="1">IFERROR(__xludf.DUMMYFUNCTION("""COMPUTED_VALUE"""),"Work with 5 to 6 people in my team")</f>
        <v>Work with 5 to 6 people in my team</v>
      </c>
      <c r="Q376" s="1"/>
    </row>
    <row r="377" spans="1:17" ht="13.2" x14ac:dyDescent="0.25">
      <c r="A377" s="2">
        <f ca="1">IFERROR(__xludf.DUMMYFUNCTION("""COMPUTED_VALUE"""),44954.4842589467)</f>
        <v>44954.484258946701</v>
      </c>
      <c r="B377" s="1" t="str">
        <f ca="1">IFERROR(__xludf.DUMMYFUNCTION("""COMPUTED_VALUE"""),"India")</f>
        <v>India</v>
      </c>
      <c r="C377" s="1">
        <f ca="1">IFERROR(__xludf.DUMMYFUNCTION("""COMPUTED_VALUE"""),560100)</f>
        <v>560100</v>
      </c>
      <c r="D377" s="3" t="str">
        <f ca="1">IFERROR(__xludf.DUMMYFUNCTION("""COMPUTED_VALUE"""),"Male")</f>
        <v>Male</v>
      </c>
      <c r="E377" s="1" t="str">
        <f ca="1">IFERROR(__xludf.DUMMYFUNCTION("""COMPUTED_VALUE"""),"Influencers who had successful careers")</f>
        <v>Influencers who had successful careers</v>
      </c>
      <c r="F377" s="1" t="str">
        <f ca="1">IFERROR(__xludf.DUMMYFUNCTION("""COMPUTED_VALUE"""),"No I would not be pursuing Higher Education outside of India")</f>
        <v>No I would not be pursuing Higher Education outside of India</v>
      </c>
      <c r="G377" s="1" t="str">
        <f ca="1">IFERROR(__xludf.DUMMYFUNCTION("""COMPUTED_VALUE"""),"Will work for 3 years or more")</f>
        <v>Will work for 3 years or more</v>
      </c>
      <c r="H377" s="1" t="str">
        <f ca="1">IFERROR(__xludf.DUMMYFUNCTION("""COMPUTED_VALUE"""),"No")</f>
        <v>No</v>
      </c>
      <c r="I377" s="1" t="str">
        <f ca="1">IFERROR(__xludf.DUMMYFUNCTION("""COMPUTED_VALUE"""),"Will NOT work for them")</f>
        <v>Will NOT work for them</v>
      </c>
      <c r="J377" s="1">
        <f ca="1">IFERROR(__xludf.DUMMYFUNCTION("""COMPUTED_VALUE"""),10)</f>
        <v>10</v>
      </c>
      <c r="K377" s="1" t="str">
        <f ca="1">IFERROR(__xludf.DUMMYFUNCTION("""COMPUTED_VALUE"""),"Every Day Office Environment")</f>
        <v>Every Day Office Environment</v>
      </c>
      <c r="L377" s="1" t="str">
        <f ca="1">IFERROR(__xludf.DUMMYFUNCTION("""COMPUTED_VALUE"""),"Employer who appreciates learning and enables that environment")</f>
        <v>Employer who appreciates learning and enables that environment</v>
      </c>
      <c r="M377" s="1" t="str">
        <f ca="1">IFERROR(__xludf.DUMMYFUNCTION("""COMPUTED_VALUE"""),"Instructor or Expert Learning Programs, Learning by observing others")</f>
        <v>Instructor or Expert Learning Programs, Learning by observing others</v>
      </c>
      <c r="N377"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377" s="1" t="str">
        <f ca="1">IFERROR(__xludf.DUMMYFUNCTION("""COMPUTED_VALUE"""),"Manager who sets goal and helps me achieve it")</f>
        <v>Manager who sets goal and helps me achieve it</v>
      </c>
      <c r="P377" s="1" t="str">
        <f ca="1">IFERROR(__xludf.DUMMYFUNCTION("""COMPUTED_VALUE"""),"Work with more than 10 people in my team")</f>
        <v>Work with more than 10 people in my team</v>
      </c>
      <c r="Q377" s="1"/>
    </row>
    <row r="378" spans="1:17" ht="13.2" x14ac:dyDescent="0.25">
      <c r="A378" s="2">
        <f ca="1">IFERROR(__xludf.DUMMYFUNCTION("""COMPUTED_VALUE"""),44954.4842905787)</f>
        <v>44954.484290578701</v>
      </c>
      <c r="B378" s="1" t="str">
        <f ca="1">IFERROR(__xludf.DUMMYFUNCTION("""COMPUTED_VALUE"""),"India")</f>
        <v>India</v>
      </c>
      <c r="C378" s="1">
        <f ca="1">IFERROR(__xludf.DUMMYFUNCTION("""COMPUTED_VALUE"""),632301)</f>
        <v>632301</v>
      </c>
      <c r="D378" s="3" t="str">
        <f ca="1">IFERROR(__xludf.DUMMYFUNCTION("""COMPUTED_VALUE"""),"Female")</f>
        <v>Female</v>
      </c>
      <c r="E378" s="1" t="str">
        <f ca="1">IFERROR(__xludf.DUMMYFUNCTION("""COMPUTED_VALUE"""),"Influencers who had successful careers")</f>
        <v>Influencers who had successful careers</v>
      </c>
      <c r="F378" s="1" t="str">
        <f ca="1">IFERROR(__xludf.DUMMYFUNCTION("""COMPUTED_VALUE"""),"No I would not be pursuing Higher Education outside of India")</f>
        <v>No I would not be pursuing Higher Education outside of India</v>
      </c>
      <c r="G378" s="1" t="str">
        <f ca="1">IFERROR(__xludf.DUMMYFUNCTION("""COMPUTED_VALUE"""),"This will be hard to do, but if it is the right company I would try")</f>
        <v>This will be hard to do, but if it is the right company I would try</v>
      </c>
      <c r="H378" s="1" t="str">
        <f ca="1">IFERROR(__xludf.DUMMYFUNCTION("""COMPUTED_VALUE"""),"Yes")</f>
        <v>Yes</v>
      </c>
      <c r="I378" s="1" t="str">
        <f ca="1">IFERROR(__xludf.DUMMYFUNCTION("""COMPUTED_VALUE"""),"Will work for them")</f>
        <v>Will work for them</v>
      </c>
      <c r="J378" s="1">
        <f ca="1">IFERROR(__xludf.DUMMYFUNCTION("""COMPUTED_VALUE"""),5)</f>
        <v>5</v>
      </c>
      <c r="K378" s="1" t="str">
        <f ca="1">IFERROR(__xludf.DUMMYFUNCTION("""COMPUTED_VALUE"""),"Every Day Office Environment")</f>
        <v>Every Day Office Environment</v>
      </c>
      <c r="L378" s="1" t="str">
        <f ca="1">IFERROR(__xludf.DUMMYFUNCTION("""COMPUTED_VALUE"""),"Employer who appreciates learning and enables that environment")</f>
        <v>Employer who appreciates learning and enables that environment</v>
      </c>
      <c r="M378" s="1" t="str">
        <f ca="1">IFERROR(__xludf.DUMMYFUNCTION("""COMPUTED_VALUE"""),"Self Paced Learning Portals, Learning by observing others")</f>
        <v>Self Paced Learning Portals, Learning by observing others</v>
      </c>
      <c r="N378"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78" s="1" t="str">
        <f ca="1">IFERROR(__xludf.DUMMYFUNCTION("""COMPUTED_VALUE"""),"Manager who explains what is expected, sets a goal and helps achieve it")</f>
        <v>Manager who explains what is expected, sets a goal and helps achieve it</v>
      </c>
      <c r="P378" s="1" t="str">
        <f ca="1">IFERROR(__xludf.DUMMYFUNCTION("""COMPUTED_VALUE"""),"Work with 5 to 6 people in my team")</f>
        <v>Work with 5 to 6 people in my team</v>
      </c>
      <c r="Q378" s="1"/>
    </row>
    <row r="379" spans="1:17" ht="13.2" x14ac:dyDescent="0.25">
      <c r="A379" s="2">
        <f ca="1">IFERROR(__xludf.DUMMYFUNCTION("""COMPUTED_VALUE"""),44977.8779770138)</f>
        <v>44977.877977013799</v>
      </c>
      <c r="B379" s="1" t="str">
        <f ca="1">IFERROR(__xludf.DUMMYFUNCTION("""COMPUTED_VALUE"""),"India")</f>
        <v>India</v>
      </c>
      <c r="C379" s="1">
        <f ca="1">IFERROR(__xludf.DUMMYFUNCTION("""COMPUTED_VALUE"""),641046)</f>
        <v>641046</v>
      </c>
      <c r="D379" s="3" t="str">
        <f ca="1">IFERROR(__xludf.DUMMYFUNCTION("""COMPUTED_VALUE"""),"Male")</f>
        <v>Male</v>
      </c>
      <c r="E379" s="1" t="str">
        <f ca="1">IFERROR(__xludf.DUMMYFUNCTION("""COMPUTED_VALUE"""),"People who have changed the world for better")</f>
        <v>People who have changed the world for better</v>
      </c>
      <c r="F379" s="1" t="str">
        <f ca="1">IFERROR(__xludf.DUMMYFUNCTION("""COMPUTED_VALUE"""),"Yes, I will earn and do that")</f>
        <v>Yes, I will earn and do that</v>
      </c>
      <c r="G379" s="1" t="str">
        <f ca="1">IFERROR(__xludf.DUMMYFUNCTION("""COMPUTED_VALUE"""),"This will be hard to do, but if it is the right company I would try")</f>
        <v>This will be hard to do, but if it is the right company I would try</v>
      </c>
      <c r="H379" s="1" t="str">
        <f ca="1">IFERROR(__xludf.DUMMYFUNCTION("""COMPUTED_VALUE"""),"Yes")</f>
        <v>Yes</v>
      </c>
      <c r="I379" s="1" t="str">
        <f ca="1">IFERROR(__xludf.DUMMYFUNCTION("""COMPUTED_VALUE"""),"Will NOT work for them")</f>
        <v>Will NOT work for them</v>
      </c>
      <c r="J379" s="1">
        <f ca="1">IFERROR(__xludf.DUMMYFUNCTION("""COMPUTED_VALUE"""),6)</f>
        <v>6</v>
      </c>
      <c r="K379" s="1" t="str">
        <f ca="1">IFERROR(__xludf.DUMMYFUNCTION("""COMPUTED_VALUE"""),"Every Day Office Environment")</f>
        <v>Every Day Office Environment</v>
      </c>
      <c r="L379" s="1" t="str">
        <f ca="1">IFERROR(__xludf.DUMMYFUNCTION("""COMPUTED_VALUE"""),"Employer who appreciates learning and enables that environment")</f>
        <v>Employer who appreciates learning and enables that environment</v>
      </c>
      <c r="M379" s="1" t="str">
        <f ca="1">IFERROR(__xludf.DUMMYFUNCTION("""COMPUTED_VALUE"""),"Instructor or Expert Learning Programs, Learning by observing others")</f>
        <v>Instructor or Expert Learning Programs, Learning by observing others</v>
      </c>
      <c r="N379"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79" s="1" t="str">
        <f ca="1">IFERROR(__xludf.DUMMYFUNCTION("""COMPUTED_VALUE"""),"Manager who explains what is expected, sets a goal and helps achieve it")</f>
        <v>Manager who explains what is expected, sets a goal and helps achieve it</v>
      </c>
      <c r="P379"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379" s="1"/>
    </row>
    <row r="380" spans="1:17" ht="13.2" x14ac:dyDescent="0.25">
      <c r="A380" s="2">
        <f ca="1">IFERROR(__xludf.DUMMYFUNCTION("""COMPUTED_VALUE"""),44979.5104514583)</f>
        <v>44979.5104514583</v>
      </c>
      <c r="B380" s="1" t="str">
        <f ca="1">IFERROR(__xludf.DUMMYFUNCTION("""COMPUTED_VALUE"""),"India")</f>
        <v>India</v>
      </c>
      <c r="C380" s="1">
        <f ca="1">IFERROR(__xludf.DUMMYFUNCTION("""COMPUTED_VALUE"""),394230)</f>
        <v>394230</v>
      </c>
      <c r="D380" s="3" t="str">
        <f ca="1">IFERROR(__xludf.DUMMYFUNCTION("""COMPUTED_VALUE"""),"Male")</f>
        <v>Male</v>
      </c>
      <c r="E380" s="1" t="str">
        <f ca="1">IFERROR(__xludf.DUMMYFUNCTION("""COMPUTED_VALUE"""),"My Parents")</f>
        <v>My Parents</v>
      </c>
      <c r="F380" s="1" t="str">
        <f ca="1">IFERROR(__xludf.DUMMYFUNCTION("""COMPUTED_VALUE"""),"No, But if someone could bare the cost I will")</f>
        <v>No, But if someone could bare the cost I will</v>
      </c>
      <c r="G380" s="1" t="str">
        <f ca="1">IFERROR(__xludf.DUMMYFUNCTION("""COMPUTED_VALUE"""),"This will be hard to do, but if it is the right company I would try")</f>
        <v>This will be hard to do, but if it is the right company I would try</v>
      </c>
      <c r="H380" s="1" t="str">
        <f ca="1">IFERROR(__xludf.DUMMYFUNCTION("""COMPUTED_VALUE"""),"Yes")</f>
        <v>Yes</v>
      </c>
      <c r="I380" s="1" t="str">
        <f ca="1">IFERROR(__xludf.DUMMYFUNCTION("""COMPUTED_VALUE"""),"Will work for them")</f>
        <v>Will work for them</v>
      </c>
      <c r="J380" s="1">
        <f ca="1">IFERROR(__xludf.DUMMYFUNCTION("""COMPUTED_VALUE"""),10)</f>
        <v>10</v>
      </c>
      <c r="K380" s="1" t="str">
        <f ca="1">IFERROR(__xludf.DUMMYFUNCTION("""COMPUTED_VALUE"""),"Every Day Office Environment")</f>
        <v>Every Day Office Environment</v>
      </c>
      <c r="L380" s="1" t="str">
        <f ca="1">IFERROR(__xludf.DUMMYFUNCTION("""COMPUTED_VALUE"""),"Employer who pushes your limits by enabling an learning environment, and rewards you at the end")</f>
        <v>Employer who pushes your limits by enabling an learning environment, and rewards you at the end</v>
      </c>
      <c r="M380" s="1" t="str">
        <f ca="1">IFERROR(__xludf.DUMMYFUNCTION("""COMPUTED_VALUE"""),"Instructor or Expert Learning Programs, Trial and error by doing side projects within the company")</f>
        <v>Instructor or Expert Learning Programs, Trial and error by doing side projects within the company</v>
      </c>
      <c r="N380"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380" s="1" t="str">
        <f ca="1">IFERROR(__xludf.DUMMYFUNCTION("""COMPUTED_VALUE"""),"Manager who explains what is expected, sets a goal and helps achieve it")</f>
        <v>Manager who explains what is expected, sets a goal and helps achieve it</v>
      </c>
      <c r="P380" s="1" t="str">
        <f ca="1">IFERROR(__xludf.DUMMYFUNCTION("""COMPUTED_VALUE"""),"Work with 5 to 6 people in my team")</f>
        <v>Work with 5 to 6 people in my team</v>
      </c>
      <c r="Q380" s="1"/>
    </row>
    <row r="381" spans="1:17" ht="13.2" x14ac:dyDescent="0.25">
      <c r="A381" s="2">
        <f ca="1">IFERROR(__xludf.DUMMYFUNCTION("""COMPUTED_VALUE"""),44985.8199412963)</f>
        <v>44985.8199412963</v>
      </c>
      <c r="B381" s="1" t="str">
        <f ca="1">IFERROR(__xludf.DUMMYFUNCTION("""COMPUTED_VALUE"""),"India")</f>
        <v>India</v>
      </c>
      <c r="C381" s="1">
        <f ca="1">IFERROR(__xludf.DUMMYFUNCTION("""COMPUTED_VALUE"""),44023)</f>
        <v>44023</v>
      </c>
      <c r="D381" s="3" t="str">
        <f ca="1">IFERROR(__xludf.DUMMYFUNCTION("""COMPUTED_VALUE"""),"Male")</f>
        <v>Male</v>
      </c>
      <c r="E381" s="1" t="str">
        <f ca="1">IFERROR(__xludf.DUMMYFUNCTION("""COMPUTED_VALUE"""),"My Parents")</f>
        <v>My Parents</v>
      </c>
      <c r="F381" s="1" t="str">
        <f ca="1">IFERROR(__xludf.DUMMYFUNCTION("""COMPUTED_VALUE"""),"No I would not be pursuing Higher Education outside of India")</f>
        <v>No I would not be pursuing Higher Education outside of India</v>
      </c>
      <c r="G381" s="1" t="str">
        <f ca="1">IFERROR(__xludf.DUMMYFUNCTION("""COMPUTED_VALUE"""),"This will be hard to do, but if it is the right company I would try")</f>
        <v>This will be hard to do, but if it is the right company I would try</v>
      </c>
      <c r="H381" s="1" t="str">
        <f ca="1">IFERROR(__xludf.DUMMYFUNCTION("""COMPUTED_VALUE"""),"Yes")</f>
        <v>Yes</v>
      </c>
      <c r="I381" s="1" t="str">
        <f ca="1">IFERROR(__xludf.DUMMYFUNCTION("""COMPUTED_VALUE"""),"Will work for them")</f>
        <v>Will work for them</v>
      </c>
      <c r="J381" s="1">
        <f ca="1">IFERROR(__xludf.DUMMYFUNCTION("""COMPUTED_VALUE"""),5)</f>
        <v>5</v>
      </c>
      <c r="K381" s="1" t="str">
        <f ca="1">IFERROR(__xludf.DUMMYFUNCTION("""COMPUTED_VALUE"""),"Hybrid Working Environment with less than 10 days a month at office")</f>
        <v>Hybrid Working Environment with less than 10 days a month at office</v>
      </c>
      <c r="L381" s="1" t="str">
        <f ca="1">IFERROR(__xludf.DUMMYFUNCTION("""COMPUTED_VALUE"""),"Employer who rewards learning and enables that environment")</f>
        <v>Employer who rewards learning and enables that environment</v>
      </c>
      <c r="M381" s="1" t="str">
        <f ca="1">IFERROR(__xludf.DUMMYFUNCTION("""COMPUTED_VALUE"""),"Instructor or Expert Learning Programs, Learning by observing others")</f>
        <v>Instructor or Expert Learning Programs, Learning by observing others</v>
      </c>
      <c r="N381"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81" s="1" t="str">
        <f ca="1">IFERROR(__xludf.DUMMYFUNCTION("""COMPUTED_VALUE"""),"Manager who sets goal and helps me achieve it")</f>
        <v>Manager who sets goal and helps me achieve it</v>
      </c>
      <c r="P381" s="1" t="str">
        <f ca="1">IFERROR(__xludf.DUMMYFUNCTION("""COMPUTED_VALUE"""),"Work with more than 10 people in my team")</f>
        <v>Work with more than 10 people in my team</v>
      </c>
      <c r="Q381" s="1"/>
    </row>
    <row r="382" spans="1:17" ht="13.2" x14ac:dyDescent="0.25">
      <c r="A382" s="2">
        <f ca="1">IFERROR(__xludf.DUMMYFUNCTION("""COMPUTED_VALUE"""),45012.6643323726)</f>
        <v>45012.664332372602</v>
      </c>
      <c r="B382" s="1" t="str">
        <f ca="1">IFERROR(__xludf.DUMMYFUNCTION("""COMPUTED_VALUE"""),"India")</f>
        <v>India</v>
      </c>
      <c r="C382" s="1">
        <f ca="1">IFERROR(__xludf.DUMMYFUNCTION("""COMPUTED_VALUE"""),620017)</f>
        <v>620017</v>
      </c>
      <c r="D382" s="3" t="str">
        <f ca="1">IFERROR(__xludf.DUMMYFUNCTION("""COMPUTED_VALUE"""),"Female")</f>
        <v>Female</v>
      </c>
      <c r="E382" s="1" t="str">
        <f ca="1">IFERROR(__xludf.DUMMYFUNCTION("""COMPUTED_VALUE"""),"People who have changed the world for better")</f>
        <v>People who have changed the world for better</v>
      </c>
      <c r="F382" s="1" t="str">
        <f ca="1">IFERROR(__xludf.DUMMYFUNCTION("""COMPUTED_VALUE"""),"No, But if someone could bare the cost I will")</f>
        <v>No, But if someone could bare the cost I will</v>
      </c>
      <c r="G382" s="1" t="str">
        <f ca="1">IFERROR(__xludf.DUMMYFUNCTION("""COMPUTED_VALUE"""),"Will work for 3 years or more")</f>
        <v>Will work for 3 years or more</v>
      </c>
      <c r="H382" s="1" t="str">
        <f ca="1">IFERROR(__xludf.DUMMYFUNCTION("""COMPUTED_VALUE"""),"No")</f>
        <v>No</v>
      </c>
      <c r="I382" s="1" t="str">
        <f ca="1">IFERROR(__xludf.DUMMYFUNCTION("""COMPUTED_VALUE"""),"Will NOT work for them")</f>
        <v>Will NOT work for them</v>
      </c>
      <c r="J382" s="1">
        <f ca="1">IFERROR(__xludf.DUMMYFUNCTION("""COMPUTED_VALUE"""),5)</f>
        <v>5</v>
      </c>
      <c r="K382" s="1" t="str">
        <f ca="1">IFERROR(__xludf.DUMMYFUNCTION("""COMPUTED_VALUE"""),"Hybrid Working Environment with less than 15 days a month at office")</f>
        <v>Hybrid Working Environment with less than 15 days a month at office</v>
      </c>
      <c r="L382" s="1" t="str">
        <f ca="1">IFERROR(__xludf.DUMMYFUNCTION("""COMPUTED_VALUE"""),"Employer who appreciates learning and enables that environment")</f>
        <v>Employer who appreciates learning and enables that environment</v>
      </c>
      <c r="M382" s="1" t="str">
        <f ca="1">IFERROR(__xludf.DUMMYFUNCTION("""COMPUTED_VALUE"""),"Self Paced Learning Portals, Instructor or Expert Learning Programs")</f>
        <v>Self Paced Learning Portals, Instructor or Expert Learning Programs</v>
      </c>
      <c r="N382"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82" s="1" t="str">
        <f ca="1">IFERROR(__xludf.DUMMYFUNCTION("""COMPUTED_VALUE"""),"Manager who explains what is expected, sets a goal and helps achieve it")</f>
        <v>Manager who explains what is expected, sets a goal and helps achieve it</v>
      </c>
      <c r="P38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382" s="1"/>
    </row>
    <row r="383" spans="1:17" ht="13.2" x14ac:dyDescent="0.25">
      <c r="A383" s="2">
        <f ca="1">IFERROR(__xludf.DUMMYFUNCTION("""COMPUTED_VALUE"""),45020.8773611458)</f>
        <v>45020.877361145802</v>
      </c>
      <c r="B383" s="1" t="str">
        <f ca="1">IFERROR(__xludf.DUMMYFUNCTION("""COMPUTED_VALUE"""),"India")</f>
        <v>India</v>
      </c>
      <c r="C383" s="1">
        <f ca="1">IFERROR(__xludf.DUMMYFUNCTION("""COMPUTED_VALUE"""),500032)</f>
        <v>500032</v>
      </c>
      <c r="D383" s="3" t="str">
        <f ca="1">IFERROR(__xludf.DUMMYFUNCTION("""COMPUTED_VALUE"""),"Male")</f>
        <v>Male</v>
      </c>
      <c r="E383" s="1" t="str">
        <f ca="1">IFERROR(__xludf.DUMMYFUNCTION("""COMPUTED_VALUE"""),"People who have changed the world for better")</f>
        <v>People who have changed the world for better</v>
      </c>
      <c r="F383" s="1" t="str">
        <f ca="1">IFERROR(__xludf.DUMMYFUNCTION("""COMPUTED_VALUE"""),"No I would not be pursuing Higher Education outside of India")</f>
        <v>No I would not be pursuing Higher Education outside of India</v>
      </c>
      <c r="G383" s="1" t="str">
        <f ca="1">IFERROR(__xludf.DUMMYFUNCTION("""COMPUTED_VALUE"""),"Will work for 3 years or more")</f>
        <v>Will work for 3 years or more</v>
      </c>
      <c r="H383" s="1" t="str">
        <f ca="1">IFERROR(__xludf.DUMMYFUNCTION("""COMPUTED_VALUE"""),"No")</f>
        <v>No</v>
      </c>
      <c r="I383" s="1" t="str">
        <f ca="1">IFERROR(__xludf.DUMMYFUNCTION("""COMPUTED_VALUE"""),"Will NOT work for them")</f>
        <v>Will NOT work for them</v>
      </c>
      <c r="J383" s="1">
        <f ca="1">IFERROR(__xludf.DUMMYFUNCTION("""COMPUTED_VALUE"""),5)</f>
        <v>5</v>
      </c>
      <c r="K383" s="1" t="str">
        <f ca="1">IFERROR(__xludf.DUMMYFUNCTION("""COMPUTED_VALUE"""),"Fully Remote with Options to travel as and when needed")</f>
        <v>Fully Remote with Options to travel as and when needed</v>
      </c>
      <c r="L383" s="1" t="str">
        <f ca="1">IFERROR(__xludf.DUMMYFUNCTION("""COMPUTED_VALUE"""),"Employer who pushes your limits by enabling an learning environment, and rewards you at the end")</f>
        <v>Employer who pushes your limits by enabling an learning environment, and rewards you at the end</v>
      </c>
      <c r="M383" s="1" t="str">
        <f ca="1">IFERROR(__xludf.DUMMYFUNCTION("""COMPUTED_VALUE"""),"Instructor or Expert Learning Programs, Trial and error by doing side projects within the company")</f>
        <v>Instructor or Expert Learning Programs, Trial and error by doing side projects within the company</v>
      </c>
      <c r="N383"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383" s="1" t="str">
        <f ca="1">IFERROR(__xludf.DUMMYFUNCTION("""COMPUTED_VALUE"""),"Manager who explains what is expected, sets a goal and helps achieve it")</f>
        <v>Manager who explains what is expected, sets a goal and helps achieve it</v>
      </c>
      <c r="P383"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383" s="1"/>
    </row>
    <row r="384" spans="1:17" ht="13.2" x14ac:dyDescent="0.25">
      <c r="A384" s="2">
        <f ca="1">IFERROR(__xludf.DUMMYFUNCTION("""COMPUTED_VALUE"""),45020.8783153472)</f>
        <v>45020.878315347203</v>
      </c>
      <c r="B384" s="1" t="str">
        <f ca="1">IFERROR(__xludf.DUMMYFUNCTION("""COMPUTED_VALUE"""),"India")</f>
        <v>India</v>
      </c>
      <c r="C384" s="1">
        <f ca="1">IFERROR(__xludf.DUMMYFUNCTION("""COMPUTED_VALUE"""),600083)</f>
        <v>600083</v>
      </c>
      <c r="D384" s="3" t="str">
        <f ca="1">IFERROR(__xludf.DUMMYFUNCTION("""COMPUTED_VALUE"""),"Female")</f>
        <v>Female</v>
      </c>
      <c r="E384" s="1" t="str">
        <f ca="1">IFERROR(__xludf.DUMMYFUNCTION("""COMPUTED_VALUE"""),"People from my circle, but not family members")</f>
        <v>People from my circle, but not family members</v>
      </c>
      <c r="F384" s="1" t="str">
        <f ca="1">IFERROR(__xludf.DUMMYFUNCTION("""COMPUTED_VALUE"""),"Yes, I will earn and do that")</f>
        <v>Yes, I will earn and do that</v>
      </c>
      <c r="G384" s="1" t="str">
        <f ca="1">IFERROR(__xludf.DUMMYFUNCTION("""COMPUTED_VALUE"""),"No way, 3 years with one employer is crazy")</f>
        <v>No way, 3 years with one employer is crazy</v>
      </c>
      <c r="H384" s="1" t="str">
        <f ca="1">IFERROR(__xludf.DUMMYFUNCTION("""COMPUTED_VALUE"""),"No")</f>
        <v>No</v>
      </c>
      <c r="I384" s="1" t="str">
        <f ca="1">IFERROR(__xludf.DUMMYFUNCTION("""COMPUTED_VALUE"""),"Will NOT work for them")</f>
        <v>Will NOT work for them</v>
      </c>
      <c r="J384" s="1">
        <f ca="1">IFERROR(__xludf.DUMMYFUNCTION("""COMPUTED_VALUE"""),3)</f>
        <v>3</v>
      </c>
      <c r="K384" s="1" t="str">
        <f ca="1">IFERROR(__xludf.DUMMYFUNCTION("""COMPUTED_VALUE"""),"Fully Remote with Options to travel as and when needed")</f>
        <v>Fully Remote with Options to travel as and when needed</v>
      </c>
      <c r="L384" s="1" t="str">
        <f ca="1">IFERROR(__xludf.DUMMYFUNCTION("""COMPUTED_VALUE"""),"Employer who pushes your limits by enabling an learning environment, and rewards you at the end")</f>
        <v>Employer who pushes your limits by enabling an learning environment, and rewards you at the end</v>
      </c>
      <c r="M384" s="1" t="str">
        <f ca="1">IFERROR(__xludf.DUMMYFUNCTION("""COMPUTED_VALUE"""),"Self Paced Learning Portals, Learning by observing others")</f>
        <v>Self Paced Learning Portals, Learning by observing others</v>
      </c>
      <c r="N38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84" s="1" t="str">
        <f ca="1">IFERROR(__xludf.DUMMYFUNCTION("""COMPUTED_VALUE"""),"Manager who explains what is expected, sets a goal and helps achieve it")</f>
        <v>Manager who explains what is expected, sets a goal and helps achieve it</v>
      </c>
      <c r="P384" s="1" t="str">
        <f ca="1">IFERROR(__xludf.DUMMYFUNCTION("""COMPUTED_VALUE"""),"Work alone, Work with 2 to 3 people in my team")</f>
        <v>Work alone, Work with 2 to 3 people in my team</v>
      </c>
      <c r="Q384" s="1"/>
    </row>
    <row r="385" spans="1:17" ht="13.2" x14ac:dyDescent="0.25">
      <c r="A385" s="2">
        <f ca="1">IFERROR(__xludf.DUMMYFUNCTION("""COMPUTED_VALUE"""),45020.8844391666)</f>
        <v>45020.884439166599</v>
      </c>
      <c r="B385" s="1" t="str">
        <f ca="1">IFERROR(__xludf.DUMMYFUNCTION("""COMPUTED_VALUE"""),"India")</f>
        <v>India</v>
      </c>
      <c r="C385" s="1">
        <f ca="1">IFERROR(__xludf.DUMMYFUNCTION("""COMPUTED_VALUE"""),560016)</f>
        <v>560016</v>
      </c>
      <c r="D385" s="3" t="str">
        <f ca="1">IFERROR(__xludf.DUMMYFUNCTION("""COMPUTED_VALUE"""),"Male")</f>
        <v>Male</v>
      </c>
      <c r="E385" s="1" t="str">
        <f ca="1">IFERROR(__xludf.DUMMYFUNCTION("""COMPUTED_VALUE"""),"Influencers who had successful careers")</f>
        <v>Influencers who had successful careers</v>
      </c>
      <c r="F385" s="1" t="str">
        <f ca="1">IFERROR(__xludf.DUMMYFUNCTION("""COMPUTED_VALUE"""),"No, But if someone could bare the cost I will")</f>
        <v>No, But if someone could bare the cost I will</v>
      </c>
      <c r="G385" s="1" t="str">
        <f ca="1">IFERROR(__xludf.DUMMYFUNCTION("""COMPUTED_VALUE"""),"This will be hard to do, but if it is the right company I would try")</f>
        <v>This will be hard to do, but if it is the right company I would try</v>
      </c>
      <c r="H385" s="1" t="str">
        <f ca="1">IFERROR(__xludf.DUMMYFUNCTION("""COMPUTED_VALUE"""),"No")</f>
        <v>No</v>
      </c>
      <c r="I385" s="1" t="str">
        <f ca="1">IFERROR(__xludf.DUMMYFUNCTION("""COMPUTED_VALUE"""),"Will work for them")</f>
        <v>Will work for them</v>
      </c>
      <c r="J385" s="1">
        <f ca="1">IFERROR(__xludf.DUMMYFUNCTION("""COMPUTED_VALUE"""),5)</f>
        <v>5</v>
      </c>
      <c r="K385" s="1" t="str">
        <f ca="1">IFERROR(__xludf.DUMMYFUNCTION("""COMPUTED_VALUE"""),"Fully Remote with Options to travel as and when needed")</f>
        <v>Fully Remote with Options to travel as and when needed</v>
      </c>
      <c r="L385" s="1" t="str">
        <f ca="1">IFERROR(__xludf.DUMMYFUNCTION("""COMPUTED_VALUE"""),"Employer who appreciates learning and enables that environment")</f>
        <v>Employer who appreciates learning and enables that environment</v>
      </c>
      <c r="M385" s="1" t="str">
        <f ca="1">IFERROR(__xludf.DUMMYFUNCTION("""COMPUTED_VALUE"""),"Instructor or Expert Learning Programs, Trial and error by doing side projects within the company")</f>
        <v>Instructor or Expert Learning Programs, Trial and error by doing side projects within the company</v>
      </c>
      <c r="N385"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385" s="1" t="str">
        <f ca="1">IFERROR(__xludf.DUMMYFUNCTION("""COMPUTED_VALUE"""),"Manager who explains what is expected, sets a goal and helps achieve it")</f>
        <v>Manager who explains what is expected, sets a goal and helps achieve it</v>
      </c>
      <c r="P385" s="1" t="str">
        <f ca="1">IFERROR(__xludf.DUMMYFUNCTION("""COMPUTED_VALUE"""),"Work with more than 10 people in my team")</f>
        <v>Work with more than 10 people in my team</v>
      </c>
      <c r="Q385" s="1"/>
    </row>
    <row r="386" spans="1:17" ht="13.2" x14ac:dyDescent="0.25">
      <c r="A386" s="2">
        <f ca="1">IFERROR(__xludf.DUMMYFUNCTION("""COMPUTED_VALUE"""),45020.884921875)</f>
        <v>45020.884921874997</v>
      </c>
      <c r="B386" s="1" t="str">
        <f ca="1">IFERROR(__xludf.DUMMYFUNCTION("""COMPUTED_VALUE"""),"India")</f>
        <v>India</v>
      </c>
      <c r="C386" s="1">
        <f ca="1">IFERROR(__xludf.DUMMYFUNCTION("""COMPUTED_VALUE"""),560083)</f>
        <v>560083</v>
      </c>
      <c r="D386" s="3" t="str">
        <f ca="1">IFERROR(__xludf.DUMMYFUNCTION("""COMPUTED_VALUE"""),"Male")</f>
        <v>Male</v>
      </c>
      <c r="E386" s="1" t="str">
        <f ca="1">IFERROR(__xludf.DUMMYFUNCTION("""COMPUTED_VALUE"""),"People from my circle, but not family members")</f>
        <v>People from my circle, but not family members</v>
      </c>
      <c r="F386" s="1" t="str">
        <f ca="1">IFERROR(__xludf.DUMMYFUNCTION("""COMPUTED_VALUE"""),"No I would not be pursuing Higher Education outside of India")</f>
        <v>No I would not be pursuing Higher Education outside of India</v>
      </c>
      <c r="G386" s="1" t="str">
        <f ca="1">IFERROR(__xludf.DUMMYFUNCTION("""COMPUTED_VALUE"""),"Will work for 3 years or more")</f>
        <v>Will work for 3 years or more</v>
      </c>
      <c r="H386" s="1" t="str">
        <f ca="1">IFERROR(__xludf.DUMMYFUNCTION("""COMPUTED_VALUE"""),"No")</f>
        <v>No</v>
      </c>
      <c r="I386" s="1" t="str">
        <f ca="1">IFERROR(__xludf.DUMMYFUNCTION("""COMPUTED_VALUE"""),"Will NOT work for them")</f>
        <v>Will NOT work for them</v>
      </c>
      <c r="J386" s="1">
        <f ca="1">IFERROR(__xludf.DUMMYFUNCTION("""COMPUTED_VALUE"""),1)</f>
        <v>1</v>
      </c>
      <c r="K386" s="1" t="str">
        <f ca="1">IFERROR(__xludf.DUMMYFUNCTION("""COMPUTED_VALUE"""),"Hybrid Working Environment with less than 3 days a month at office")</f>
        <v>Hybrid Working Environment with less than 3 days a month at office</v>
      </c>
      <c r="L386" s="1" t="str">
        <f ca="1">IFERROR(__xludf.DUMMYFUNCTION("""COMPUTED_VALUE"""),"Employer who pushes your limits by enabling an learning environment, and rewards you at the end")</f>
        <v>Employer who pushes your limits by enabling an learning environment, and rewards you at the end</v>
      </c>
      <c r="M386" s="1" t="str">
        <f ca="1">IFERROR(__xludf.DUMMYFUNCTION("""COMPUTED_VALUE"""),"Self Paced Learning Portals, Instructor or Expert Learning Programs")</f>
        <v>Self Paced Learning Portals, Instructor or Expert Learning Programs</v>
      </c>
      <c r="N386"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386" s="1" t="str">
        <f ca="1">IFERROR(__xludf.DUMMYFUNCTION("""COMPUTED_VALUE"""),"Manager who explains what is expected, sets a goal and helps achieve it")</f>
        <v>Manager who explains what is expected, sets a goal and helps achieve it</v>
      </c>
      <c r="P386" s="1" t="str">
        <f ca="1">IFERROR(__xludf.DUMMYFUNCTION("""COMPUTED_VALUE"""),"Work with 5 to 6 people in my team")</f>
        <v>Work with 5 to 6 people in my team</v>
      </c>
      <c r="Q386" s="1"/>
    </row>
    <row r="387" spans="1:17" ht="13.2" x14ac:dyDescent="0.25">
      <c r="A387" s="2">
        <f ca="1">IFERROR(__xludf.DUMMYFUNCTION("""COMPUTED_VALUE"""),45020.8854449189)</f>
        <v>45020.885444918902</v>
      </c>
      <c r="B387" s="1" t="str">
        <f ca="1">IFERROR(__xludf.DUMMYFUNCTION("""COMPUTED_VALUE"""),"India")</f>
        <v>India</v>
      </c>
      <c r="C387" s="1">
        <f ca="1">IFERROR(__xludf.DUMMYFUNCTION("""COMPUTED_VALUE"""),250001)</f>
        <v>250001</v>
      </c>
      <c r="D387" s="3" t="str">
        <f ca="1">IFERROR(__xludf.DUMMYFUNCTION("""COMPUTED_VALUE"""),"Male")</f>
        <v>Male</v>
      </c>
      <c r="E387" s="1" t="str">
        <f ca="1">IFERROR(__xludf.DUMMYFUNCTION("""COMPUTED_VALUE"""),"People who have changed the world for better")</f>
        <v>People who have changed the world for better</v>
      </c>
      <c r="F387" s="1" t="str">
        <f ca="1">IFERROR(__xludf.DUMMYFUNCTION("""COMPUTED_VALUE"""),"Yes, I will earn and do that")</f>
        <v>Yes, I will earn and do that</v>
      </c>
      <c r="G387" s="1" t="str">
        <f ca="1">IFERROR(__xludf.DUMMYFUNCTION("""COMPUTED_VALUE"""),"This will be hard to do, but if it is the right company I would try")</f>
        <v>This will be hard to do, but if it is the right company I would try</v>
      </c>
      <c r="H387" s="1" t="str">
        <f ca="1">IFERROR(__xludf.DUMMYFUNCTION("""COMPUTED_VALUE"""),"No")</f>
        <v>No</v>
      </c>
      <c r="I387" s="1" t="str">
        <f ca="1">IFERROR(__xludf.DUMMYFUNCTION("""COMPUTED_VALUE"""),"Will NOT work for them")</f>
        <v>Will NOT work for them</v>
      </c>
      <c r="J387" s="1">
        <f ca="1">IFERROR(__xludf.DUMMYFUNCTION("""COMPUTED_VALUE"""),6)</f>
        <v>6</v>
      </c>
      <c r="K387" s="1" t="str">
        <f ca="1">IFERROR(__xludf.DUMMYFUNCTION("""COMPUTED_VALUE"""),"Hybrid Working Environment with less than 3 days a month at office")</f>
        <v>Hybrid Working Environment with less than 3 days a month at office</v>
      </c>
      <c r="L387" s="1" t="str">
        <f ca="1">IFERROR(__xludf.DUMMYFUNCTION("""COMPUTED_VALUE"""),"Employer who rewards learning and enables that environment")</f>
        <v>Employer who rewards learning and enables that environment</v>
      </c>
      <c r="M387" s="1" t="str">
        <f ca="1">IFERROR(__xludf.DUMMYFUNCTION("""COMPUTED_VALUE"""),"Self Paced Learning Portals, Trial and error by doing side projects within the company")</f>
        <v>Self Paced Learning Portals, Trial and error by doing side projects within the company</v>
      </c>
      <c r="N38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387" s="1" t="str">
        <f ca="1">IFERROR(__xludf.DUMMYFUNCTION("""COMPUTED_VALUE"""),"Manager who sets goal and helps me achieve it")</f>
        <v>Manager who sets goal and helps me achieve it</v>
      </c>
      <c r="P387" s="1" t="str">
        <f ca="1">IFERROR(__xludf.DUMMYFUNCTION("""COMPUTED_VALUE"""),"Work with 2 to 3 people in my team")</f>
        <v>Work with 2 to 3 people in my team</v>
      </c>
      <c r="Q387" s="1"/>
    </row>
    <row r="388" spans="1:17" ht="13.2" x14ac:dyDescent="0.25">
      <c r="A388" s="2">
        <f ca="1">IFERROR(__xludf.DUMMYFUNCTION("""COMPUTED_VALUE"""),45020.8891492361)</f>
        <v>45020.8891492361</v>
      </c>
      <c r="B388" s="1" t="str">
        <f ca="1">IFERROR(__xludf.DUMMYFUNCTION("""COMPUTED_VALUE"""),"India")</f>
        <v>India</v>
      </c>
      <c r="C388" s="1">
        <f ca="1">IFERROR(__xludf.DUMMYFUNCTION("""COMPUTED_VALUE"""),560034)</f>
        <v>560034</v>
      </c>
      <c r="D388" s="3" t="str">
        <f ca="1">IFERROR(__xludf.DUMMYFUNCTION("""COMPUTED_VALUE"""),"Male")</f>
        <v>Male</v>
      </c>
      <c r="E388" s="1" t="str">
        <f ca="1">IFERROR(__xludf.DUMMYFUNCTION("""COMPUTED_VALUE"""),"People who have changed the world for better")</f>
        <v>People who have changed the world for better</v>
      </c>
      <c r="F388" s="1" t="str">
        <f ca="1">IFERROR(__xludf.DUMMYFUNCTION("""COMPUTED_VALUE"""),"Yes, I will earn and do that")</f>
        <v>Yes, I will earn and do that</v>
      </c>
      <c r="G388" s="1" t="str">
        <f ca="1">IFERROR(__xludf.DUMMYFUNCTION("""COMPUTED_VALUE"""),"This will be hard to do, but if it is the right company I would try")</f>
        <v>This will be hard to do, but if it is the right company I would try</v>
      </c>
      <c r="H388" s="1" t="str">
        <f ca="1">IFERROR(__xludf.DUMMYFUNCTION("""COMPUTED_VALUE"""),"No")</f>
        <v>No</v>
      </c>
      <c r="I388" s="1" t="str">
        <f ca="1">IFERROR(__xludf.DUMMYFUNCTION("""COMPUTED_VALUE"""),"Will NOT work for them")</f>
        <v>Will NOT work for them</v>
      </c>
      <c r="J388" s="1">
        <f ca="1">IFERROR(__xludf.DUMMYFUNCTION("""COMPUTED_VALUE"""),1)</f>
        <v>1</v>
      </c>
      <c r="K388" s="1" t="str">
        <f ca="1">IFERROR(__xludf.DUMMYFUNCTION("""COMPUTED_VALUE"""),"Fully Remote with Options to travel as and when needed")</f>
        <v>Fully Remote with Options to travel as and when needed</v>
      </c>
      <c r="L388" s="1" t="str">
        <f ca="1">IFERROR(__xludf.DUMMYFUNCTION("""COMPUTED_VALUE"""),"Employer who pushes your limits by enabling an learning environment, and rewards you at the end")</f>
        <v>Employer who pushes your limits by enabling an learning environment, and rewards you at the end</v>
      </c>
      <c r="M3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88"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388" s="1" t="str">
        <f ca="1">IFERROR(__xludf.DUMMYFUNCTION("""COMPUTED_VALUE"""),"Manager who explains what is expected, sets a goal and helps achieve it")</f>
        <v>Manager who explains what is expected, sets a goal and helps achieve it</v>
      </c>
      <c r="P388" s="1" t="str">
        <f ca="1">IFERROR(__xludf.DUMMYFUNCTION("""COMPUTED_VALUE"""),"Work alone, Work with 2 to 3 people in my team, Work with 5 to 6 people in my team")</f>
        <v>Work alone, Work with 2 to 3 people in my team, Work with 5 to 6 people in my team</v>
      </c>
      <c r="Q388" s="1"/>
    </row>
    <row r="389" spans="1:17" ht="13.2" x14ac:dyDescent="0.25">
      <c r="A389" s="2">
        <f ca="1">IFERROR(__xludf.DUMMYFUNCTION("""COMPUTED_VALUE"""),45020.8962146874)</f>
        <v>45020.896214687396</v>
      </c>
      <c r="B389" s="1" t="str">
        <f ca="1">IFERROR(__xludf.DUMMYFUNCTION("""COMPUTED_VALUE"""),"India")</f>
        <v>India</v>
      </c>
      <c r="C389" s="1">
        <f ca="1">IFERROR(__xludf.DUMMYFUNCTION("""COMPUTED_VALUE"""),641004)</f>
        <v>641004</v>
      </c>
      <c r="D389" s="3" t="str">
        <f ca="1">IFERROR(__xludf.DUMMYFUNCTION("""COMPUTED_VALUE"""),"Male")</f>
        <v>Male</v>
      </c>
      <c r="E389" s="1" t="str">
        <f ca="1">IFERROR(__xludf.DUMMYFUNCTION("""COMPUTED_VALUE"""),"Social Media like LinkedIn")</f>
        <v>Social Media like LinkedIn</v>
      </c>
      <c r="F389" s="1" t="str">
        <f ca="1">IFERROR(__xludf.DUMMYFUNCTION("""COMPUTED_VALUE"""),"Yes, I will earn and do that")</f>
        <v>Yes, I will earn and do that</v>
      </c>
      <c r="G389" s="1" t="str">
        <f ca="1">IFERROR(__xludf.DUMMYFUNCTION("""COMPUTED_VALUE"""),"Will work for 3 years or more")</f>
        <v>Will work for 3 years or more</v>
      </c>
      <c r="H389" s="1" t="str">
        <f ca="1">IFERROR(__xludf.DUMMYFUNCTION("""COMPUTED_VALUE"""),"Yes")</f>
        <v>Yes</v>
      </c>
      <c r="I389" s="1" t="str">
        <f ca="1">IFERROR(__xludf.DUMMYFUNCTION("""COMPUTED_VALUE"""),"Will NOT work for them")</f>
        <v>Will NOT work for them</v>
      </c>
      <c r="J389" s="1">
        <f ca="1">IFERROR(__xludf.DUMMYFUNCTION("""COMPUTED_VALUE"""),8)</f>
        <v>8</v>
      </c>
      <c r="K389" s="1" t="str">
        <f ca="1">IFERROR(__xludf.DUMMYFUNCTION("""COMPUTED_VALUE"""),"Fully Remote with No option to visit offices")</f>
        <v>Fully Remote with No option to visit offices</v>
      </c>
      <c r="L389" s="1" t="str">
        <f ca="1">IFERROR(__xludf.DUMMYFUNCTION("""COMPUTED_VALUE"""),"Employer who appreciates learning and enables that environment")</f>
        <v>Employer who appreciates learning and enables that environment</v>
      </c>
      <c r="M389" s="1" t="str">
        <f ca="1">IFERROR(__xludf.DUMMYFUNCTION("""COMPUTED_VALUE"""),"Self Paced Learning Portals of the Company, Instructor or Expert Learning Programs, Manager Teaching you")</f>
        <v>Self Paced Learning Portals of the Company, Instructor or Expert Learning Programs, Manager Teaching you</v>
      </c>
      <c r="N389"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389" s="1" t="str">
        <f ca="1">IFERROR(__xludf.DUMMYFUNCTION("""COMPUTED_VALUE"""),"Manager who sets goal and helps me achieve it")</f>
        <v>Manager who sets goal and helps me achieve it</v>
      </c>
      <c r="P389" s="1" t="str">
        <f ca="1">IFERROR(__xludf.DUMMYFUNCTION("""COMPUTED_VALUE"""),"Work with 2 to 3 people in my team, Work with 5 to 6 people in my team")</f>
        <v>Work with 2 to 3 people in my team, Work with 5 to 6 people in my team</v>
      </c>
      <c r="Q389" s="1"/>
    </row>
    <row r="390" spans="1:17" ht="13.2" x14ac:dyDescent="0.25">
      <c r="A390" s="2">
        <f ca="1">IFERROR(__xludf.DUMMYFUNCTION("""COMPUTED_VALUE"""),45020.9041456828)</f>
        <v>45020.904145682798</v>
      </c>
      <c r="B390" s="1" t="str">
        <f ca="1">IFERROR(__xludf.DUMMYFUNCTION("""COMPUTED_VALUE"""),"India")</f>
        <v>India</v>
      </c>
      <c r="C390" s="1">
        <f ca="1">IFERROR(__xludf.DUMMYFUNCTION("""COMPUTED_VALUE"""),452003)</f>
        <v>452003</v>
      </c>
      <c r="D390" s="3" t="str">
        <f ca="1">IFERROR(__xludf.DUMMYFUNCTION("""COMPUTED_VALUE"""),"Male")</f>
        <v>Male</v>
      </c>
      <c r="E390" s="1" t="str">
        <f ca="1">IFERROR(__xludf.DUMMYFUNCTION("""COMPUTED_VALUE"""),"People who have changed the world for better")</f>
        <v>People who have changed the world for better</v>
      </c>
      <c r="F390" s="1" t="str">
        <f ca="1">IFERROR(__xludf.DUMMYFUNCTION("""COMPUTED_VALUE"""),"Yes, I will earn and do that")</f>
        <v>Yes, I will earn and do that</v>
      </c>
      <c r="G390" s="1" t="str">
        <f ca="1">IFERROR(__xludf.DUMMYFUNCTION("""COMPUTED_VALUE"""),"This will be hard to do, but if it is the right company I would try")</f>
        <v>This will be hard to do, but if it is the right company I would try</v>
      </c>
      <c r="H390" s="1" t="str">
        <f ca="1">IFERROR(__xludf.DUMMYFUNCTION("""COMPUTED_VALUE"""),"No")</f>
        <v>No</v>
      </c>
      <c r="I390" s="1" t="str">
        <f ca="1">IFERROR(__xludf.DUMMYFUNCTION("""COMPUTED_VALUE"""),"Will NOT work for them")</f>
        <v>Will NOT work for them</v>
      </c>
      <c r="J390" s="1">
        <f ca="1">IFERROR(__xludf.DUMMYFUNCTION("""COMPUTED_VALUE"""),4)</f>
        <v>4</v>
      </c>
      <c r="K390" s="1" t="str">
        <f ca="1">IFERROR(__xludf.DUMMYFUNCTION("""COMPUTED_VALUE"""),"Fully Remote with Options to travel as and when needed")</f>
        <v>Fully Remote with Options to travel as and when needed</v>
      </c>
      <c r="L390" s="1" t="str">
        <f ca="1">IFERROR(__xludf.DUMMYFUNCTION("""COMPUTED_VALUE"""),"Employer who pushes your limits by enabling an learning environment, and rewards you at the end")</f>
        <v>Employer who pushes your limits by enabling an learning environment, and rewards you at the end</v>
      </c>
      <c r="M3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390" s="1" t="str">
        <f ca="1">IFERROR(__xludf.DUMMYFUNCTION("""COMPUTED_VALUE"""),"Manager who sets targets and expects me to achieve it")</f>
        <v>Manager who sets targets and expects me to achieve it</v>
      </c>
      <c r="P390" s="1" t="str">
        <f ca="1">IFERROR(__xludf.DUMMYFUNCTION("""COMPUTED_VALUE"""),"Work with 2 to 3 people in my team")</f>
        <v>Work with 2 to 3 people in my team</v>
      </c>
      <c r="Q390" s="1"/>
    </row>
    <row r="391" spans="1:17" ht="13.2" x14ac:dyDescent="0.25">
      <c r="A391" s="2">
        <f ca="1">IFERROR(__xludf.DUMMYFUNCTION("""COMPUTED_VALUE"""),45020.9066177777)</f>
        <v>45020.906617777699</v>
      </c>
      <c r="B391" s="1" t="str">
        <f ca="1">IFERROR(__xludf.DUMMYFUNCTION("""COMPUTED_VALUE"""),"India")</f>
        <v>India</v>
      </c>
      <c r="C391" s="1">
        <f ca="1">IFERROR(__xludf.DUMMYFUNCTION("""COMPUTED_VALUE"""),560049)</f>
        <v>560049</v>
      </c>
      <c r="D391" s="3" t="str">
        <f ca="1">IFERROR(__xludf.DUMMYFUNCTION("""COMPUTED_VALUE"""),"Male")</f>
        <v>Male</v>
      </c>
      <c r="E391" s="1" t="str">
        <f ca="1">IFERROR(__xludf.DUMMYFUNCTION("""COMPUTED_VALUE"""),"My Parents")</f>
        <v>My Parents</v>
      </c>
      <c r="F391" s="1" t="str">
        <f ca="1">IFERROR(__xludf.DUMMYFUNCTION("""COMPUTED_VALUE"""),"Yes, I will earn and do that")</f>
        <v>Yes, I will earn and do that</v>
      </c>
      <c r="G391" s="1" t="str">
        <f ca="1">IFERROR(__xludf.DUMMYFUNCTION("""COMPUTED_VALUE"""),"This will be hard to do, but if it is the right company I would try")</f>
        <v>This will be hard to do, but if it is the right company I would try</v>
      </c>
      <c r="H391" s="1" t="str">
        <f ca="1">IFERROR(__xludf.DUMMYFUNCTION("""COMPUTED_VALUE"""),"No")</f>
        <v>No</v>
      </c>
      <c r="I391" s="1" t="str">
        <f ca="1">IFERROR(__xludf.DUMMYFUNCTION("""COMPUTED_VALUE"""),"Will NOT work for them")</f>
        <v>Will NOT work for them</v>
      </c>
      <c r="J391" s="1">
        <f ca="1">IFERROR(__xludf.DUMMYFUNCTION("""COMPUTED_VALUE"""),6)</f>
        <v>6</v>
      </c>
      <c r="K391" s="1" t="str">
        <f ca="1">IFERROR(__xludf.DUMMYFUNCTION("""COMPUTED_VALUE"""),"Hybrid Working Environment with more than 15 days a month at office")</f>
        <v>Hybrid Working Environment with more than 15 days a month at office</v>
      </c>
      <c r="L391" s="1" t="str">
        <f ca="1">IFERROR(__xludf.DUMMYFUNCTION("""COMPUTED_VALUE"""),"Employer who pushes your limits by enabling an learning environment, and rewards you at the end")</f>
        <v>Employer who pushes your limits by enabling an learning environment, and rewards you at the end</v>
      </c>
      <c r="M39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391"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391" s="1" t="str">
        <f ca="1">IFERROR(__xludf.DUMMYFUNCTION("""COMPUTED_VALUE"""),"Manager who explains what is expected, sets a goal and helps achieve it")</f>
        <v>Manager who explains what is expected, sets a goal and helps achieve it</v>
      </c>
      <c r="P391" s="1" t="str">
        <f ca="1">IFERROR(__xludf.DUMMYFUNCTION("""COMPUTED_VALUE"""),"Work with 2 to 3 people in my team, Work with 5 to 6 people in my team")</f>
        <v>Work with 2 to 3 people in my team, Work with 5 to 6 people in my team</v>
      </c>
      <c r="Q391" s="1"/>
    </row>
    <row r="392" spans="1:17" ht="13.2" x14ac:dyDescent="0.25">
      <c r="A392" s="2">
        <f ca="1">IFERROR(__xludf.DUMMYFUNCTION("""COMPUTED_VALUE"""),45020.9477240046)</f>
        <v>45020.947724004604</v>
      </c>
      <c r="B392" s="1" t="str">
        <f ca="1">IFERROR(__xludf.DUMMYFUNCTION("""COMPUTED_VALUE"""),"India")</f>
        <v>India</v>
      </c>
      <c r="C392" s="1">
        <f ca="1">IFERROR(__xludf.DUMMYFUNCTION("""COMPUTED_VALUE"""),335526)</f>
        <v>335526</v>
      </c>
      <c r="D392" s="3" t="str">
        <f ca="1">IFERROR(__xludf.DUMMYFUNCTION("""COMPUTED_VALUE"""),"Female")</f>
        <v>Female</v>
      </c>
      <c r="E392" s="1" t="str">
        <f ca="1">IFERROR(__xludf.DUMMYFUNCTION("""COMPUTED_VALUE"""),"People who have changed the world for better")</f>
        <v>People who have changed the world for better</v>
      </c>
      <c r="F392" s="1" t="str">
        <f ca="1">IFERROR(__xludf.DUMMYFUNCTION("""COMPUTED_VALUE"""),"Yes, I will earn and do that")</f>
        <v>Yes, I will earn and do that</v>
      </c>
      <c r="G392" s="1" t="str">
        <f ca="1">IFERROR(__xludf.DUMMYFUNCTION("""COMPUTED_VALUE"""),"This will be hard to do, but if it is the right company I would try")</f>
        <v>This will be hard to do, but if it is the right company I would try</v>
      </c>
      <c r="H392" s="1" t="str">
        <f ca="1">IFERROR(__xludf.DUMMYFUNCTION("""COMPUTED_VALUE"""),"No")</f>
        <v>No</v>
      </c>
      <c r="I392" s="1" t="str">
        <f ca="1">IFERROR(__xludf.DUMMYFUNCTION("""COMPUTED_VALUE"""),"Will NOT work for them")</f>
        <v>Will NOT work for them</v>
      </c>
      <c r="J392" s="1">
        <f ca="1">IFERROR(__xludf.DUMMYFUNCTION("""COMPUTED_VALUE"""),5)</f>
        <v>5</v>
      </c>
      <c r="K392" s="1" t="str">
        <f ca="1">IFERROR(__xludf.DUMMYFUNCTION("""COMPUTED_VALUE"""),"Fully Remote with Options to travel as and when needed")</f>
        <v>Fully Remote with Options to travel as and when needed</v>
      </c>
      <c r="L392" s="1" t="str">
        <f ca="1">IFERROR(__xludf.DUMMYFUNCTION("""COMPUTED_VALUE"""),"Employer who appreciates learning and enables that environment")</f>
        <v>Employer who appreciates learning and enables that environment</v>
      </c>
      <c r="M3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392" s="1" t="str">
        <f ca="1">IFERROR(__xludf.DUMMYFUNCTION("""COMPUTED_VALUE"""),"Manager who sets goal and helps me achieve it")</f>
        <v>Manager who sets goal and helps me achieve it</v>
      </c>
      <c r="P392" s="1" t="str">
        <f ca="1">IFERROR(__xludf.DUMMYFUNCTION("""COMPUTED_VALUE"""),"Work with 7 to 10 or more people in my team")</f>
        <v>Work with 7 to 10 or more people in my team</v>
      </c>
      <c r="Q392" s="1"/>
    </row>
    <row r="393" spans="1:17" ht="13.2" x14ac:dyDescent="0.25">
      <c r="A393" s="2">
        <f ca="1">IFERROR(__xludf.DUMMYFUNCTION("""COMPUTED_VALUE"""),45020.9511776388)</f>
        <v>45020.951177638803</v>
      </c>
      <c r="B393" s="1" t="str">
        <f ca="1">IFERROR(__xludf.DUMMYFUNCTION("""COMPUTED_VALUE"""),"India")</f>
        <v>India</v>
      </c>
      <c r="C393" s="1">
        <f ca="1">IFERROR(__xludf.DUMMYFUNCTION("""COMPUTED_VALUE"""),58000)</f>
        <v>58000</v>
      </c>
      <c r="D393" s="3" t="str">
        <f ca="1">IFERROR(__xludf.DUMMYFUNCTION("""COMPUTED_VALUE"""),"Female")</f>
        <v>Female</v>
      </c>
      <c r="E393" s="1" t="str">
        <f ca="1">IFERROR(__xludf.DUMMYFUNCTION("""COMPUTED_VALUE"""),"Influencers who had successful careers")</f>
        <v>Influencers who had successful careers</v>
      </c>
      <c r="F393" s="1" t="str">
        <f ca="1">IFERROR(__xludf.DUMMYFUNCTION("""COMPUTED_VALUE"""),"Yes, I will earn and do that")</f>
        <v>Yes, I will earn and do that</v>
      </c>
      <c r="G393" s="1" t="str">
        <f ca="1">IFERROR(__xludf.DUMMYFUNCTION("""COMPUTED_VALUE"""),"Will work for 3 years or more")</f>
        <v>Will work for 3 years or more</v>
      </c>
      <c r="H393" s="1" t="str">
        <f ca="1">IFERROR(__xludf.DUMMYFUNCTION("""COMPUTED_VALUE"""),"Yes")</f>
        <v>Yes</v>
      </c>
      <c r="I393" s="1" t="str">
        <f ca="1">IFERROR(__xludf.DUMMYFUNCTION("""COMPUTED_VALUE"""),"Will NOT work for them")</f>
        <v>Will NOT work for them</v>
      </c>
      <c r="J393" s="1">
        <f ca="1">IFERROR(__xludf.DUMMYFUNCTION("""COMPUTED_VALUE"""),5)</f>
        <v>5</v>
      </c>
      <c r="K393" s="1" t="str">
        <f ca="1">IFERROR(__xludf.DUMMYFUNCTION("""COMPUTED_VALUE"""),"Fully Remote with Options to travel as and when needed")</f>
        <v>Fully Remote with Options to travel as and when needed</v>
      </c>
      <c r="L393" s="1" t="str">
        <f ca="1">IFERROR(__xludf.DUMMYFUNCTION("""COMPUTED_VALUE"""),"Employer who rewards learning and enables that environment")</f>
        <v>Employer who rewards learning and enables that environment</v>
      </c>
      <c r="M3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393" s="1" t="str">
        <f ca="1">IFERROR(__xludf.DUMMYFUNCTION("""COMPUTED_VALUE"""),"Build and develop a Team, Work in a BPO setup for some well known client, Work as a freelancer and do my thing my way, Manufacturing / Oil and Gas/ Construction / Hard Physical Work related")</f>
        <v>Build and develop a Team, Work in a BPO setup for some well known client, Work as a freelancer and do my thing my way, Manufacturing / Oil and Gas/ Construction / Hard Physical Work related</v>
      </c>
      <c r="O393" s="1" t="str">
        <f ca="1">IFERROR(__xludf.DUMMYFUNCTION("""COMPUTED_VALUE"""),"Manager who explains what is expected, sets a goal and helps achieve it")</f>
        <v>Manager who explains what is expected, sets a goal and helps achieve it</v>
      </c>
      <c r="P393" s="1" t="str">
        <f ca="1">IFERROR(__xludf.DUMMYFUNCTION("""COMPUTED_VALUE"""),"Work with 7 to 10 or more people in my team")</f>
        <v>Work with 7 to 10 or more people in my team</v>
      </c>
      <c r="Q393" s="1"/>
    </row>
    <row r="394" spans="1:17" ht="13.2" x14ac:dyDescent="0.25">
      <c r="A394" s="2">
        <f ca="1">IFERROR(__xludf.DUMMYFUNCTION("""COMPUTED_VALUE"""),45021.0060633449)</f>
        <v>45021.006063344903</v>
      </c>
      <c r="B394" s="1" t="str">
        <f ca="1">IFERROR(__xludf.DUMMYFUNCTION("""COMPUTED_VALUE"""),"India")</f>
        <v>India</v>
      </c>
      <c r="C394" s="1">
        <f ca="1">IFERROR(__xludf.DUMMYFUNCTION("""COMPUTED_VALUE"""),400078)</f>
        <v>400078</v>
      </c>
      <c r="D394" s="3" t="str">
        <f ca="1">IFERROR(__xludf.DUMMYFUNCTION("""COMPUTED_VALUE"""),"Male")</f>
        <v>Male</v>
      </c>
      <c r="E394" s="1" t="str">
        <f ca="1">IFERROR(__xludf.DUMMYFUNCTION("""COMPUTED_VALUE"""),"People who have changed the world for better")</f>
        <v>People who have changed the world for better</v>
      </c>
      <c r="F394" s="1" t="str">
        <f ca="1">IFERROR(__xludf.DUMMYFUNCTION("""COMPUTED_VALUE"""),"Yes, I will earn and do that")</f>
        <v>Yes, I will earn and do that</v>
      </c>
      <c r="G394" s="1" t="str">
        <f ca="1">IFERROR(__xludf.DUMMYFUNCTION("""COMPUTED_VALUE"""),"No way")</f>
        <v>No way</v>
      </c>
      <c r="H394" s="1" t="str">
        <f ca="1">IFERROR(__xludf.DUMMYFUNCTION("""COMPUTED_VALUE"""),"Yes")</f>
        <v>Yes</v>
      </c>
      <c r="I394" s="1" t="str">
        <f ca="1">IFERROR(__xludf.DUMMYFUNCTION("""COMPUTED_VALUE"""),"Will NOT work for them")</f>
        <v>Will NOT work for them</v>
      </c>
      <c r="J394" s="1">
        <f ca="1">IFERROR(__xludf.DUMMYFUNCTION("""COMPUTED_VALUE"""),7)</f>
        <v>7</v>
      </c>
      <c r="K394" s="1" t="str">
        <f ca="1">IFERROR(__xludf.DUMMYFUNCTION("""COMPUTED_VALUE"""),"Hybrid Working Environment with less than 3 days a month at office")</f>
        <v>Hybrid Working Environment with less than 3 days a month at office</v>
      </c>
      <c r="L394" s="1" t="str">
        <f ca="1">IFERROR(__xludf.DUMMYFUNCTION("""COMPUTED_VALUE"""),"Employer who pushes your limits by enabling an learning environment, and rewards you at the end")</f>
        <v>Employer who pushes your limits by enabling an learning environment, and rewards you at the end</v>
      </c>
      <c r="M3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394" s="1" t="str">
        <f ca="1">IFERROR(__xludf.DUMMYFUNCTION("""COMPUTED_VALUE"""),"Build and develop a Team, Look deeply into Data and generate insights, Entrepreneur or Start Up, I Want to sell things/Sales")</f>
        <v>Build and develop a Team, Look deeply into Data and generate insights, Entrepreneur or Start Up, I Want to sell things/Sales</v>
      </c>
      <c r="O394" s="1" t="str">
        <f ca="1">IFERROR(__xludf.DUMMYFUNCTION("""COMPUTED_VALUE"""),"Manager who explains what is expected, sets a goal and helps achieve it")</f>
        <v>Manager who explains what is expected, sets a goal and helps achieve it</v>
      </c>
      <c r="P394" s="1" t="str">
        <f ca="1">IFERROR(__xludf.DUMMYFUNCTION("""COMPUTED_VALUE"""),"Work with more than 10 people in my team")</f>
        <v>Work with more than 10 people in my team</v>
      </c>
      <c r="Q394" s="1"/>
    </row>
    <row r="395" spans="1:17" ht="13.2" x14ac:dyDescent="0.25">
      <c r="A395" s="2">
        <f ca="1">IFERROR(__xludf.DUMMYFUNCTION("""COMPUTED_VALUE"""),45021.0087265046)</f>
        <v>45021.008726504602</v>
      </c>
      <c r="B395" s="1" t="str">
        <f ca="1">IFERROR(__xludf.DUMMYFUNCTION("""COMPUTED_VALUE"""),"India")</f>
        <v>India</v>
      </c>
      <c r="C395" s="1">
        <f ca="1">IFERROR(__xludf.DUMMYFUNCTION("""COMPUTED_VALUE"""),411028)</f>
        <v>411028</v>
      </c>
      <c r="D395" s="3" t="str">
        <f ca="1">IFERROR(__xludf.DUMMYFUNCTION("""COMPUTED_VALUE"""),"Male")</f>
        <v>Male</v>
      </c>
      <c r="E395" s="1" t="str">
        <f ca="1">IFERROR(__xludf.DUMMYFUNCTION("""COMPUTED_VALUE"""),"People who have changed the world for better")</f>
        <v>People who have changed the world for better</v>
      </c>
      <c r="F395" s="1" t="str">
        <f ca="1">IFERROR(__xludf.DUMMYFUNCTION("""COMPUTED_VALUE"""),"Yes, I will earn and do that")</f>
        <v>Yes, I will earn and do that</v>
      </c>
      <c r="G395" s="1" t="str">
        <f ca="1">IFERROR(__xludf.DUMMYFUNCTION("""COMPUTED_VALUE"""),"This will be hard to do, but if it is the right company I would try")</f>
        <v>This will be hard to do, but if it is the right company I would try</v>
      </c>
      <c r="H395" s="1" t="str">
        <f ca="1">IFERROR(__xludf.DUMMYFUNCTION("""COMPUTED_VALUE"""),"Yes")</f>
        <v>Yes</v>
      </c>
      <c r="I395" s="1" t="str">
        <f ca="1">IFERROR(__xludf.DUMMYFUNCTION("""COMPUTED_VALUE"""),"Will NOT work for them")</f>
        <v>Will NOT work for them</v>
      </c>
      <c r="J395" s="1">
        <f ca="1">IFERROR(__xludf.DUMMYFUNCTION("""COMPUTED_VALUE"""),7)</f>
        <v>7</v>
      </c>
      <c r="K395" s="1" t="str">
        <f ca="1">IFERROR(__xludf.DUMMYFUNCTION("""COMPUTED_VALUE"""),"Fully Remote with Options to travel as and when needed")</f>
        <v>Fully Remote with Options to travel as and when needed</v>
      </c>
      <c r="L395" s="1" t="str">
        <f ca="1">IFERROR(__xludf.DUMMYFUNCTION("""COMPUTED_VALUE"""),"Employer who pushes your limits by enabling an learning environment, and rewards you at the end")</f>
        <v>Employer who pushes your limits by enabling an learning environment, and rewards you at the end</v>
      </c>
      <c r="M395" s="1" t="str">
        <f ca="1">IFERROR(__xludf.DUMMYFUNCTION("""COMPUTED_VALUE"""),"Self Paced Learning Portals of the Company, Learning by observing others, Manager Teaching you")</f>
        <v>Self Paced Learning Portals of the Company, Learning by observing others, Manager Teaching you</v>
      </c>
      <c r="N395" s="1" t="str">
        <f ca="1">IFERROR(__xludf.DUMMYFUNCTION("""COMPUTED_VALUE"""),"Look deeply into Data and generate insights, Become a content Creator in some platform, Entrepreneur or Start Up, An Artificial Intelligence Specialist / Talking to Robots")</f>
        <v>Look deeply into Data and generate insights, Become a content Creator in some platform, Entrepreneur or Start Up, An Artificial Intelligence Specialist / Talking to Robots</v>
      </c>
      <c r="O395" s="1" t="str">
        <f ca="1">IFERROR(__xludf.DUMMYFUNCTION("""COMPUTED_VALUE"""),"Manager who explains what is expected, sets a goal and helps achieve it")</f>
        <v>Manager who explains what is expected, sets a goal and helps achieve it</v>
      </c>
      <c r="P395" s="1" t="str">
        <f ca="1">IFERROR(__xludf.DUMMYFUNCTION("""COMPUTED_VALUE"""),"Work with more than 10 people in my team")</f>
        <v>Work with more than 10 people in my team</v>
      </c>
      <c r="Q395" s="1"/>
    </row>
    <row r="396" spans="1:17" ht="13.2" x14ac:dyDescent="0.25">
      <c r="A396" s="2">
        <f ca="1">IFERROR(__xludf.DUMMYFUNCTION("""COMPUTED_VALUE"""),45021.0133855208)</f>
        <v>45021.013385520797</v>
      </c>
      <c r="B396" s="1" t="str">
        <f ca="1">IFERROR(__xludf.DUMMYFUNCTION("""COMPUTED_VALUE"""),"Canada")</f>
        <v>Canada</v>
      </c>
      <c r="C396" s="1">
        <f ca="1">IFERROR(__xludf.DUMMYFUNCTION("""COMPUTED_VALUE"""),132001)</f>
        <v>132001</v>
      </c>
      <c r="D396" s="3" t="str">
        <f ca="1">IFERROR(__xludf.DUMMYFUNCTION("""COMPUTED_VALUE"""),"Female")</f>
        <v>Female</v>
      </c>
      <c r="E396" s="1" t="str">
        <f ca="1">IFERROR(__xludf.DUMMYFUNCTION("""COMPUTED_VALUE"""),"People who have changed the world for better")</f>
        <v>People who have changed the world for better</v>
      </c>
      <c r="F396" s="1" t="str">
        <f ca="1">IFERROR(__xludf.DUMMYFUNCTION("""COMPUTED_VALUE"""),"Yes, I will earn and do that")</f>
        <v>Yes, I will earn and do that</v>
      </c>
      <c r="G396" s="1" t="str">
        <f ca="1">IFERROR(__xludf.DUMMYFUNCTION("""COMPUTED_VALUE"""),"This will be hard to do, but if it is the right company I would try")</f>
        <v>This will be hard to do, but if it is the right company I would try</v>
      </c>
      <c r="H396" s="1" t="str">
        <f ca="1">IFERROR(__xludf.DUMMYFUNCTION("""COMPUTED_VALUE"""),"No")</f>
        <v>No</v>
      </c>
      <c r="I396" s="1" t="str">
        <f ca="1">IFERROR(__xludf.DUMMYFUNCTION("""COMPUTED_VALUE"""),"Will NOT work for them")</f>
        <v>Will NOT work for them</v>
      </c>
      <c r="J396" s="1">
        <f ca="1">IFERROR(__xludf.DUMMYFUNCTION("""COMPUTED_VALUE"""),5)</f>
        <v>5</v>
      </c>
      <c r="K396" s="1" t="str">
        <f ca="1">IFERROR(__xludf.DUMMYFUNCTION("""COMPUTED_VALUE"""),"Fully Remote with Options to travel as and when needed")</f>
        <v>Fully Remote with Options to travel as and when needed</v>
      </c>
      <c r="L396" s="1" t="str">
        <f ca="1">IFERROR(__xludf.DUMMYFUNCTION("""COMPUTED_VALUE"""),"Employer who pushes your limits by enabling an learning environment, and rewards you at the end")</f>
        <v>Employer who pushes your limits by enabling an learning environment, and rewards you at the end</v>
      </c>
      <c r="M3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396"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396" s="1" t="str">
        <f ca="1">IFERROR(__xludf.DUMMYFUNCTION("""COMPUTED_VALUE"""),"Manager who explains what is expected, sets a goal and helps achieve it")</f>
        <v>Manager who explains what is expected, sets a goal and helps achieve it</v>
      </c>
      <c r="P396" s="1" t="str">
        <f ca="1">IFERROR(__xludf.DUMMYFUNCTION("""COMPUTED_VALUE"""),"Work with 5 to 6 people in my team")</f>
        <v>Work with 5 to 6 people in my team</v>
      </c>
      <c r="Q396" s="1"/>
    </row>
    <row r="397" spans="1:17" ht="13.2" x14ac:dyDescent="0.25">
      <c r="A397" s="2">
        <f ca="1">IFERROR(__xludf.DUMMYFUNCTION("""COMPUTED_VALUE"""),45021.021127037)</f>
        <v>45021.021127036998</v>
      </c>
      <c r="B397" s="1" t="str">
        <f ca="1">IFERROR(__xludf.DUMMYFUNCTION("""COMPUTED_VALUE"""),"India")</f>
        <v>India</v>
      </c>
      <c r="C397" s="1">
        <f ca="1">IFERROR(__xludf.DUMMYFUNCTION("""COMPUTED_VALUE"""),440002)</f>
        <v>440002</v>
      </c>
      <c r="D397" s="3" t="str">
        <f ca="1">IFERROR(__xludf.DUMMYFUNCTION("""COMPUTED_VALUE"""),"Male")</f>
        <v>Male</v>
      </c>
      <c r="E397" s="1" t="str">
        <f ca="1">IFERROR(__xludf.DUMMYFUNCTION("""COMPUTED_VALUE"""),"My Parents")</f>
        <v>My Parents</v>
      </c>
      <c r="F397" s="1" t="str">
        <f ca="1">IFERROR(__xludf.DUMMYFUNCTION("""COMPUTED_VALUE"""),"No, But if someone could bare the cost I will")</f>
        <v>No, But if someone could bare the cost I will</v>
      </c>
      <c r="G397" s="1" t="str">
        <f ca="1">IFERROR(__xludf.DUMMYFUNCTION("""COMPUTED_VALUE"""),"This will be hard to do, but if it is the right company I would try")</f>
        <v>This will be hard to do, but if it is the right company I would try</v>
      </c>
      <c r="H397" s="1" t="str">
        <f ca="1">IFERROR(__xludf.DUMMYFUNCTION("""COMPUTED_VALUE"""),"No")</f>
        <v>No</v>
      </c>
      <c r="I397" s="1" t="str">
        <f ca="1">IFERROR(__xludf.DUMMYFUNCTION("""COMPUTED_VALUE"""),"Will NOT work for them")</f>
        <v>Will NOT work for them</v>
      </c>
      <c r="J397" s="1">
        <f ca="1">IFERROR(__xludf.DUMMYFUNCTION("""COMPUTED_VALUE"""),4)</f>
        <v>4</v>
      </c>
      <c r="K397" s="1" t="str">
        <f ca="1">IFERROR(__xludf.DUMMYFUNCTION("""COMPUTED_VALUE"""),"Hybrid Working Environment with more than 15 days a month at office")</f>
        <v>Hybrid Working Environment with more than 15 days a month at office</v>
      </c>
      <c r="L397" s="1" t="str">
        <f ca="1">IFERROR(__xludf.DUMMYFUNCTION("""COMPUTED_VALUE"""),"Employer who rewards learning and enables that environment")</f>
        <v>Employer who rewards learning and enables that environment</v>
      </c>
      <c r="M397" s="1" t="str">
        <f ca="1">IFERROR(__xludf.DUMMYFUNCTION("""COMPUTED_VALUE"""),"Self Paced Learning Portals of the Company, Instructor or Expert Learning Programs, Manager Teaching you")</f>
        <v>Self Paced Learning Portals of the Company, Instructor or Expert Learning Programs, Manager Teaching you</v>
      </c>
      <c r="N397" s="1" t="str">
        <f ca="1">IFERROR(__xludf.DUMMYFUNCTION("""COMPUTED_VALUE"""),"Design and Develop amazing software, Work as a freelancer and do my thing my way, Entrepreneur or Start Up, An Artificial Intelligence Specialist / Talking to Robots")</f>
        <v>Design and Develop amazing software, Work as a freelancer and do my thing my way, Entrepreneur or Start Up, An Artificial Intelligence Specialist / Talking to Robots</v>
      </c>
      <c r="O397" s="1" t="str">
        <f ca="1">IFERROR(__xludf.DUMMYFUNCTION("""COMPUTED_VALUE"""),"Manager who sets goal and helps me achieve it")</f>
        <v>Manager who sets goal and helps me achieve it</v>
      </c>
      <c r="P397" s="1" t="str">
        <f ca="1">IFERROR(__xludf.DUMMYFUNCTION("""COMPUTED_VALUE"""),"Work with more than 10 people in my team")</f>
        <v>Work with more than 10 people in my team</v>
      </c>
      <c r="Q397" s="1"/>
    </row>
    <row r="398" spans="1:17" ht="13.2" x14ac:dyDescent="0.25">
      <c r="A398" s="2">
        <f ca="1">IFERROR(__xludf.DUMMYFUNCTION("""COMPUTED_VALUE"""),45021.0250229745)</f>
        <v>45021.0250229745</v>
      </c>
      <c r="B398" s="1" t="str">
        <f ca="1">IFERROR(__xludf.DUMMYFUNCTION("""COMPUTED_VALUE"""),"India")</f>
        <v>India</v>
      </c>
      <c r="C398" s="1">
        <f ca="1">IFERROR(__xludf.DUMMYFUNCTION("""COMPUTED_VALUE"""),624005)</f>
        <v>624005</v>
      </c>
      <c r="D398" s="3" t="str">
        <f ca="1">IFERROR(__xludf.DUMMYFUNCTION("""COMPUTED_VALUE"""),"Female")</f>
        <v>Female</v>
      </c>
      <c r="E398" s="1" t="str">
        <f ca="1">IFERROR(__xludf.DUMMYFUNCTION("""COMPUTED_VALUE"""),"People who have changed the world for better")</f>
        <v>People who have changed the world for better</v>
      </c>
      <c r="F398" s="1" t="str">
        <f ca="1">IFERROR(__xludf.DUMMYFUNCTION("""COMPUTED_VALUE"""),"No I would not be pursuing Higher Education outside of India")</f>
        <v>No I would not be pursuing Higher Education outside of India</v>
      </c>
      <c r="G398" s="1" t="str">
        <f ca="1">IFERROR(__xludf.DUMMYFUNCTION("""COMPUTED_VALUE"""),"Will work for 3 years or more")</f>
        <v>Will work for 3 years or more</v>
      </c>
      <c r="H398" s="1" t="str">
        <f ca="1">IFERROR(__xludf.DUMMYFUNCTION("""COMPUTED_VALUE"""),"No")</f>
        <v>No</v>
      </c>
      <c r="I398" s="1" t="str">
        <f ca="1">IFERROR(__xludf.DUMMYFUNCTION("""COMPUTED_VALUE"""),"Will NOT work for them")</f>
        <v>Will NOT work for them</v>
      </c>
      <c r="J398" s="1">
        <f ca="1">IFERROR(__xludf.DUMMYFUNCTION("""COMPUTED_VALUE"""),1)</f>
        <v>1</v>
      </c>
      <c r="K398" s="1" t="str">
        <f ca="1">IFERROR(__xludf.DUMMYFUNCTION("""COMPUTED_VALUE"""),"Hybrid Working Environment with more than 15 days a month at office")</f>
        <v>Hybrid Working Environment with more than 15 days a month at office</v>
      </c>
      <c r="L398" s="1" t="str">
        <f ca="1">IFERROR(__xludf.DUMMYFUNCTION("""COMPUTED_VALUE"""),"Employer who appreciates learning and enables that environment")</f>
        <v>Employer who appreciates learning and enables that environment</v>
      </c>
      <c r="M398" s="1" t="str">
        <f ca="1">IFERROR(__xludf.DUMMYFUNCTION("""COMPUTED_VALUE"""),"Instructor or Expert Learning Programs, Self Purchased Course from External Platforms, Manager Teaching you")</f>
        <v>Instructor or Expert Learning Programs, Self Purchased Course from External Platforms, Manager Teaching you</v>
      </c>
      <c r="N398"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398" s="1" t="str">
        <f ca="1">IFERROR(__xludf.DUMMYFUNCTION("""COMPUTED_VALUE"""),"Manager who explains what is expected, sets a goal and helps achieve it")</f>
        <v>Manager who explains what is expected, sets a goal and helps achieve it</v>
      </c>
      <c r="P398" s="1" t="str">
        <f ca="1">IFERROR(__xludf.DUMMYFUNCTION("""COMPUTED_VALUE"""),"Work with 5 to 6 people in my team")</f>
        <v>Work with 5 to 6 people in my team</v>
      </c>
      <c r="Q398" s="1"/>
    </row>
    <row r="399" spans="1:17" ht="13.2" x14ac:dyDescent="0.25">
      <c r="A399" s="2">
        <f ca="1">IFERROR(__xludf.DUMMYFUNCTION("""COMPUTED_VALUE"""),45021.0332639467)</f>
        <v>45021.033263946701</v>
      </c>
      <c r="B399" s="1" t="str">
        <f ca="1">IFERROR(__xludf.DUMMYFUNCTION("""COMPUTED_VALUE"""),"India")</f>
        <v>India</v>
      </c>
      <c r="C399" s="1">
        <f ca="1">IFERROR(__xludf.DUMMYFUNCTION("""COMPUTED_VALUE"""),382424)</f>
        <v>382424</v>
      </c>
      <c r="D399" s="3" t="str">
        <f ca="1">IFERROR(__xludf.DUMMYFUNCTION("""COMPUTED_VALUE"""),"Male")</f>
        <v>Male</v>
      </c>
      <c r="E399" s="1" t="str">
        <f ca="1">IFERROR(__xludf.DUMMYFUNCTION("""COMPUTED_VALUE"""),"People from my circle, but not family members")</f>
        <v>People from my circle, but not family members</v>
      </c>
      <c r="F399" s="1" t="str">
        <f ca="1">IFERROR(__xludf.DUMMYFUNCTION("""COMPUTED_VALUE"""),"No I would not be pursuing Higher Education outside of India")</f>
        <v>No I would not be pursuing Higher Education outside of India</v>
      </c>
      <c r="G399" s="1" t="str">
        <f ca="1">IFERROR(__xludf.DUMMYFUNCTION("""COMPUTED_VALUE"""),"Will work for 3 years or more")</f>
        <v>Will work for 3 years or more</v>
      </c>
      <c r="H399" s="1" t="str">
        <f ca="1">IFERROR(__xludf.DUMMYFUNCTION("""COMPUTED_VALUE"""),"No")</f>
        <v>No</v>
      </c>
      <c r="I399" s="1" t="str">
        <f ca="1">IFERROR(__xludf.DUMMYFUNCTION("""COMPUTED_VALUE"""),"Will NOT work for them")</f>
        <v>Will NOT work for them</v>
      </c>
      <c r="J399" s="1">
        <f ca="1">IFERROR(__xludf.DUMMYFUNCTION("""COMPUTED_VALUE"""),6)</f>
        <v>6</v>
      </c>
      <c r="K399" s="1" t="str">
        <f ca="1">IFERROR(__xludf.DUMMYFUNCTION("""COMPUTED_VALUE"""),"Fully Remote with Options to travel as and when needed")</f>
        <v>Fully Remote with Options to travel as and when needed</v>
      </c>
      <c r="L399" s="1" t="str">
        <f ca="1">IFERROR(__xludf.DUMMYFUNCTION("""COMPUTED_VALUE"""),"Employer who pushes your limits by enabling an learning environment, and rewards you at the end")</f>
        <v>Employer who pushes your limits by enabling an learning environment, and rewards you at the end</v>
      </c>
      <c r="M39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399" s="1" t="str">
        <f ca="1">IFERROR(__xludf.DUMMYFUNCTION("""COMPUTED_VALUE"""),"Manager who sets unrealistic targets")</f>
        <v>Manager who sets unrealistic targets</v>
      </c>
      <c r="P399" s="1" t="str">
        <f ca="1">IFERROR(__xludf.DUMMYFUNCTION("""COMPUTED_VALUE"""),"Work with 5 to 6 people in my team")</f>
        <v>Work with 5 to 6 people in my team</v>
      </c>
      <c r="Q399" s="1"/>
    </row>
    <row r="400" spans="1:17" ht="13.2" x14ac:dyDescent="0.25">
      <c r="A400" s="2">
        <f ca="1">IFERROR(__xludf.DUMMYFUNCTION("""COMPUTED_VALUE"""),45021.0336456597)</f>
        <v>45021.0336456597</v>
      </c>
      <c r="B400" s="1" t="str">
        <f ca="1">IFERROR(__xludf.DUMMYFUNCTION("""COMPUTED_VALUE"""),"Canada")</f>
        <v>Canada</v>
      </c>
      <c r="C400" s="1">
        <f ca="1">IFERROR(__xludf.DUMMYFUNCTION("""COMPUTED_VALUE"""),226016)</f>
        <v>226016</v>
      </c>
      <c r="D400" s="3" t="str">
        <f ca="1">IFERROR(__xludf.DUMMYFUNCTION("""COMPUTED_VALUE"""),"Female")</f>
        <v>Female</v>
      </c>
      <c r="E400" s="1" t="str">
        <f ca="1">IFERROR(__xludf.DUMMYFUNCTION("""COMPUTED_VALUE"""),"People from my circle, but not family members")</f>
        <v>People from my circle, but not family members</v>
      </c>
      <c r="F400" s="1" t="str">
        <f ca="1">IFERROR(__xludf.DUMMYFUNCTION("""COMPUTED_VALUE"""),"No, But if someone could bare the cost I will")</f>
        <v>No, But if someone could bare the cost I will</v>
      </c>
      <c r="G400" s="1" t="str">
        <f ca="1">IFERROR(__xludf.DUMMYFUNCTION("""COMPUTED_VALUE"""),"Will work for 3 years or more")</f>
        <v>Will work for 3 years or more</v>
      </c>
      <c r="H400" s="1" t="str">
        <f ca="1">IFERROR(__xludf.DUMMYFUNCTION("""COMPUTED_VALUE"""),"No")</f>
        <v>No</v>
      </c>
      <c r="I400" s="1" t="str">
        <f ca="1">IFERROR(__xludf.DUMMYFUNCTION("""COMPUTED_VALUE"""),"Will NOT work for them")</f>
        <v>Will NOT work for them</v>
      </c>
      <c r="J400" s="1">
        <f ca="1">IFERROR(__xludf.DUMMYFUNCTION("""COMPUTED_VALUE"""),8)</f>
        <v>8</v>
      </c>
      <c r="K400" s="1" t="str">
        <f ca="1">IFERROR(__xludf.DUMMYFUNCTION("""COMPUTED_VALUE"""),"Hybrid Working Environment with less than 3 days a month at office")</f>
        <v>Hybrid Working Environment with less than 3 days a month at office</v>
      </c>
      <c r="L400" s="1" t="str">
        <f ca="1">IFERROR(__xludf.DUMMYFUNCTION("""COMPUTED_VALUE"""),"Employer who appreciates learning and enables that environment")</f>
        <v>Employer who appreciates learning and enables that environment</v>
      </c>
      <c r="M4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00" s="1" t="str">
        <f ca="1">IFERROR(__xludf.DUMMYFUNCTION("""COMPUTED_VALUE"""),"Manager who sets goal and helps me achieve it")</f>
        <v>Manager who sets goal and helps me achieve it</v>
      </c>
      <c r="P400" s="1" t="str">
        <f ca="1">IFERROR(__xludf.DUMMYFUNCTION("""COMPUTED_VALUE"""),"Work with 2 to 3 people in my team")</f>
        <v>Work with 2 to 3 people in my team</v>
      </c>
      <c r="Q400" s="1"/>
    </row>
    <row r="401" spans="1:17" ht="13.2" x14ac:dyDescent="0.25">
      <c r="A401" s="2">
        <f ca="1">IFERROR(__xludf.DUMMYFUNCTION("""COMPUTED_VALUE"""),45021.0352989351)</f>
        <v>45021.035298935101</v>
      </c>
      <c r="B401" s="1" t="str">
        <f ca="1">IFERROR(__xludf.DUMMYFUNCTION("""COMPUTED_VALUE"""),"India")</f>
        <v>India</v>
      </c>
      <c r="C401" s="1">
        <f ca="1">IFERROR(__xludf.DUMMYFUNCTION("""COMPUTED_VALUE"""),110077)</f>
        <v>110077</v>
      </c>
      <c r="D401" s="3" t="str">
        <f ca="1">IFERROR(__xludf.DUMMYFUNCTION("""COMPUTED_VALUE"""),"Male")</f>
        <v>Male</v>
      </c>
      <c r="E401" s="1" t="str">
        <f ca="1">IFERROR(__xludf.DUMMYFUNCTION("""COMPUTED_VALUE"""),"People who have changed the world for better")</f>
        <v>People who have changed the world for better</v>
      </c>
      <c r="F401" s="1" t="str">
        <f ca="1">IFERROR(__xludf.DUMMYFUNCTION("""COMPUTED_VALUE"""),"No I would not be pursuing Higher Education outside of India")</f>
        <v>No I would not be pursuing Higher Education outside of India</v>
      </c>
      <c r="G401" s="1" t="str">
        <f ca="1">IFERROR(__xludf.DUMMYFUNCTION("""COMPUTED_VALUE"""),"This will be hard to do, but if it is the right company I would try")</f>
        <v>This will be hard to do, but if it is the right company I would try</v>
      </c>
      <c r="H401" s="1" t="str">
        <f ca="1">IFERROR(__xludf.DUMMYFUNCTION("""COMPUTED_VALUE"""),"No")</f>
        <v>No</v>
      </c>
      <c r="I401" s="1" t="str">
        <f ca="1">IFERROR(__xludf.DUMMYFUNCTION("""COMPUTED_VALUE"""),"Will NOT work for them")</f>
        <v>Will NOT work for them</v>
      </c>
      <c r="J401" s="1">
        <f ca="1">IFERROR(__xludf.DUMMYFUNCTION("""COMPUTED_VALUE"""),5)</f>
        <v>5</v>
      </c>
      <c r="K401" s="1" t="str">
        <f ca="1">IFERROR(__xludf.DUMMYFUNCTION("""COMPUTED_VALUE"""),"Hybrid Working Environment with more than 15 days a month at office")</f>
        <v>Hybrid Working Environment with more than 15 days a month at office</v>
      </c>
      <c r="L401" s="1" t="str">
        <f ca="1">IFERROR(__xludf.DUMMYFUNCTION("""COMPUTED_VALUE"""),"Employer who pushes your limits by enabling an learning environment, and rewards you at the end")</f>
        <v>Employer who pushes your limits by enabling an learning environment, and rewards you at the end</v>
      </c>
      <c r="M40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0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401" s="1" t="str">
        <f ca="1">IFERROR(__xludf.DUMMYFUNCTION("""COMPUTED_VALUE"""),"Manager who explains what is expected, sets a goal and helps achieve it")</f>
        <v>Manager who explains what is expected, sets a goal and helps achieve it</v>
      </c>
      <c r="P401" s="1" t="str">
        <f ca="1">IFERROR(__xludf.DUMMYFUNCTION("""COMPUTED_VALUE"""),"Work alone, Work with 5 to 6 people in my team")</f>
        <v>Work alone, Work with 5 to 6 people in my team</v>
      </c>
      <c r="Q401" s="1"/>
    </row>
    <row r="402" spans="1:17" ht="13.2" x14ac:dyDescent="0.25">
      <c r="A402" s="2">
        <f ca="1">IFERROR(__xludf.DUMMYFUNCTION("""COMPUTED_VALUE"""),45021.042155324)</f>
        <v>45021.042155324001</v>
      </c>
      <c r="B402" s="1" t="str">
        <f ca="1">IFERROR(__xludf.DUMMYFUNCTION("""COMPUTED_VALUE"""),"India")</f>
        <v>India</v>
      </c>
      <c r="C402" s="1">
        <f ca="1">IFERROR(__xludf.DUMMYFUNCTION("""COMPUTED_VALUE"""),442902)</f>
        <v>442902</v>
      </c>
      <c r="D402" s="3" t="str">
        <f ca="1">IFERROR(__xludf.DUMMYFUNCTION("""COMPUTED_VALUE"""),"Male")</f>
        <v>Male</v>
      </c>
      <c r="E402" s="1" t="str">
        <f ca="1">IFERROR(__xludf.DUMMYFUNCTION("""COMPUTED_VALUE"""),"Influencers who had successful careers")</f>
        <v>Influencers who had successful careers</v>
      </c>
      <c r="F402" s="1" t="str">
        <f ca="1">IFERROR(__xludf.DUMMYFUNCTION("""COMPUTED_VALUE"""),"Yes, I will earn and do that")</f>
        <v>Yes, I will earn and do that</v>
      </c>
      <c r="G402" s="1" t="str">
        <f ca="1">IFERROR(__xludf.DUMMYFUNCTION("""COMPUTED_VALUE"""),"This will be hard to do, but if it is the right company I would try")</f>
        <v>This will be hard to do, but if it is the right company I would try</v>
      </c>
      <c r="H402" s="1" t="str">
        <f ca="1">IFERROR(__xludf.DUMMYFUNCTION("""COMPUTED_VALUE"""),"No")</f>
        <v>No</v>
      </c>
      <c r="I402" s="1" t="str">
        <f ca="1">IFERROR(__xludf.DUMMYFUNCTION("""COMPUTED_VALUE"""),"Will NOT work for them")</f>
        <v>Will NOT work for them</v>
      </c>
      <c r="J402" s="1">
        <f ca="1">IFERROR(__xludf.DUMMYFUNCTION("""COMPUTED_VALUE"""),5)</f>
        <v>5</v>
      </c>
      <c r="K402" s="1" t="str">
        <f ca="1">IFERROR(__xludf.DUMMYFUNCTION("""COMPUTED_VALUE"""),"Hybrid Working Environment with more than 15 days a month at office")</f>
        <v>Hybrid Working Environment with more than 15 days a month at office</v>
      </c>
      <c r="L402" s="1" t="str">
        <f ca="1">IFERROR(__xludf.DUMMYFUNCTION("""COMPUTED_VALUE"""),"Employer who pushes your limits by enabling an learning environment, and rewards you at the end")</f>
        <v>Employer who pushes your limits by enabling an learning environment, and rewards you at the end</v>
      </c>
      <c r="M402" s="1" t="str">
        <f ca="1">IFERROR(__xludf.DUMMYFUNCTION("""COMPUTED_VALUE"""),"Self Paced Learning Portals of the Company, Instructor or Expert Learning Programs, Manager Teaching you")</f>
        <v>Self Paced Learning Portals of the Company, Instructor or Expert Learning Programs, Manager Teaching you</v>
      </c>
      <c r="N40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402" s="1" t="str">
        <f ca="1">IFERROR(__xludf.DUMMYFUNCTION("""COMPUTED_VALUE"""),"Manager who explains what is expected, sets a goal and helps achieve it")</f>
        <v>Manager who explains what is expected, sets a goal and helps achieve it</v>
      </c>
      <c r="P402"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402" s="1"/>
    </row>
    <row r="403" spans="1:17" ht="13.2" x14ac:dyDescent="0.25">
      <c r="A403" s="2">
        <f ca="1">IFERROR(__xludf.DUMMYFUNCTION("""COMPUTED_VALUE"""),45021.0478929976)</f>
        <v>45021.047892997602</v>
      </c>
      <c r="B403" s="1" t="str">
        <f ca="1">IFERROR(__xludf.DUMMYFUNCTION("""COMPUTED_VALUE"""),"India")</f>
        <v>India</v>
      </c>
      <c r="C403" s="1">
        <f ca="1">IFERROR(__xludf.DUMMYFUNCTION("""COMPUTED_VALUE"""),530032)</f>
        <v>530032</v>
      </c>
      <c r="D403" s="3" t="str">
        <f ca="1">IFERROR(__xludf.DUMMYFUNCTION("""COMPUTED_VALUE"""),"Male")</f>
        <v>Male</v>
      </c>
      <c r="E403" s="1" t="str">
        <f ca="1">IFERROR(__xludf.DUMMYFUNCTION("""COMPUTED_VALUE"""),"People from my circle, but not family members")</f>
        <v>People from my circle, but not family members</v>
      </c>
      <c r="F403" s="1" t="str">
        <f ca="1">IFERROR(__xludf.DUMMYFUNCTION("""COMPUTED_VALUE"""),"No I would not be pursuing Higher Education outside of India")</f>
        <v>No I would not be pursuing Higher Education outside of India</v>
      </c>
      <c r="G403" s="1" t="str">
        <f ca="1">IFERROR(__xludf.DUMMYFUNCTION("""COMPUTED_VALUE"""),"This will be hard to do, but if it is the right company I would try")</f>
        <v>This will be hard to do, but if it is the right company I would try</v>
      </c>
      <c r="H403" s="1" t="str">
        <f ca="1">IFERROR(__xludf.DUMMYFUNCTION("""COMPUTED_VALUE"""),"No")</f>
        <v>No</v>
      </c>
      <c r="I403" s="1" t="str">
        <f ca="1">IFERROR(__xludf.DUMMYFUNCTION("""COMPUTED_VALUE"""),"Will work for them")</f>
        <v>Will work for them</v>
      </c>
      <c r="J403" s="1">
        <f ca="1">IFERROR(__xludf.DUMMYFUNCTION("""COMPUTED_VALUE"""),8)</f>
        <v>8</v>
      </c>
      <c r="K403" s="1" t="str">
        <f ca="1">IFERROR(__xludf.DUMMYFUNCTION("""COMPUTED_VALUE"""),"Fully Remote with Options to travel as and when needed")</f>
        <v>Fully Remote with Options to travel as and when needed</v>
      </c>
      <c r="L403" s="1" t="str">
        <f ca="1">IFERROR(__xludf.DUMMYFUNCTION("""COMPUTED_VALUE"""),"Employer who rewards learning and enables that environment")</f>
        <v>Employer who rewards learning and enables that environment</v>
      </c>
      <c r="M40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4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3" s="1" t="str">
        <f ca="1">IFERROR(__xludf.DUMMYFUNCTION("""COMPUTED_VALUE"""),"Manager who clearly describes what she/he needs")</f>
        <v>Manager who clearly describes what she/he needs</v>
      </c>
      <c r="P403" s="1" t="str">
        <f ca="1">IFERROR(__xludf.DUMMYFUNCTION("""COMPUTED_VALUE"""),"Work alone, Work with 2 to 3 people in my team")</f>
        <v>Work alone, Work with 2 to 3 people in my team</v>
      </c>
      <c r="Q403" s="1"/>
    </row>
    <row r="404" spans="1:17" ht="13.2" x14ac:dyDescent="0.25">
      <c r="A404" s="2">
        <f ca="1">IFERROR(__xludf.DUMMYFUNCTION("""COMPUTED_VALUE"""),45021.0736379282)</f>
        <v>45021.073637928203</v>
      </c>
      <c r="B404" s="1" t="str">
        <f ca="1">IFERROR(__xludf.DUMMYFUNCTION("""COMPUTED_VALUE"""),"India")</f>
        <v>India</v>
      </c>
      <c r="C404" s="1">
        <f ca="1">IFERROR(__xludf.DUMMYFUNCTION("""COMPUTED_VALUE"""),412207)</f>
        <v>412207</v>
      </c>
      <c r="D404" s="3" t="str">
        <f ca="1">IFERROR(__xludf.DUMMYFUNCTION("""COMPUTED_VALUE"""),"Male")</f>
        <v>Male</v>
      </c>
      <c r="E404" s="1" t="str">
        <f ca="1">IFERROR(__xludf.DUMMYFUNCTION("""COMPUTED_VALUE"""),"People who have changed the world for better")</f>
        <v>People who have changed the world for better</v>
      </c>
      <c r="F404" s="1" t="str">
        <f ca="1">IFERROR(__xludf.DUMMYFUNCTION("""COMPUTED_VALUE"""),"No I would not be pursuing Higher Education outside of India")</f>
        <v>No I would not be pursuing Higher Education outside of India</v>
      </c>
      <c r="G404" s="1" t="str">
        <f ca="1">IFERROR(__xludf.DUMMYFUNCTION("""COMPUTED_VALUE"""),"This will be hard to do, but if it is the right company I would try")</f>
        <v>This will be hard to do, but if it is the right company I would try</v>
      </c>
      <c r="H404" s="1" t="str">
        <f ca="1">IFERROR(__xludf.DUMMYFUNCTION("""COMPUTED_VALUE"""),"Yes")</f>
        <v>Yes</v>
      </c>
      <c r="I404" s="1" t="str">
        <f ca="1">IFERROR(__xludf.DUMMYFUNCTION("""COMPUTED_VALUE"""),"Will NOT work for them")</f>
        <v>Will NOT work for them</v>
      </c>
      <c r="J404" s="1">
        <f ca="1">IFERROR(__xludf.DUMMYFUNCTION("""COMPUTED_VALUE"""),4)</f>
        <v>4</v>
      </c>
      <c r="K404" s="1" t="str">
        <f ca="1">IFERROR(__xludf.DUMMYFUNCTION("""COMPUTED_VALUE"""),"Every Day Office Environment")</f>
        <v>Every Day Office Environment</v>
      </c>
      <c r="L404" s="1" t="str">
        <f ca="1">IFERROR(__xludf.DUMMYFUNCTION("""COMPUTED_VALUE"""),"Employer who appreciates learning and enables that environment")</f>
        <v>Employer who appreciates learning and enables that environment</v>
      </c>
      <c r="M40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0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404" s="1" t="str">
        <f ca="1">IFERROR(__xludf.DUMMYFUNCTION("""COMPUTED_VALUE"""),"Manager who explains what is expected, sets a goal and helps achieve it")</f>
        <v>Manager who explains what is expected, sets a goal and helps achieve it</v>
      </c>
      <c r="P404" s="1" t="str">
        <f ca="1">IFERROR(__xludf.DUMMYFUNCTION("""COMPUTED_VALUE"""),"Work with 5 to 6 people in my team")</f>
        <v>Work with 5 to 6 people in my team</v>
      </c>
      <c r="Q404" s="1"/>
    </row>
    <row r="405" spans="1:17" ht="13.2" x14ac:dyDescent="0.25">
      <c r="A405" s="2">
        <f ca="1">IFERROR(__xludf.DUMMYFUNCTION("""COMPUTED_VALUE"""),45021.3045107754)</f>
        <v>45021.304510775401</v>
      </c>
      <c r="B405" s="1" t="str">
        <f ca="1">IFERROR(__xludf.DUMMYFUNCTION("""COMPUTED_VALUE"""),"India")</f>
        <v>India</v>
      </c>
      <c r="C405" s="1">
        <f ca="1">IFERROR(__xludf.DUMMYFUNCTION("""COMPUTED_VALUE"""),110059)</f>
        <v>110059</v>
      </c>
      <c r="D405" s="3" t="str">
        <f ca="1">IFERROR(__xludf.DUMMYFUNCTION("""COMPUTED_VALUE"""),"Male")</f>
        <v>Male</v>
      </c>
      <c r="E405" s="1" t="str">
        <f ca="1">IFERROR(__xludf.DUMMYFUNCTION("""COMPUTED_VALUE"""),"My Parents")</f>
        <v>My Parents</v>
      </c>
      <c r="F405" s="1" t="str">
        <f ca="1">IFERROR(__xludf.DUMMYFUNCTION("""COMPUTED_VALUE"""),"Yes, I will earn and do that")</f>
        <v>Yes, I will earn and do that</v>
      </c>
      <c r="G405" s="1" t="str">
        <f ca="1">IFERROR(__xludf.DUMMYFUNCTION("""COMPUTED_VALUE"""),"This will be hard to do, but if it is the right company I would try")</f>
        <v>This will be hard to do, but if it is the right company I would try</v>
      </c>
      <c r="H405" s="1" t="str">
        <f ca="1">IFERROR(__xludf.DUMMYFUNCTION("""COMPUTED_VALUE"""),"No")</f>
        <v>No</v>
      </c>
      <c r="I405" s="1" t="str">
        <f ca="1">IFERROR(__xludf.DUMMYFUNCTION("""COMPUTED_VALUE"""),"Will NOT work for them")</f>
        <v>Will NOT work for them</v>
      </c>
      <c r="J405" s="1">
        <f ca="1">IFERROR(__xludf.DUMMYFUNCTION("""COMPUTED_VALUE"""),8)</f>
        <v>8</v>
      </c>
      <c r="K405" s="1" t="str">
        <f ca="1">IFERROR(__xludf.DUMMYFUNCTION("""COMPUTED_VALUE"""),"Hybrid Working Environment with more than 15 days a month at office")</f>
        <v>Hybrid Working Environment with more than 15 days a month at office</v>
      </c>
      <c r="L405" s="1" t="str">
        <f ca="1">IFERROR(__xludf.DUMMYFUNCTION("""COMPUTED_VALUE"""),"Employer who appreciates learning and enables that environment")</f>
        <v>Employer who appreciates learning and enables that environment</v>
      </c>
      <c r="M40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05"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05" s="1" t="str">
        <f ca="1">IFERROR(__xludf.DUMMYFUNCTION("""COMPUTED_VALUE"""),"Manager who sets goal and helps me achieve it")</f>
        <v>Manager who sets goal and helps me achieve it</v>
      </c>
      <c r="P405" s="1" t="str">
        <f ca="1">IFERROR(__xludf.DUMMYFUNCTION("""COMPUTED_VALUE"""),"Work with 7 to 10 or more people in my team")</f>
        <v>Work with 7 to 10 or more people in my team</v>
      </c>
      <c r="Q405" s="1"/>
    </row>
    <row r="406" spans="1:17" ht="13.2" x14ac:dyDescent="0.25">
      <c r="A406" s="2">
        <f ca="1">IFERROR(__xludf.DUMMYFUNCTION("""COMPUTED_VALUE"""),45021.3107257523)</f>
        <v>45021.310725752301</v>
      </c>
      <c r="B406" s="1" t="str">
        <f ca="1">IFERROR(__xludf.DUMMYFUNCTION("""COMPUTED_VALUE"""),"India")</f>
        <v>India</v>
      </c>
      <c r="C406" s="1">
        <f ca="1">IFERROR(__xludf.DUMMYFUNCTION("""COMPUTED_VALUE"""),627002)</f>
        <v>627002</v>
      </c>
      <c r="D406" s="3" t="str">
        <f ca="1">IFERROR(__xludf.DUMMYFUNCTION("""COMPUTED_VALUE"""),"Male")</f>
        <v>Male</v>
      </c>
      <c r="E406" s="1" t="str">
        <f ca="1">IFERROR(__xludf.DUMMYFUNCTION("""COMPUTED_VALUE"""),"My Parents")</f>
        <v>My Parents</v>
      </c>
      <c r="F406" s="1" t="str">
        <f ca="1">IFERROR(__xludf.DUMMYFUNCTION("""COMPUTED_VALUE"""),"No, But if someone could bare the cost I will")</f>
        <v>No, But if someone could bare the cost I will</v>
      </c>
      <c r="G406" s="1" t="str">
        <f ca="1">IFERROR(__xludf.DUMMYFUNCTION("""COMPUTED_VALUE"""),"Will work for 3 years or more")</f>
        <v>Will work for 3 years or more</v>
      </c>
      <c r="H406" s="1" t="str">
        <f ca="1">IFERROR(__xludf.DUMMYFUNCTION("""COMPUTED_VALUE"""),"No")</f>
        <v>No</v>
      </c>
      <c r="I406" s="1" t="str">
        <f ca="1">IFERROR(__xludf.DUMMYFUNCTION("""COMPUTED_VALUE"""),"Will NOT work for them")</f>
        <v>Will NOT work for them</v>
      </c>
      <c r="J406" s="1">
        <f ca="1">IFERROR(__xludf.DUMMYFUNCTION("""COMPUTED_VALUE"""),6)</f>
        <v>6</v>
      </c>
      <c r="K406" s="1" t="str">
        <f ca="1">IFERROR(__xludf.DUMMYFUNCTION("""COMPUTED_VALUE"""),"Hybrid Working Environment with more than 15 days a month at office")</f>
        <v>Hybrid Working Environment with more than 15 days a month at office</v>
      </c>
      <c r="L406" s="1" t="str">
        <f ca="1">IFERROR(__xludf.DUMMYFUNCTION("""COMPUTED_VALUE"""),"Employer who pushes your limits by enabling an learning environment, and rewards you at the end")</f>
        <v>Employer who pushes your limits by enabling an learning environment, and rewards you at the end</v>
      </c>
      <c r="M4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6" s="1" t="str">
        <f ca="1">IFERROR(__xludf.DUMMYFUNCTION("""COMPUTED_VALUE"""),"Manager who explains what is expected, sets a goal and helps achieve it")</f>
        <v>Manager who explains what is expected, sets a goal and helps achieve it</v>
      </c>
      <c r="P406" s="1" t="str">
        <f ca="1">IFERROR(__xludf.DUMMYFUNCTION("""COMPUTED_VALUE"""),"Work with 5 to 6 people in my team")</f>
        <v>Work with 5 to 6 people in my team</v>
      </c>
      <c r="Q406" s="1"/>
    </row>
    <row r="407" spans="1:17" ht="13.2" x14ac:dyDescent="0.25">
      <c r="A407" s="2">
        <f ca="1">IFERROR(__xludf.DUMMYFUNCTION("""COMPUTED_VALUE"""),45021.3176421643)</f>
        <v>45021.3176421643</v>
      </c>
      <c r="B407" s="1" t="str">
        <f ca="1">IFERROR(__xludf.DUMMYFUNCTION("""COMPUTED_VALUE"""),"India")</f>
        <v>India</v>
      </c>
      <c r="C407" s="1">
        <f ca="1">IFERROR(__xludf.DUMMYFUNCTION("""COMPUTED_VALUE"""),250001)</f>
        <v>250001</v>
      </c>
      <c r="D407" s="3" t="str">
        <f ca="1">IFERROR(__xludf.DUMMYFUNCTION("""COMPUTED_VALUE"""),"Male")</f>
        <v>Male</v>
      </c>
      <c r="E407" s="1" t="str">
        <f ca="1">IFERROR(__xludf.DUMMYFUNCTION("""COMPUTED_VALUE"""),"People from my circle, but not family members")</f>
        <v>People from my circle, but not family members</v>
      </c>
      <c r="F407" s="1" t="str">
        <f ca="1">IFERROR(__xludf.DUMMYFUNCTION("""COMPUTED_VALUE"""),"Yes, I will earn and do that")</f>
        <v>Yes, I will earn and do that</v>
      </c>
      <c r="G407" s="1" t="str">
        <f ca="1">IFERROR(__xludf.DUMMYFUNCTION("""COMPUTED_VALUE"""),"This will be hard to do, but if it is the right company I would try")</f>
        <v>This will be hard to do, but if it is the right company I would try</v>
      </c>
      <c r="H407" s="1" t="str">
        <f ca="1">IFERROR(__xludf.DUMMYFUNCTION("""COMPUTED_VALUE"""),"No")</f>
        <v>No</v>
      </c>
      <c r="I407" s="1" t="str">
        <f ca="1">IFERROR(__xludf.DUMMYFUNCTION("""COMPUTED_VALUE"""),"Will NOT work for them")</f>
        <v>Will NOT work for them</v>
      </c>
      <c r="J407" s="1">
        <f ca="1">IFERROR(__xludf.DUMMYFUNCTION("""COMPUTED_VALUE"""),6)</f>
        <v>6</v>
      </c>
      <c r="K407" s="1" t="str">
        <f ca="1">IFERROR(__xludf.DUMMYFUNCTION("""COMPUTED_VALUE"""),"Fully Remote with Options to travel as and when needed")</f>
        <v>Fully Remote with Options to travel as and when needed</v>
      </c>
      <c r="L407" s="1" t="str">
        <f ca="1">IFERROR(__xludf.DUMMYFUNCTION("""COMPUTED_VALUE"""),"Employer who pushes your limits by enabling an learning environment, and rewards you at the end")</f>
        <v>Employer who pushes your limits by enabling an learning environment, and rewards you at the end</v>
      </c>
      <c r="M4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407" s="1" t="str">
        <f ca="1">IFERROR(__xludf.DUMMYFUNCTION("""COMPUTED_VALUE"""),"Manager who clearly describes what she/he needs")</f>
        <v>Manager who clearly describes what she/he needs</v>
      </c>
      <c r="P407" s="1" t="str">
        <f ca="1">IFERROR(__xludf.DUMMYFUNCTION("""COMPUTED_VALUE"""),"Work alone, Work with 2 to 3 people in my team")</f>
        <v>Work alone, Work with 2 to 3 people in my team</v>
      </c>
      <c r="Q407" s="1"/>
    </row>
    <row r="408" spans="1:17" ht="13.2" x14ac:dyDescent="0.25">
      <c r="A408" s="2">
        <f ca="1">IFERROR(__xludf.DUMMYFUNCTION("""COMPUTED_VALUE"""),45021.3793198611)</f>
        <v>45021.379319861102</v>
      </c>
      <c r="B408" s="1" t="str">
        <f ca="1">IFERROR(__xludf.DUMMYFUNCTION("""COMPUTED_VALUE"""),"India")</f>
        <v>India</v>
      </c>
      <c r="C408" s="1">
        <f ca="1">IFERROR(__xludf.DUMMYFUNCTION("""COMPUTED_VALUE"""),721506)</f>
        <v>721506</v>
      </c>
      <c r="D408" s="3" t="str">
        <f ca="1">IFERROR(__xludf.DUMMYFUNCTION("""COMPUTED_VALUE"""),"Female")</f>
        <v>Female</v>
      </c>
      <c r="E408" s="1" t="str">
        <f ca="1">IFERROR(__xludf.DUMMYFUNCTION("""COMPUTED_VALUE"""),"Influencers who had successful careers")</f>
        <v>Influencers who had successful careers</v>
      </c>
      <c r="F408" s="1" t="str">
        <f ca="1">IFERROR(__xludf.DUMMYFUNCTION("""COMPUTED_VALUE"""),"Yes, I will earn and do that")</f>
        <v>Yes, I will earn and do that</v>
      </c>
      <c r="G408" s="1" t="str">
        <f ca="1">IFERROR(__xludf.DUMMYFUNCTION("""COMPUTED_VALUE"""),"Will work for 3 years or more")</f>
        <v>Will work for 3 years or more</v>
      </c>
      <c r="H408" s="1" t="str">
        <f ca="1">IFERROR(__xludf.DUMMYFUNCTION("""COMPUTED_VALUE"""),"Yes")</f>
        <v>Yes</v>
      </c>
      <c r="I408" s="1" t="str">
        <f ca="1">IFERROR(__xludf.DUMMYFUNCTION("""COMPUTED_VALUE"""),"Will NOT work for them")</f>
        <v>Will NOT work for them</v>
      </c>
      <c r="J408" s="1">
        <f ca="1">IFERROR(__xludf.DUMMYFUNCTION("""COMPUTED_VALUE"""),9)</f>
        <v>9</v>
      </c>
      <c r="K408" s="1" t="str">
        <f ca="1">IFERROR(__xludf.DUMMYFUNCTION("""COMPUTED_VALUE"""),"Every Day Office Environment")</f>
        <v>Every Day Office Environment</v>
      </c>
      <c r="L408" s="1" t="str">
        <f ca="1">IFERROR(__xludf.DUMMYFUNCTION("""COMPUTED_VALUE"""),"Employer who pushes your limits by enabling an learning environment, and rewards you at the end")</f>
        <v>Employer who pushes your limits by enabling an learning environment, and rewards you at the end</v>
      </c>
      <c r="M4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8" s="1" t="str">
        <f ca="1">IFERROR(__xludf.DUMMYFUNCTION("""COMPUTED_VALUE"""),"Manager who explains what is expected, sets a goal and helps achieve it")</f>
        <v>Manager who explains what is expected, sets a goal and helps achieve it</v>
      </c>
      <c r="P408" s="1" t="str">
        <f ca="1">IFERROR(__xludf.DUMMYFUNCTION("""COMPUTED_VALUE"""),"Work with 7 to 10 or more people in my team, Work with more than 10 people in my team")</f>
        <v>Work with 7 to 10 or more people in my team, Work with more than 10 people in my team</v>
      </c>
      <c r="Q408" s="1"/>
    </row>
    <row r="409" spans="1:17" ht="13.2" x14ac:dyDescent="0.25">
      <c r="A409" s="2">
        <f ca="1">IFERROR(__xludf.DUMMYFUNCTION("""COMPUTED_VALUE"""),45021.3872363657)</f>
        <v>45021.387236365699</v>
      </c>
      <c r="B409" s="1" t="str">
        <f ca="1">IFERROR(__xludf.DUMMYFUNCTION("""COMPUTED_VALUE"""),"India")</f>
        <v>India</v>
      </c>
      <c r="C409" s="1">
        <f ca="1">IFERROR(__xludf.DUMMYFUNCTION("""COMPUTED_VALUE"""),600091)</f>
        <v>600091</v>
      </c>
      <c r="D409" s="3" t="str">
        <f ca="1">IFERROR(__xludf.DUMMYFUNCTION("""COMPUTED_VALUE"""),"Male")</f>
        <v>Male</v>
      </c>
      <c r="E409" s="1" t="str">
        <f ca="1">IFERROR(__xludf.DUMMYFUNCTION("""COMPUTED_VALUE"""),"Influencers who had successful careers")</f>
        <v>Influencers who had successful careers</v>
      </c>
      <c r="F409" s="1" t="str">
        <f ca="1">IFERROR(__xludf.DUMMYFUNCTION("""COMPUTED_VALUE"""),"Yes, I will earn and do that")</f>
        <v>Yes, I will earn and do that</v>
      </c>
      <c r="G409" s="1" t="str">
        <f ca="1">IFERROR(__xludf.DUMMYFUNCTION("""COMPUTED_VALUE"""),"This will be hard to do, but if it is the right company I would try")</f>
        <v>This will be hard to do, but if it is the right company I would try</v>
      </c>
      <c r="H409" s="1" t="str">
        <f ca="1">IFERROR(__xludf.DUMMYFUNCTION("""COMPUTED_VALUE"""),"No")</f>
        <v>No</v>
      </c>
      <c r="I409" s="1" t="str">
        <f ca="1">IFERROR(__xludf.DUMMYFUNCTION("""COMPUTED_VALUE"""),"Will NOT work for them")</f>
        <v>Will NOT work for them</v>
      </c>
      <c r="J409" s="1">
        <f ca="1">IFERROR(__xludf.DUMMYFUNCTION("""COMPUTED_VALUE"""),3)</f>
        <v>3</v>
      </c>
      <c r="K409" s="1" t="str">
        <f ca="1">IFERROR(__xludf.DUMMYFUNCTION("""COMPUTED_VALUE"""),"Fully Remote with Options to travel as and when needed")</f>
        <v>Fully Remote with Options to travel as and when needed</v>
      </c>
      <c r="L409" s="1" t="str">
        <f ca="1">IFERROR(__xludf.DUMMYFUNCTION("""COMPUTED_VALUE"""),"Employer who appreciates learning and enables that environment")</f>
        <v>Employer who appreciates learning and enables that environment</v>
      </c>
      <c r="M40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0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409" s="1" t="str">
        <f ca="1">IFERROR(__xludf.DUMMYFUNCTION("""COMPUTED_VALUE"""),"Manager who explains what is expected, sets a goal and helps achieve it")</f>
        <v>Manager who explains what is expected, sets a goal and helps achieve it</v>
      </c>
      <c r="P409" s="1" t="str">
        <f ca="1">IFERROR(__xludf.DUMMYFUNCTION("""COMPUTED_VALUE"""),"Work with 7 to 10 or more people in my team")</f>
        <v>Work with 7 to 10 or more people in my team</v>
      </c>
      <c r="Q409" s="1"/>
    </row>
    <row r="410" spans="1:17" ht="13.2" x14ac:dyDescent="0.25">
      <c r="A410" s="2">
        <f ca="1">IFERROR(__xludf.DUMMYFUNCTION("""COMPUTED_VALUE"""),45021.3966642592)</f>
        <v>45021.396664259199</v>
      </c>
      <c r="B410" s="1" t="str">
        <f ca="1">IFERROR(__xludf.DUMMYFUNCTION("""COMPUTED_VALUE"""),"India")</f>
        <v>India</v>
      </c>
      <c r="C410" s="1">
        <f ca="1">IFERROR(__xludf.DUMMYFUNCTION("""COMPUTED_VALUE"""),600129)</f>
        <v>600129</v>
      </c>
      <c r="D410" s="3" t="str">
        <f ca="1">IFERROR(__xludf.DUMMYFUNCTION("""COMPUTED_VALUE"""),"Male")</f>
        <v>Male</v>
      </c>
      <c r="E410" s="1" t="str">
        <f ca="1">IFERROR(__xludf.DUMMYFUNCTION("""COMPUTED_VALUE"""),"My Parents")</f>
        <v>My Parents</v>
      </c>
      <c r="F410" s="1" t="str">
        <f ca="1">IFERROR(__xludf.DUMMYFUNCTION("""COMPUTED_VALUE"""),"No I would not be pursuing Higher Education outside of India")</f>
        <v>No I would not be pursuing Higher Education outside of India</v>
      </c>
      <c r="G410" s="1" t="str">
        <f ca="1">IFERROR(__xludf.DUMMYFUNCTION("""COMPUTED_VALUE"""),"Will work for 3 years or more")</f>
        <v>Will work for 3 years or more</v>
      </c>
      <c r="H410" s="1" t="str">
        <f ca="1">IFERROR(__xludf.DUMMYFUNCTION("""COMPUTED_VALUE"""),"No")</f>
        <v>No</v>
      </c>
      <c r="I410" s="1" t="str">
        <f ca="1">IFERROR(__xludf.DUMMYFUNCTION("""COMPUTED_VALUE"""),"Will work for them")</f>
        <v>Will work for them</v>
      </c>
      <c r="J410" s="1">
        <f ca="1">IFERROR(__xludf.DUMMYFUNCTION("""COMPUTED_VALUE"""),7)</f>
        <v>7</v>
      </c>
      <c r="K410" s="1" t="str">
        <f ca="1">IFERROR(__xludf.DUMMYFUNCTION("""COMPUTED_VALUE"""),"Every Day Office Environment")</f>
        <v>Every Day Office Environment</v>
      </c>
      <c r="L410" s="1" t="str">
        <f ca="1">IFERROR(__xludf.DUMMYFUNCTION("""COMPUTED_VALUE"""),"Employer who appreciates learning and enables that environment")</f>
        <v>Employer who appreciates learning and enables that environment</v>
      </c>
      <c r="M41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10"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10" s="1" t="str">
        <f ca="1">IFERROR(__xludf.DUMMYFUNCTION("""COMPUTED_VALUE"""),"Manager who explains what is expected, sets a goal and helps achieve it")</f>
        <v>Manager who explains what is expected, sets a goal and helps achieve it</v>
      </c>
      <c r="P410" s="1" t="str">
        <f ca="1">IFERROR(__xludf.DUMMYFUNCTION("""COMPUTED_VALUE"""),"Work with 5 to 6 people in my team")</f>
        <v>Work with 5 to 6 people in my team</v>
      </c>
      <c r="Q410" s="1"/>
    </row>
    <row r="411" spans="1:17" ht="13.2" x14ac:dyDescent="0.25">
      <c r="A411" s="2">
        <f ca="1">IFERROR(__xludf.DUMMYFUNCTION("""COMPUTED_VALUE"""),45021.3985698148)</f>
        <v>45021.398569814803</v>
      </c>
      <c r="B411" s="1" t="str">
        <f ca="1">IFERROR(__xludf.DUMMYFUNCTION("""COMPUTED_VALUE"""),"India")</f>
        <v>India</v>
      </c>
      <c r="C411" s="1">
        <f ca="1">IFERROR(__xludf.DUMMYFUNCTION("""COMPUTED_VALUE"""),834001)</f>
        <v>834001</v>
      </c>
      <c r="D411" s="3" t="str">
        <f ca="1">IFERROR(__xludf.DUMMYFUNCTION("""COMPUTED_VALUE"""),"Female")</f>
        <v>Female</v>
      </c>
      <c r="E411" s="1" t="str">
        <f ca="1">IFERROR(__xludf.DUMMYFUNCTION("""COMPUTED_VALUE"""),"Social Media like LinkedIn")</f>
        <v>Social Media like LinkedIn</v>
      </c>
      <c r="F411" s="1" t="str">
        <f ca="1">IFERROR(__xludf.DUMMYFUNCTION("""COMPUTED_VALUE"""),"Yes, I will earn and do that")</f>
        <v>Yes, I will earn and do that</v>
      </c>
      <c r="G411" s="1" t="str">
        <f ca="1">IFERROR(__xludf.DUMMYFUNCTION("""COMPUTED_VALUE"""),"This will be hard to do, but if it is the right company I would try")</f>
        <v>This will be hard to do, but if it is the right company I would try</v>
      </c>
      <c r="H411" s="1" t="str">
        <f ca="1">IFERROR(__xludf.DUMMYFUNCTION("""COMPUTED_VALUE"""),"No")</f>
        <v>No</v>
      </c>
      <c r="I411" s="1" t="str">
        <f ca="1">IFERROR(__xludf.DUMMYFUNCTION("""COMPUTED_VALUE"""),"Will NOT work for them")</f>
        <v>Will NOT work for them</v>
      </c>
      <c r="J411" s="1">
        <f ca="1">IFERROR(__xludf.DUMMYFUNCTION("""COMPUTED_VALUE"""),2)</f>
        <v>2</v>
      </c>
      <c r="K411" s="1" t="str">
        <f ca="1">IFERROR(__xludf.DUMMYFUNCTION("""COMPUTED_VALUE"""),"Hybrid Working Environment with more than 15 days a month at office")</f>
        <v>Hybrid Working Environment with more than 15 days a month at office</v>
      </c>
      <c r="L411" s="1" t="str">
        <f ca="1">IFERROR(__xludf.DUMMYFUNCTION("""COMPUTED_VALUE"""),"Employer who pushes your limits by enabling an learning environment, and rewards you at the end")</f>
        <v>Employer who pushes your limits by enabling an learning environment, and rewards you at the end</v>
      </c>
      <c r="M411" s="1" t="str">
        <f ca="1">IFERROR(__xludf.DUMMYFUNCTION("""COMPUTED_VALUE"""),"Self Paced Learning Portals of the Company, Learning by observing others, Manager Teaching you")</f>
        <v>Self Paced Learning Portals of the Company, Learning by observing others, Manager Teaching you</v>
      </c>
      <c r="N411"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411" s="1" t="str">
        <f ca="1">IFERROR(__xludf.DUMMYFUNCTION("""COMPUTED_VALUE"""),"Manager who explains what is expected, sets a goal and helps achieve it")</f>
        <v>Manager who explains what is expected, sets a goal and helps achieve it</v>
      </c>
      <c r="P411"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411" s="1"/>
    </row>
    <row r="412" spans="1:17" ht="13.2" x14ac:dyDescent="0.25">
      <c r="A412" s="2">
        <f ca="1">IFERROR(__xludf.DUMMYFUNCTION("""COMPUTED_VALUE"""),45021.4005213194)</f>
        <v>45021.400521319403</v>
      </c>
      <c r="B412" s="1" t="str">
        <f ca="1">IFERROR(__xludf.DUMMYFUNCTION("""COMPUTED_VALUE"""),"India")</f>
        <v>India</v>
      </c>
      <c r="C412" s="1">
        <f ca="1">IFERROR(__xludf.DUMMYFUNCTION("""COMPUTED_VALUE"""),641028)</f>
        <v>641028</v>
      </c>
      <c r="D412" s="3" t="str">
        <f ca="1">IFERROR(__xludf.DUMMYFUNCTION("""COMPUTED_VALUE"""),"Male")</f>
        <v>Male</v>
      </c>
      <c r="E412" s="1" t="str">
        <f ca="1">IFERROR(__xludf.DUMMYFUNCTION("""COMPUTED_VALUE"""),"People who have changed the world for better")</f>
        <v>People who have changed the world for better</v>
      </c>
      <c r="F412" s="1" t="str">
        <f ca="1">IFERROR(__xludf.DUMMYFUNCTION("""COMPUTED_VALUE"""),"Yes, I will earn and do that")</f>
        <v>Yes, I will earn and do that</v>
      </c>
      <c r="G412" s="1" t="str">
        <f ca="1">IFERROR(__xludf.DUMMYFUNCTION("""COMPUTED_VALUE"""),"This will be hard to do, but if it is the right company I would try")</f>
        <v>This will be hard to do, but if it is the right company I would try</v>
      </c>
      <c r="H412" s="1" t="str">
        <f ca="1">IFERROR(__xludf.DUMMYFUNCTION("""COMPUTED_VALUE"""),"Yes")</f>
        <v>Yes</v>
      </c>
      <c r="I412" s="1" t="str">
        <f ca="1">IFERROR(__xludf.DUMMYFUNCTION("""COMPUTED_VALUE"""),"Will work for them")</f>
        <v>Will work for them</v>
      </c>
      <c r="J412" s="1">
        <f ca="1">IFERROR(__xludf.DUMMYFUNCTION("""COMPUTED_VALUE"""),6)</f>
        <v>6</v>
      </c>
      <c r="K412" s="1" t="str">
        <f ca="1">IFERROR(__xludf.DUMMYFUNCTION("""COMPUTED_VALUE"""),"Hybrid Working Environment with more than 15 days a month at office")</f>
        <v>Hybrid Working Environment with more than 15 days a month at office</v>
      </c>
      <c r="L412" s="1" t="str">
        <f ca="1">IFERROR(__xludf.DUMMYFUNCTION("""COMPUTED_VALUE"""),"Employer who pushes your limits by enabling an learning environment, and rewards you at the end")</f>
        <v>Employer who pushes your limits by enabling an learning environment, and rewards you at the end</v>
      </c>
      <c r="M4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2" s="1" t="str">
        <f ca="1">IFERROR(__xludf.DUMMYFUNCTION("""COMPUTED_VALUE"""),"Manager who explains what is expected, sets a goal and helps achieve it")</f>
        <v>Manager who explains what is expected, sets a goal and helps achieve it</v>
      </c>
      <c r="P412" s="1" t="str">
        <f ca="1">IFERROR(__xludf.DUMMYFUNCTION("""COMPUTED_VALUE"""),"Work alone, Work with 2 to 3 people in my team, Work with 5 to 6 people in my team")</f>
        <v>Work alone, Work with 2 to 3 people in my team, Work with 5 to 6 people in my team</v>
      </c>
      <c r="Q412" s="1"/>
    </row>
    <row r="413" spans="1:17" ht="13.2" x14ac:dyDescent="0.25">
      <c r="A413" s="2">
        <f ca="1">IFERROR(__xludf.DUMMYFUNCTION("""COMPUTED_VALUE"""),45021.4065811921)</f>
        <v>45021.406581192103</v>
      </c>
      <c r="B413" s="1" t="str">
        <f ca="1">IFERROR(__xludf.DUMMYFUNCTION("""COMPUTED_VALUE"""),"India")</f>
        <v>India</v>
      </c>
      <c r="C413" s="1" t="str">
        <f ca="1">IFERROR(__xludf.DUMMYFUNCTION("""COMPUTED_VALUE"""),"+91")</f>
        <v>+91</v>
      </c>
      <c r="D413" s="3" t="str">
        <f ca="1">IFERROR(__xludf.DUMMYFUNCTION("""COMPUTED_VALUE"""),"Male")</f>
        <v>Male</v>
      </c>
      <c r="E413" s="1" t="str">
        <f ca="1">IFERROR(__xludf.DUMMYFUNCTION("""COMPUTED_VALUE"""),"Social Media like LinkedIn")</f>
        <v>Social Media like LinkedIn</v>
      </c>
      <c r="F413" s="1" t="str">
        <f ca="1">IFERROR(__xludf.DUMMYFUNCTION("""COMPUTED_VALUE"""),"Yes, I will earn and do that")</f>
        <v>Yes, I will earn and do that</v>
      </c>
      <c r="G413" s="1" t="str">
        <f ca="1">IFERROR(__xludf.DUMMYFUNCTION("""COMPUTED_VALUE"""),"Will work for 3 years or more")</f>
        <v>Will work for 3 years or more</v>
      </c>
      <c r="H413" s="1" t="str">
        <f ca="1">IFERROR(__xludf.DUMMYFUNCTION("""COMPUTED_VALUE"""),"Yes")</f>
        <v>Yes</v>
      </c>
      <c r="I413" s="1" t="str">
        <f ca="1">IFERROR(__xludf.DUMMYFUNCTION("""COMPUTED_VALUE"""),"Will NOT work for them")</f>
        <v>Will NOT work for them</v>
      </c>
      <c r="J413" s="1">
        <f ca="1">IFERROR(__xludf.DUMMYFUNCTION("""COMPUTED_VALUE"""),8)</f>
        <v>8</v>
      </c>
      <c r="K413" s="1" t="str">
        <f ca="1">IFERROR(__xludf.DUMMYFUNCTION("""COMPUTED_VALUE"""),"Hybrid Working Environment with more than 15 days a month at office")</f>
        <v>Hybrid Working Environment with more than 15 days a month at office</v>
      </c>
      <c r="L413" s="1" t="str">
        <f ca="1">IFERROR(__xludf.DUMMYFUNCTION("""COMPUTED_VALUE"""),"Employer who pushes your limits by enabling an learning environment, and rewards you at the end")</f>
        <v>Employer who pushes your limits by enabling an learning environment, and rewards you at the end</v>
      </c>
      <c r="M41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413"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413" s="1" t="str">
        <f ca="1">IFERROR(__xludf.DUMMYFUNCTION("""COMPUTED_VALUE"""),"Manager who clearly describes what she/he needs")</f>
        <v>Manager who clearly describes what she/he needs</v>
      </c>
      <c r="P413" s="1" t="str">
        <f ca="1">IFERROR(__xludf.DUMMYFUNCTION("""COMPUTED_VALUE"""),"Work with more than 10 people in my team")</f>
        <v>Work with more than 10 people in my team</v>
      </c>
      <c r="Q413" s="1"/>
    </row>
    <row r="414" spans="1:17" ht="13.2" x14ac:dyDescent="0.25">
      <c r="A414" s="2">
        <f ca="1">IFERROR(__xludf.DUMMYFUNCTION("""COMPUTED_VALUE"""),45021.4167827777)</f>
        <v>45021.416782777698</v>
      </c>
      <c r="B414" s="1" t="str">
        <f ca="1">IFERROR(__xludf.DUMMYFUNCTION("""COMPUTED_VALUE"""),"India")</f>
        <v>India</v>
      </c>
      <c r="C414" s="1">
        <f ca="1">IFERROR(__xludf.DUMMYFUNCTION("""COMPUTED_VALUE"""),600014)</f>
        <v>600014</v>
      </c>
      <c r="D414" s="3" t="str">
        <f ca="1">IFERROR(__xludf.DUMMYFUNCTION("""COMPUTED_VALUE"""),"Male")</f>
        <v>Male</v>
      </c>
      <c r="E414" s="1" t="str">
        <f ca="1">IFERROR(__xludf.DUMMYFUNCTION("""COMPUTED_VALUE"""),"Social Media like LinkedIn")</f>
        <v>Social Media like LinkedIn</v>
      </c>
      <c r="F414" s="1" t="str">
        <f ca="1">IFERROR(__xludf.DUMMYFUNCTION("""COMPUTED_VALUE"""),"No I would not be pursuing Higher Education outside of India")</f>
        <v>No I would not be pursuing Higher Education outside of India</v>
      </c>
      <c r="G414" s="1" t="str">
        <f ca="1">IFERROR(__xludf.DUMMYFUNCTION("""COMPUTED_VALUE"""),"This will be hard to do, but if it is the right company I would try")</f>
        <v>This will be hard to do, but if it is the right company I would try</v>
      </c>
      <c r="H414" s="1" t="str">
        <f ca="1">IFERROR(__xludf.DUMMYFUNCTION("""COMPUTED_VALUE"""),"No")</f>
        <v>No</v>
      </c>
      <c r="I414" s="1" t="str">
        <f ca="1">IFERROR(__xludf.DUMMYFUNCTION("""COMPUTED_VALUE"""),"Will NOT work for them")</f>
        <v>Will NOT work for them</v>
      </c>
      <c r="J414" s="1">
        <f ca="1">IFERROR(__xludf.DUMMYFUNCTION("""COMPUTED_VALUE"""),5)</f>
        <v>5</v>
      </c>
      <c r="K414" s="1" t="str">
        <f ca="1">IFERROR(__xludf.DUMMYFUNCTION("""COMPUTED_VALUE"""),"Hybrid Working Environment with less than 3 days a month at office")</f>
        <v>Hybrid Working Environment with less than 3 days a month at office</v>
      </c>
      <c r="L414" s="1" t="str">
        <f ca="1">IFERROR(__xludf.DUMMYFUNCTION("""COMPUTED_VALUE"""),"Employer who appreciates learning and enables that environment")</f>
        <v>Employer who appreciates learning and enables that environment</v>
      </c>
      <c r="M41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14" s="1" t="str">
        <f ca="1">IFERROR(__xludf.DUMMYFUNCTION("""COMPUTED_VALUE"""),"Manager who explains what is expected, sets a goal and helps achieve it")</f>
        <v>Manager who explains what is expected, sets a goal and helps achieve it</v>
      </c>
      <c r="P414" s="1" t="str">
        <f ca="1">IFERROR(__xludf.DUMMYFUNCTION("""COMPUTED_VALUE"""),"Work with 2 to 3 people in my team")</f>
        <v>Work with 2 to 3 people in my team</v>
      </c>
      <c r="Q414" s="1"/>
    </row>
    <row r="415" spans="1:17" ht="13.2" x14ac:dyDescent="0.25">
      <c r="A415" s="2">
        <f ca="1">IFERROR(__xludf.DUMMYFUNCTION("""COMPUTED_VALUE"""),45021.4254258101)</f>
        <v>45021.425425810099</v>
      </c>
      <c r="B415" s="1" t="str">
        <f ca="1">IFERROR(__xludf.DUMMYFUNCTION("""COMPUTED_VALUE"""),"India")</f>
        <v>India</v>
      </c>
      <c r="C415" s="1">
        <f ca="1">IFERROR(__xludf.DUMMYFUNCTION("""COMPUTED_VALUE"""),671315)</f>
        <v>671315</v>
      </c>
      <c r="D415" s="3" t="str">
        <f ca="1">IFERROR(__xludf.DUMMYFUNCTION("""COMPUTED_VALUE"""),"Male")</f>
        <v>Male</v>
      </c>
      <c r="E415" s="1" t="str">
        <f ca="1">IFERROR(__xludf.DUMMYFUNCTION("""COMPUTED_VALUE"""),"Social Media like LinkedIn")</f>
        <v>Social Media like LinkedIn</v>
      </c>
      <c r="F415" s="1" t="str">
        <f ca="1">IFERROR(__xludf.DUMMYFUNCTION("""COMPUTED_VALUE"""),"No, But if someone could bare the cost I will")</f>
        <v>No, But if someone could bare the cost I will</v>
      </c>
      <c r="G415" s="1" t="str">
        <f ca="1">IFERROR(__xludf.DUMMYFUNCTION("""COMPUTED_VALUE"""),"This will be hard to do, but if it is the right company I would try")</f>
        <v>This will be hard to do, but if it is the right company I would try</v>
      </c>
      <c r="H415" s="1" t="str">
        <f ca="1">IFERROR(__xludf.DUMMYFUNCTION("""COMPUTED_VALUE"""),"Yes")</f>
        <v>Yes</v>
      </c>
      <c r="I415" s="1" t="str">
        <f ca="1">IFERROR(__xludf.DUMMYFUNCTION("""COMPUTED_VALUE"""),"Will work for them")</f>
        <v>Will work for them</v>
      </c>
      <c r="J415" s="1">
        <f ca="1">IFERROR(__xludf.DUMMYFUNCTION("""COMPUTED_VALUE"""),4)</f>
        <v>4</v>
      </c>
      <c r="K415" s="1" t="str">
        <f ca="1">IFERROR(__xludf.DUMMYFUNCTION("""COMPUTED_VALUE"""),"Hybrid Working Environment with less than 3 days a month at office")</f>
        <v>Hybrid Working Environment with less than 3 days a month at office</v>
      </c>
      <c r="L415" s="1" t="str">
        <f ca="1">IFERROR(__xludf.DUMMYFUNCTION("""COMPUTED_VALUE"""),"Employer who pushes your limits by enabling an learning environment, and rewards you at the end")</f>
        <v>Employer who pushes your limits by enabling an learning environment, and rewards you at the end</v>
      </c>
      <c r="M4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5"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415" s="1" t="str">
        <f ca="1">IFERROR(__xludf.DUMMYFUNCTION("""COMPUTED_VALUE"""),"Manager who explains what is expected, sets a goal and helps achieve it")</f>
        <v>Manager who explains what is expected, sets a goal and helps achieve it</v>
      </c>
      <c r="P415" s="1" t="str">
        <f ca="1">IFERROR(__xludf.DUMMYFUNCTION("""COMPUTED_VALUE"""),"Work with 2 to 3 people in my team, Work with 5 to 6 people in my team")</f>
        <v>Work with 2 to 3 people in my team, Work with 5 to 6 people in my team</v>
      </c>
      <c r="Q415" s="1"/>
    </row>
    <row r="416" spans="1:17" ht="13.2" x14ac:dyDescent="0.25">
      <c r="A416" s="2">
        <f ca="1">IFERROR(__xludf.DUMMYFUNCTION("""COMPUTED_VALUE"""),45021.4369009722)</f>
        <v>45021.4369009722</v>
      </c>
      <c r="B416" s="1" t="str">
        <f ca="1">IFERROR(__xludf.DUMMYFUNCTION("""COMPUTED_VALUE"""),"India")</f>
        <v>India</v>
      </c>
      <c r="C416" s="1">
        <f ca="1">IFERROR(__xludf.DUMMYFUNCTION("""COMPUTED_VALUE"""),500079)</f>
        <v>500079</v>
      </c>
      <c r="D416" s="3" t="str">
        <f ca="1">IFERROR(__xludf.DUMMYFUNCTION("""COMPUTED_VALUE"""),"Male")</f>
        <v>Male</v>
      </c>
      <c r="E416" s="1" t="str">
        <f ca="1">IFERROR(__xludf.DUMMYFUNCTION("""COMPUTED_VALUE"""),"Influencers who had successful careers")</f>
        <v>Influencers who had successful careers</v>
      </c>
      <c r="F416" s="1" t="str">
        <f ca="1">IFERROR(__xludf.DUMMYFUNCTION("""COMPUTED_VALUE"""),"Yes, I will earn and do that")</f>
        <v>Yes, I will earn and do that</v>
      </c>
      <c r="G416" s="1" t="str">
        <f ca="1">IFERROR(__xludf.DUMMYFUNCTION("""COMPUTED_VALUE"""),"This will be hard to do, but if it is the right company I would try")</f>
        <v>This will be hard to do, but if it is the right company I would try</v>
      </c>
      <c r="H416" s="1" t="str">
        <f ca="1">IFERROR(__xludf.DUMMYFUNCTION("""COMPUTED_VALUE"""),"No")</f>
        <v>No</v>
      </c>
      <c r="I416" s="1" t="str">
        <f ca="1">IFERROR(__xludf.DUMMYFUNCTION("""COMPUTED_VALUE"""),"Will NOT work for them")</f>
        <v>Will NOT work for them</v>
      </c>
      <c r="J416" s="1">
        <f ca="1">IFERROR(__xludf.DUMMYFUNCTION("""COMPUTED_VALUE"""),4)</f>
        <v>4</v>
      </c>
      <c r="K416" s="1" t="str">
        <f ca="1">IFERROR(__xludf.DUMMYFUNCTION("""COMPUTED_VALUE"""),"Fully Remote with Options to travel as and when needed")</f>
        <v>Fully Remote with Options to travel as and when needed</v>
      </c>
      <c r="L416" s="1" t="str">
        <f ca="1">IFERROR(__xludf.DUMMYFUNCTION("""COMPUTED_VALUE"""),"Employer who appreciates learning and enables that environment")</f>
        <v>Employer who appreciates learning and enables that environment</v>
      </c>
      <c r="M41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16"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16" s="1" t="str">
        <f ca="1">IFERROR(__xludf.DUMMYFUNCTION("""COMPUTED_VALUE"""),"Manager who explains what is expected, sets a goal and helps achieve it")</f>
        <v>Manager who explains what is expected, sets a goal and helps achieve it</v>
      </c>
      <c r="P416" s="1" t="str">
        <f ca="1">IFERROR(__xludf.DUMMYFUNCTION("""COMPUTED_VALUE"""),"Work with 5 to 6 people in my team")</f>
        <v>Work with 5 to 6 people in my team</v>
      </c>
      <c r="Q416" s="1"/>
    </row>
    <row r="417" spans="1:17" ht="13.2" x14ac:dyDescent="0.25">
      <c r="A417" s="2">
        <f ca="1">IFERROR(__xludf.DUMMYFUNCTION("""COMPUTED_VALUE"""),45021.4369750115)</f>
        <v>45021.4369750115</v>
      </c>
      <c r="B417" s="1" t="str">
        <f ca="1">IFERROR(__xludf.DUMMYFUNCTION("""COMPUTED_VALUE"""),"Others")</f>
        <v>Others</v>
      </c>
      <c r="C417" s="1">
        <f ca="1">IFERROR(__xludf.DUMMYFUNCTION("""COMPUTED_VALUE"""),2151)</f>
        <v>2151</v>
      </c>
      <c r="D417" s="3" t="str">
        <f ca="1">IFERROR(__xludf.DUMMYFUNCTION("""COMPUTED_VALUE"""),"Male")</f>
        <v>Male</v>
      </c>
      <c r="E417" s="1" t="str">
        <f ca="1">IFERROR(__xludf.DUMMYFUNCTION("""COMPUTED_VALUE"""),"People from my circle, but not family members")</f>
        <v>People from my circle, but not family members</v>
      </c>
      <c r="F417" s="1" t="str">
        <f ca="1">IFERROR(__xludf.DUMMYFUNCTION("""COMPUTED_VALUE"""),"Yes, I will earn and do that")</f>
        <v>Yes, I will earn and do that</v>
      </c>
      <c r="G417" s="1" t="str">
        <f ca="1">IFERROR(__xludf.DUMMYFUNCTION("""COMPUTED_VALUE"""),"Will work for 3 years or more")</f>
        <v>Will work for 3 years or more</v>
      </c>
      <c r="H417" s="1" t="str">
        <f ca="1">IFERROR(__xludf.DUMMYFUNCTION("""COMPUTED_VALUE"""),"Yes")</f>
        <v>Yes</v>
      </c>
      <c r="I417" s="1" t="str">
        <f ca="1">IFERROR(__xludf.DUMMYFUNCTION("""COMPUTED_VALUE"""),"Will work for them")</f>
        <v>Will work for them</v>
      </c>
      <c r="J417" s="1">
        <f ca="1">IFERROR(__xludf.DUMMYFUNCTION("""COMPUTED_VALUE"""),10)</f>
        <v>10</v>
      </c>
      <c r="K417" s="1" t="str">
        <f ca="1">IFERROR(__xludf.DUMMYFUNCTION("""COMPUTED_VALUE"""),"Every Day Office Environment")</f>
        <v>Every Day Office Environment</v>
      </c>
      <c r="L417" s="1" t="str">
        <f ca="1">IFERROR(__xludf.DUMMYFUNCTION("""COMPUTED_VALUE"""),"Employer who appreciates learning and enables that environment")</f>
        <v>Employer who appreciates learning and enables that environment</v>
      </c>
      <c r="M41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17"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417" s="1" t="str">
        <f ca="1">IFERROR(__xludf.DUMMYFUNCTION("""COMPUTED_VALUE"""),"Manager who explains what is expected, sets a goal and helps achieve it")</f>
        <v>Manager who explains what is expected, sets a goal and helps achieve it</v>
      </c>
      <c r="P417" s="1" t="str">
        <f ca="1">IFERROR(__xludf.DUMMYFUNCTION("""COMPUTED_VALUE"""),"Work with more than 10 people in my team")</f>
        <v>Work with more than 10 people in my team</v>
      </c>
      <c r="Q417" s="1"/>
    </row>
    <row r="418" spans="1:17" ht="13.2" x14ac:dyDescent="0.25">
      <c r="A418" s="2">
        <f ca="1">IFERROR(__xludf.DUMMYFUNCTION("""COMPUTED_VALUE"""),45021.4381428472)</f>
        <v>45021.438142847197</v>
      </c>
      <c r="B418" s="1" t="str">
        <f ca="1">IFERROR(__xludf.DUMMYFUNCTION("""COMPUTED_VALUE"""),"India")</f>
        <v>India</v>
      </c>
      <c r="C418" s="1">
        <f ca="1">IFERROR(__xludf.DUMMYFUNCTION("""COMPUTED_VALUE"""),670014)</f>
        <v>670014</v>
      </c>
      <c r="D418" s="3" t="str">
        <f ca="1">IFERROR(__xludf.DUMMYFUNCTION("""COMPUTED_VALUE"""),"Male")</f>
        <v>Male</v>
      </c>
      <c r="E418" s="1" t="str">
        <f ca="1">IFERROR(__xludf.DUMMYFUNCTION("""COMPUTED_VALUE"""),"People from my circle, but not family members")</f>
        <v>People from my circle, but not family members</v>
      </c>
      <c r="F418" s="1" t="str">
        <f ca="1">IFERROR(__xludf.DUMMYFUNCTION("""COMPUTED_VALUE"""),"Yes, I will earn and do that")</f>
        <v>Yes, I will earn and do that</v>
      </c>
      <c r="G418" s="1" t="str">
        <f ca="1">IFERROR(__xludf.DUMMYFUNCTION("""COMPUTED_VALUE"""),"Will work for 3 years or more")</f>
        <v>Will work for 3 years or more</v>
      </c>
      <c r="H418" s="1" t="str">
        <f ca="1">IFERROR(__xludf.DUMMYFUNCTION("""COMPUTED_VALUE"""),"Yes")</f>
        <v>Yes</v>
      </c>
      <c r="I418" s="1" t="str">
        <f ca="1">IFERROR(__xludf.DUMMYFUNCTION("""COMPUTED_VALUE"""),"Will work for them")</f>
        <v>Will work for them</v>
      </c>
      <c r="J418" s="1">
        <f ca="1">IFERROR(__xludf.DUMMYFUNCTION("""COMPUTED_VALUE"""),6)</f>
        <v>6</v>
      </c>
      <c r="K418" s="1" t="str">
        <f ca="1">IFERROR(__xludf.DUMMYFUNCTION("""COMPUTED_VALUE"""),"Hybrid Working Environment with more than 15 days a month at office")</f>
        <v>Hybrid Working Environment with more than 15 days a month at office</v>
      </c>
      <c r="L418" s="1" t="str">
        <f ca="1">IFERROR(__xludf.DUMMYFUNCTION("""COMPUTED_VALUE"""),"Employer who pushes your limits by enabling an learning environment, and rewards you at the end")</f>
        <v>Employer who pushes your limits by enabling an learning environment, and rewards you at the end</v>
      </c>
      <c r="M4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18"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18" s="1" t="str">
        <f ca="1">IFERROR(__xludf.DUMMYFUNCTION("""COMPUTED_VALUE"""),"Manager who explains what is expected, sets a goal and helps achieve it")</f>
        <v>Manager who explains what is expected, sets a goal and helps achieve it</v>
      </c>
      <c r="P418" s="1" t="str">
        <f ca="1">IFERROR(__xludf.DUMMYFUNCTION("""COMPUTED_VALUE"""),"Work with 5 to 6 people in my team")</f>
        <v>Work with 5 to 6 people in my team</v>
      </c>
      <c r="Q418" s="1"/>
    </row>
    <row r="419" spans="1:17" ht="13.2" x14ac:dyDescent="0.25">
      <c r="A419" s="2">
        <f ca="1">IFERROR(__xludf.DUMMYFUNCTION("""COMPUTED_VALUE"""),45021.4398118402)</f>
        <v>45021.439811840202</v>
      </c>
      <c r="B419" s="1" t="str">
        <f ca="1">IFERROR(__xludf.DUMMYFUNCTION("""COMPUTED_VALUE"""),"India")</f>
        <v>India</v>
      </c>
      <c r="C419" s="1">
        <f ca="1">IFERROR(__xludf.DUMMYFUNCTION("""COMPUTED_VALUE"""),390009)</f>
        <v>390009</v>
      </c>
      <c r="D419" s="3" t="str">
        <f ca="1">IFERROR(__xludf.DUMMYFUNCTION("""COMPUTED_VALUE"""),"Male")</f>
        <v>Male</v>
      </c>
      <c r="E419" s="1" t="str">
        <f ca="1">IFERROR(__xludf.DUMMYFUNCTION("""COMPUTED_VALUE"""),"Influencers who had successful careers")</f>
        <v>Influencers who had successful careers</v>
      </c>
      <c r="F419" s="1" t="str">
        <f ca="1">IFERROR(__xludf.DUMMYFUNCTION("""COMPUTED_VALUE"""),"Yes, I will earn and do that")</f>
        <v>Yes, I will earn and do that</v>
      </c>
      <c r="G419" s="1" t="str">
        <f ca="1">IFERROR(__xludf.DUMMYFUNCTION("""COMPUTED_VALUE"""),"This will be hard to do, but if it is the right company I would try")</f>
        <v>This will be hard to do, but if it is the right company I would try</v>
      </c>
      <c r="H419" s="1" t="str">
        <f ca="1">IFERROR(__xludf.DUMMYFUNCTION("""COMPUTED_VALUE"""),"No")</f>
        <v>No</v>
      </c>
      <c r="I419" s="1" t="str">
        <f ca="1">IFERROR(__xludf.DUMMYFUNCTION("""COMPUTED_VALUE"""),"Will NOT work for them")</f>
        <v>Will NOT work for them</v>
      </c>
      <c r="J419" s="1">
        <f ca="1">IFERROR(__xludf.DUMMYFUNCTION("""COMPUTED_VALUE"""),1)</f>
        <v>1</v>
      </c>
      <c r="K419" s="1" t="str">
        <f ca="1">IFERROR(__xludf.DUMMYFUNCTION("""COMPUTED_VALUE"""),"Every Day Office Environment")</f>
        <v>Every Day Office Environment</v>
      </c>
      <c r="L419" s="1" t="str">
        <f ca="1">IFERROR(__xludf.DUMMYFUNCTION("""COMPUTED_VALUE"""),"Employer who pushes your limits by enabling an learning environment, and rewards you at the end")</f>
        <v>Employer who pushes your limits by enabling an learning environment, and rewards you at the end</v>
      </c>
      <c r="M41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19"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9" s="1" t="str">
        <f ca="1">IFERROR(__xludf.DUMMYFUNCTION("""COMPUTED_VALUE"""),"Manager who explains what is expected, sets a goal and helps achieve it")</f>
        <v>Manager who explains what is expected, sets a goal and helps achieve it</v>
      </c>
      <c r="P419" s="1" t="str">
        <f ca="1">IFERROR(__xludf.DUMMYFUNCTION("""COMPUTED_VALUE"""),"Work with more than 10 people in my team")</f>
        <v>Work with more than 10 people in my team</v>
      </c>
      <c r="Q419" s="1"/>
    </row>
    <row r="420" spans="1:17" ht="13.2" x14ac:dyDescent="0.25">
      <c r="A420" s="2">
        <f ca="1">IFERROR(__xludf.DUMMYFUNCTION("""COMPUTED_VALUE"""),45021.4426400578)</f>
        <v>45021.442640057801</v>
      </c>
      <c r="B420" s="1" t="str">
        <f ca="1">IFERROR(__xludf.DUMMYFUNCTION("""COMPUTED_VALUE"""),"India")</f>
        <v>India</v>
      </c>
      <c r="C420" s="1">
        <f ca="1">IFERROR(__xludf.DUMMYFUNCTION("""COMPUTED_VALUE"""),500079)</f>
        <v>500079</v>
      </c>
      <c r="D420" s="3" t="str">
        <f ca="1">IFERROR(__xludf.DUMMYFUNCTION("""COMPUTED_VALUE"""),"Male")</f>
        <v>Male</v>
      </c>
      <c r="E420" s="1" t="str">
        <f ca="1">IFERROR(__xludf.DUMMYFUNCTION("""COMPUTED_VALUE"""),"Influencers who had successful careers")</f>
        <v>Influencers who had successful careers</v>
      </c>
      <c r="F420" s="1" t="str">
        <f ca="1">IFERROR(__xludf.DUMMYFUNCTION("""COMPUTED_VALUE"""),"Yes, I will earn and do that")</f>
        <v>Yes, I will earn and do that</v>
      </c>
      <c r="G420" s="1" t="str">
        <f ca="1">IFERROR(__xludf.DUMMYFUNCTION("""COMPUTED_VALUE"""),"This will be hard to do, but if it is the right company I would try")</f>
        <v>This will be hard to do, but if it is the right company I would try</v>
      </c>
      <c r="H420" s="1" t="str">
        <f ca="1">IFERROR(__xludf.DUMMYFUNCTION("""COMPUTED_VALUE"""),"No")</f>
        <v>No</v>
      </c>
      <c r="I420" s="1" t="str">
        <f ca="1">IFERROR(__xludf.DUMMYFUNCTION("""COMPUTED_VALUE"""),"Will NOT work for them")</f>
        <v>Will NOT work for them</v>
      </c>
      <c r="J420" s="1">
        <f ca="1">IFERROR(__xludf.DUMMYFUNCTION("""COMPUTED_VALUE"""),2)</f>
        <v>2</v>
      </c>
      <c r="K420" s="1" t="str">
        <f ca="1">IFERROR(__xludf.DUMMYFUNCTION("""COMPUTED_VALUE"""),"Hybrid Working Environment with more than 15 days a month at office")</f>
        <v>Hybrid Working Environment with more than 15 days a month at office</v>
      </c>
      <c r="L420" s="1" t="str">
        <f ca="1">IFERROR(__xludf.DUMMYFUNCTION("""COMPUTED_VALUE"""),"Employer who pushes your limits by enabling an learning environment, and rewards you at the end")</f>
        <v>Employer who pushes your limits by enabling an learning environment, and rewards you at the end</v>
      </c>
      <c r="M4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20"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420" s="1" t="str">
        <f ca="1">IFERROR(__xludf.DUMMYFUNCTION("""COMPUTED_VALUE"""),"Manager who explains what is expected, sets a goal and helps achieve it")</f>
        <v>Manager who explains what is expected, sets a goal and helps achieve it</v>
      </c>
      <c r="P420" s="1" t="str">
        <f ca="1">IFERROR(__xludf.DUMMYFUNCTION("""COMPUTED_VALUE"""),"Work with 5 to 6 people in my team")</f>
        <v>Work with 5 to 6 people in my team</v>
      </c>
      <c r="Q420" s="1"/>
    </row>
    <row r="421" spans="1:17" ht="13.2" x14ac:dyDescent="0.25">
      <c r="A421" s="2">
        <f ca="1">IFERROR(__xludf.DUMMYFUNCTION("""COMPUTED_VALUE"""),45021.44284375)</f>
        <v>45021.442843750003</v>
      </c>
      <c r="B421" s="1" t="str">
        <f ca="1">IFERROR(__xludf.DUMMYFUNCTION("""COMPUTED_VALUE"""),"India")</f>
        <v>India</v>
      </c>
      <c r="C421" s="1">
        <f ca="1">IFERROR(__xludf.DUMMYFUNCTION("""COMPUTED_VALUE"""),560066)</f>
        <v>560066</v>
      </c>
      <c r="D421" s="3" t="str">
        <f ca="1">IFERROR(__xludf.DUMMYFUNCTION("""COMPUTED_VALUE"""),"Male")</f>
        <v>Male</v>
      </c>
      <c r="E421" s="1" t="str">
        <f ca="1">IFERROR(__xludf.DUMMYFUNCTION("""COMPUTED_VALUE"""),"People who have changed the world for better")</f>
        <v>People who have changed the world for better</v>
      </c>
      <c r="F421" s="1" t="str">
        <f ca="1">IFERROR(__xludf.DUMMYFUNCTION("""COMPUTED_VALUE"""),"Yes, I will earn and do that")</f>
        <v>Yes, I will earn and do that</v>
      </c>
      <c r="G421" s="1" t="str">
        <f ca="1">IFERROR(__xludf.DUMMYFUNCTION("""COMPUTED_VALUE"""),"Will work for 3 years or more")</f>
        <v>Will work for 3 years or more</v>
      </c>
      <c r="H421" s="1" t="str">
        <f ca="1">IFERROR(__xludf.DUMMYFUNCTION("""COMPUTED_VALUE"""),"Yes")</f>
        <v>Yes</v>
      </c>
      <c r="I421" s="1" t="str">
        <f ca="1">IFERROR(__xludf.DUMMYFUNCTION("""COMPUTED_VALUE"""),"Will NOT work for them")</f>
        <v>Will NOT work for them</v>
      </c>
      <c r="J421" s="1">
        <f ca="1">IFERROR(__xludf.DUMMYFUNCTION("""COMPUTED_VALUE"""),7)</f>
        <v>7</v>
      </c>
      <c r="K421" s="1" t="str">
        <f ca="1">IFERROR(__xludf.DUMMYFUNCTION("""COMPUTED_VALUE"""),"Hybrid Working Environment with more than 15 days a month at office")</f>
        <v>Hybrid Working Environment with more than 15 days a month at office</v>
      </c>
      <c r="L421" s="1" t="str">
        <f ca="1">IFERROR(__xludf.DUMMYFUNCTION("""COMPUTED_VALUE"""),"Employer who pushes your limits by enabling an learning environment, and rewards you at the end")</f>
        <v>Employer who pushes your limits by enabling an learning environment, and rewards you at the end</v>
      </c>
      <c r="M42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2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1" s="1" t="str">
        <f ca="1">IFERROR(__xludf.DUMMYFUNCTION("""COMPUTED_VALUE"""),"Manager who explains what is expected, sets a goal and helps achieve it")</f>
        <v>Manager who explains what is expected, sets a goal and helps achieve it</v>
      </c>
      <c r="P421" s="1" t="str">
        <f ca="1">IFERROR(__xludf.DUMMYFUNCTION("""COMPUTED_VALUE"""),"Work alone, Work with 5 to 6 people in my team")</f>
        <v>Work alone, Work with 5 to 6 people in my team</v>
      </c>
      <c r="Q421" s="1"/>
    </row>
    <row r="422" spans="1:17" ht="13.2" x14ac:dyDescent="0.25">
      <c r="A422" s="2">
        <f ca="1">IFERROR(__xludf.DUMMYFUNCTION("""COMPUTED_VALUE"""),45021.4430277199)</f>
        <v>45021.443027719899</v>
      </c>
      <c r="B422" s="1" t="str">
        <f ca="1">IFERROR(__xludf.DUMMYFUNCTION("""COMPUTED_VALUE"""),"India")</f>
        <v>India</v>
      </c>
      <c r="C422" s="1">
        <f ca="1">IFERROR(__xludf.DUMMYFUNCTION("""COMPUTED_VALUE"""),421301)</f>
        <v>421301</v>
      </c>
      <c r="D422" s="3" t="str">
        <f ca="1">IFERROR(__xludf.DUMMYFUNCTION("""COMPUTED_VALUE"""),"Male")</f>
        <v>Male</v>
      </c>
      <c r="E422" s="1" t="str">
        <f ca="1">IFERROR(__xludf.DUMMYFUNCTION("""COMPUTED_VALUE"""),"People who have changed the world for better")</f>
        <v>People who have changed the world for better</v>
      </c>
      <c r="F422" s="1" t="str">
        <f ca="1">IFERROR(__xludf.DUMMYFUNCTION("""COMPUTED_VALUE"""),"No I would not be pursuing Higher Education outside of India")</f>
        <v>No I would not be pursuing Higher Education outside of India</v>
      </c>
      <c r="G422" s="1" t="str">
        <f ca="1">IFERROR(__xludf.DUMMYFUNCTION("""COMPUTED_VALUE"""),"Will work for 3 years or more")</f>
        <v>Will work for 3 years or more</v>
      </c>
      <c r="H422" s="1" t="str">
        <f ca="1">IFERROR(__xludf.DUMMYFUNCTION("""COMPUTED_VALUE"""),"Yes")</f>
        <v>Yes</v>
      </c>
      <c r="I422" s="1" t="str">
        <f ca="1">IFERROR(__xludf.DUMMYFUNCTION("""COMPUTED_VALUE"""),"Will NOT work for them")</f>
        <v>Will NOT work for them</v>
      </c>
      <c r="J422" s="1">
        <f ca="1">IFERROR(__xludf.DUMMYFUNCTION("""COMPUTED_VALUE"""),5)</f>
        <v>5</v>
      </c>
      <c r="K422" s="1" t="str">
        <f ca="1">IFERROR(__xludf.DUMMYFUNCTION("""COMPUTED_VALUE"""),"Fully Remote with Options to travel as and when needed")</f>
        <v>Fully Remote with Options to travel as and when needed</v>
      </c>
      <c r="L422" s="1" t="str">
        <f ca="1">IFERROR(__xludf.DUMMYFUNCTION("""COMPUTED_VALUE"""),"Employer who pushes your limits by enabling an learning environment, and rewards you at the end")</f>
        <v>Employer who pushes your limits by enabling an learning environment, and rewards you at the end</v>
      </c>
      <c r="M422" s="1" t="str">
        <f ca="1">IFERROR(__xludf.DUMMYFUNCTION("""COMPUTED_VALUE"""),"Self Paced Learning Portals of the Company, Instructor or Expert Learning Programs, Manager Teaching you")</f>
        <v>Self Paced Learning Portals of the Company, Instructor or Expert Learning Programs, Manager Teaching you</v>
      </c>
      <c r="N42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422" s="1" t="str">
        <f ca="1">IFERROR(__xludf.DUMMYFUNCTION("""COMPUTED_VALUE"""),"Manager who clearly describes what she/he needs")</f>
        <v>Manager who clearly describes what she/he needs</v>
      </c>
      <c r="P422" s="1" t="str">
        <f ca="1">IFERROR(__xludf.DUMMYFUNCTION("""COMPUTED_VALUE"""),"Work with 7 to 10 or more people in my team")</f>
        <v>Work with 7 to 10 or more people in my team</v>
      </c>
      <c r="Q422" s="1"/>
    </row>
    <row r="423" spans="1:17" ht="13.2" x14ac:dyDescent="0.25">
      <c r="A423" s="2">
        <f ca="1">IFERROR(__xludf.DUMMYFUNCTION("""COMPUTED_VALUE"""),45021.4441805555)</f>
        <v>45021.444180555503</v>
      </c>
      <c r="B423" s="1" t="str">
        <f ca="1">IFERROR(__xludf.DUMMYFUNCTION("""COMPUTED_VALUE"""),"Others")</f>
        <v>Others</v>
      </c>
      <c r="C423" s="1" t="str">
        <f ca="1">IFERROR(__xludf.DUMMYFUNCTION("""COMPUTED_VALUE"""),"02-414")</f>
        <v>02-414</v>
      </c>
      <c r="D423" s="3" t="str">
        <f ca="1">IFERROR(__xludf.DUMMYFUNCTION("""COMPUTED_VALUE"""),"Male")</f>
        <v>Male</v>
      </c>
      <c r="E423" s="1" t="str">
        <f ca="1">IFERROR(__xludf.DUMMYFUNCTION("""COMPUTED_VALUE"""),"People from my circle, but not family members")</f>
        <v>People from my circle, but not family members</v>
      </c>
      <c r="F423" s="1" t="str">
        <f ca="1">IFERROR(__xludf.DUMMYFUNCTION("""COMPUTED_VALUE"""),"Yes, I will earn and do that")</f>
        <v>Yes, I will earn and do that</v>
      </c>
      <c r="G423" s="1" t="str">
        <f ca="1">IFERROR(__xludf.DUMMYFUNCTION("""COMPUTED_VALUE"""),"This will be hard to do, but if it is the right company I would try")</f>
        <v>This will be hard to do, but if it is the right company I would try</v>
      </c>
      <c r="H423" s="1" t="str">
        <f ca="1">IFERROR(__xludf.DUMMYFUNCTION("""COMPUTED_VALUE"""),"Yes")</f>
        <v>Yes</v>
      </c>
      <c r="I423" s="1" t="str">
        <f ca="1">IFERROR(__xludf.DUMMYFUNCTION("""COMPUTED_VALUE"""),"Will work for them")</f>
        <v>Will work for them</v>
      </c>
      <c r="J423" s="1">
        <f ca="1">IFERROR(__xludf.DUMMYFUNCTION("""COMPUTED_VALUE"""),6)</f>
        <v>6</v>
      </c>
      <c r="K423" s="1" t="str">
        <f ca="1">IFERROR(__xludf.DUMMYFUNCTION("""COMPUTED_VALUE"""),"Hybrid Working Environment with less than 3 days a month at office")</f>
        <v>Hybrid Working Environment with less than 3 days a month at office</v>
      </c>
      <c r="L423" s="1" t="str">
        <f ca="1">IFERROR(__xludf.DUMMYFUNCTION("""COMPUTED_VALUE"""),"Employer who pushes your limits by enabling an learning environment, and rewards you at the end")</f>
        <v>Employer who pushes your limits by enabling an learning environment, and rewards you at the end</v>
      </c>
      <c r="M42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2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423" s="1" t="str">
        <f ca="1">IFERROR(__xludf.DUMMYFUNCTION("""COMPUTED_VALUE"""),"Manager who explains what is expected, sets a goal and helps achieve it")</f>
        <v>Manager who explains what is expected, sets a goal and helps achieve it</v>
      </c>
      <c r="P423" s="1" t="str">
        <f ca="1">IFERROR(__xludf.DUMMYFUNCTION("""COMPUTED_VALUE"""),"Work with 2 to 3 people in my team, Work with 5 to 6 people in my team")</f>
        <v>Work with 2 to 3 people in my team, Work with 5 to 6 people in my team</v>
      </c>
      <c r="Q423" s="1"/>
    </row>
    <row r="424" spans="1:17" ht="13.2" x14ac:dyDescent="0.25">
      <c r="A424" s="2">
        <f ca="1">IFERROR(__xludf.DUMMYFUNCTION("""COMPUTED_VALUE"""),45021.4447393865)</f>
        <v>45021.444739386498</v>
      </c>
      <c r="B424" s="1" t="str">
        <f ca="1">IFERROR(__xludf.DUMMYFUNCTION("""COMPUTED_VALUE"""),"India")</f>
        <v>India</v>
      </c>
      <c r="C424" s="1">
        <f ca="1">IFERROR(__xludf.DUMMYFUNCTION("""COMPUTED_VALUE"""),500008)</f>
        <v>500008</v>
      </c>
      <c r="D424" s="3" t="str">
        <f ca="1">IFERROR(__xludf.DUMMYFUNCTION("""COMPUTED_VALUE"""),"Male")</f>
        <v>Male</v>
      </c>
      <c r="E424" s="1" t="str">
        <f ca="1">IFERROR(__xludf.DUMMYFUNCTION("""COMPUTED_VALUE"""),"People who have changed the world for better")</f>
        <v>People who have changed the world for better</v>
      </c>
      <c r="F424" s="1" t="str">
        <f ca="1">IFERROR(__xludf.DUMMYFUNCTION("""COMPUTED_VALUE"""),"No, But if someone could bare the cost I will")</f>
        <v>No, But if someone could bare the cost I will</v>
      </c>
      <c r="G424" s="1" t="str">
        <f ca="1">IFERROR(__xludf.DUMMYFUNCTION("""COMPUTED_VALUE"""),"This will be hard to do, but if it is the right company I would try")</f>
        <v>This will be hard to do, but if it is the right company I would try</v>
      </c>
      <c r="H424" s="1" t="str">
        <f ca="1">IFERROR(__xludf.DUMMYFUNCTION("""COMPUTED_VALUE"""),"Yes")</f>
        <v>Yes</v>
      </c>
      <c r="I424" s="1" t="str">
        <f ca="1">IFERROR(__xludf.DUMMYFUNCTION("""COMPUTED_VALUE"""),"Will work for them")</f>
        <v>Will work for them</v>
      </c>
      <c r="J424" s="1">
        <f ca="1">IFERROR(__xludf.DUMMYFUNCTION("""COMPUTED_VALUE"""),5)</f>
        <v>5</v>
      </c>
      <c r="K424" s="1" t="str">
        <f ca="1">IFERROR(__xludf.DUMMYFUNCTION("""COMPUTED_VALUE"""),"Fully Remote with Options to travel as and when needed")</f>
        <v>Fully Remote with Options to travel as and when needed</v>
      </c>
      <c r="L424" s="1" t="str">
        <f ca="1">IFERROR(__xludf.DUMMYFUNCTION("""COMPUTED_VALUE"""),"Employer who appreciates learning and enables that environment")</f>
        <v>Employer who appreciates learning and enables that environment</v>
      </c>
      <c r="M424" s="1" t="str">
        <f ca="1">IFERROR(__xludf.DUMMYFUNCTION("""COMPUTED_VALUE"""),"Self Paced Learning Portals of the Company, Instructor or Expert Learning Programs, Manager Teaching you")</f>
        <v>Self Paced Learning Portals of the Company, Instructor or Expert Learning Programs, Manager Teaching you</v>
      </c>
      <c r="N42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4" s="1" t="str">
        <f ca="1">IFERROR(__xludf.DUMMYFUNCTION("""COMPUTED_VALUE"""),"Manager who sets goal and helps me achieve it")</f>
        <v>Manager who sets goal and helps me achieve it</v>
      </c>
      <c r="P424" s="1" t="str">
        <f ca="1">IFERROR(__xludf.DUMMYFUNCTION("""COMPUTED_VALUE"""),"Work alone")</f>
        <v>Work alone</v>
      </c>
      <c r="Q424" s="1"/>
    </row>
    <row r="425" spans="1:17" ht="13.2" x14ac:dyDescent="0.25">
      <c r="A425" s="2">
        <f ca="1">IFERROR(__xludf.DUMMYFUNCTION("""COMPUTED_VALUE"""),45021.4459127546)</f>
        <v>45021.4459127546</v>
      </c>
      <c r="B425" s="1" t="str">
        <f ca="1">IFERROR(__xludf.DUMMYFUNCTION("""COMPUTED_VALUE"""),"India")</f>
        <v>India</v>
      </c>
      <c r="C425" s="1">
        <f ca="1">IFERROR(__xludf.DUMMYFUNCTION("""COMPUTED_VALUE"""),400083)</f>
        <v>400083</v>
      </c>
      <c r="D425" s="3" t="str">
        <f ca="1">IFERROR(__xludf.DUMMYFUNCTION("""COMPUTED_VALUE"""),"Male")</f>
        <v>Male</v>
      </c>
      <c r="E425" s="1" t="str">
        <f ca="1">IFERROR(__xludf.DUMMYFUNCTION("""COMPUTED_VALUE"""),"Social Media like LinkedIn")</f>
        <v>Social Media like LinkedIn</v>
      </c>
      <c r="F425" s="1" t="str">
        <f ca="1">IFERROR(__xludf.DUMMYFUNCTION("""COMPUTED_VALUE"""),"No I would not be pursuing Higher Education outside of India")</f>
        <v>No I would not be pursuing Higher Education outside of India</v>
      </c>
      <c r="G425" s="1" t="str">
        <f ca="1">IFERROR(__xludf.DUMMYFUNCTION("""COMPUTED_VALUE"""),"This will be hard to do, but if it is the right company I would try")</f>
        <v>This will be hard to do, but if it is the right company I would try</v>
      </c>
      <c r="H425" s="1" t="str">
        <f ca="1">IFERROR(__xludf.DUMMYFUNCTION("""COMPUTED_VALUE"""),"Yes")</f>
        <v>Yes</v>
      </c>
      <c r="I425" s="1" t="str">
        <f ca="1">IFERROR(__xludf.DUMMYFUNCTION("""COMPUTED_VALUE"""),"Will work for them")</f>
        <v>Will work for them</v>
      </c>
      <c r="J425" s="1">
        <f ca="1">IFERROR(__xludf.DUMMYFUNCTION("""COMPUTED_VALUE"""),10)</f>
        <v>10</v>
      </c>
      <c r="K425" s="1" t="str">
        <f ca="1">IFERROR(__xludf.DUMMYFUNCTION("""COMPUTED_VALUE"""),"Hybrid Working Environment with less than 3 days a month at office")</f>
        <v>Hybrid Working Environment with less than 3 days a month at office</v>
      </c>
      <c r="L425" s="1" t="str">
        <f ca="1">IFERROR(__xludf.DUMMYFUNCTION("""COMPUTED_VALUE"""),"Employer who appreciates learning and enables that environment")</f>
        <v>Employer who appreciates learning and enables that environment</v>
      </c>
      <c r="M42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25"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425" s="1" t="str">
        <f ca="1">IFERROR(__xludf.DUMMYFUNCTION("""COMPUTED_VALUE"""),"Manager who clearly describes what she/he needs")</f>
        <v>Manager who clearly describes what she/he needs</v>
      </c>
      <c r="P425" s="1" t="str">
        <f ca="1">IFERROR(__xludf.DUMMYFUNCTION("""COMPUTED_VALUE"""),"Work with 2 to 3 people in my team")</f>
        <v>Work with 2 to 3 people in my team</v>
      </c>
      <c r="Q425" s="1"/>
    </row>
    <row r="426" spans="1:17" ht="13.2" x14ac:dyDescent="0.25">
      <c r="A426" s="2">
        <f ca="1">IFERROR(__xludf.DUMMYFUNCTION("""COMPUTED_VALUE"""),45021.4491116898)</f>
        <v>45021.449111689799</v>
      </c>
      <c r="B426" s="1" t="str">
        <f ca="1">IFERROR(__xludf.DUMMYFUNCTION("""COMPUTED_VALUE"""),"India")</f>
        <v>India</v>
      </c>
      <c r="C426" s="1">
        <f ca="1">IFERROR(__xludf.DUMMYFUNCTION("""COMPUTED_VALUE"""),627357)</f>
        <v>627357</v>
      </c>
      <c r="D426" s="3" t="str">
        <f ca="1">IFERROR(__xludf.DUMMYFUNCTION("""COMPUTED_VALUE"""),"Male")</f>
        <v>Male</v>
      </c>
      <c r="E426" s="1" t="str">
        <f ca="1">IFERROR(__xludf.DUMMYFUNCTION("""COMPUTED_VALUE"""),"People who have changed the world for better")</f>
        <v>People who have changed the world for better</v>
      </c>
      <c r="F426" s="1" t="str">
        <f ca="1">IFERROR(__xludf.DUMMYFUNCTION("""COMPUTED_VALUE"""),"Yes, I will earn and do that")</f>
        <v>Yes, I will earn and do that</v>
      </c>
      <c r="G426" s="1" t="str">
        <f ca="1">IFERROR(__xludf.DUMMYFUNCTION("""COMPUTED_VALUE"""),"This will be hard to do, but if it is the right company I would try")</f>
        <v>This will be hard to do, but if it is the right company I would try</v>
      </c>
      <c r="H426" s="1" t="str">
        <f ca="1">IFERROR(__xludf.DUMMYFUNCTION("""COMPUTED_VALUE"""),"Yes")</f>
        <v>Yes</v>
      </c>
      <c r="I426" s="1" t="str">
        <f ca="1">IFERROR(__xludf.DUMMYFUNCTION("""COMPUTED_VALUE"""),"Will work for them")</f>
        <v>Will work for them</v>
      </c>
      <c r="J426" s="1">
        <f ca="1">IFERROR(__xludf.DUMMYFUNCTION("""COMPUTED_VALUE"""),8)</f>
        <v>8</v>
      </c>
      <c r="K426" s="1" t="str">
        <f ca="1">IFERROR(__xludf.DUMMYFUNCTION("""COMPUTED_VALUE"""),"Every Day Office Environment")</f>
        <v>Every Day Office Environment</v>
      </c>
      <c r="L426" s="1" t="str">
        <f ca="1">IFERROR(__xludf.DUMMYFUNCTION("""COMPUTED_VALUE"""),"Employer who pushes your limits by enabling an learning environment, and rewards you at the end")</f>
        <v>Employer who pushes your limits by enabling an learning environment, and rewards you at the end</v>
      </c>
      <c r="M4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26"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426" s="1" t="str">
        <f ca="1">IFERROR(__xludf.DUMMYFUNCTION("""COMPUTED_VALUE"""),"Manager who explains what is expected, sets a goal and helps achieve it")</f>
        <v>Manager who explains what is expected, sets a goal and helps achieve it</v>
      </c>
      <c r="P426" s="1" t="str">
        <f ca="1">IFERROR(__xludf.DUMMYFUNCTION("""COMPUTED_VALUE"""),"Work with 5 to 6 people in my team")</f>
        <v>Work with 5 to 6 people in my team</v>
      </c>
      <c r="Q426" s="1"/>
    </row>
    <row r="427" spans="1:17" ht="13.2" x14ac:dyDescent="0.25">
      <c r="A427" s="2">
        <f ca="1">IFERROR(__xludf.DUMMYFUNCTION("""COMPUTED_VALUE"""),45021.4501617476)</f>
        <v>45021.450161747598</v>
      </c>
      <c r="B427" s="1" t="str">
        <f ca="1">IFERROR(__xludf.DUMMYFUNCTION("""COMPUTED_VALUE"""),"India")</f>
        <v>India</v>
      </c>
      <c r="C427" s="1">
        <f ca="1">IFERROR(__xludf.DUMMYFUNCTION("""COMPUTED_VALUE"""),500036)</f>
        <v>500036</v>
      </c>
      <c r="D427" s="3" t="str">
        <f ca="1">IFERROR(__xludf.DUMMYFUNCTION("""COMPUTED_VALUE"""),"Male")</f>
        <v>Male</v>
      </c>
      <c r="E427" s="1" t="str">
        <f ca="1">IFERROR(__xludf.DUMMYFUNCTION("""COMPUTED_VALUE"""),"My Parents")</f>
        <v>My Parents</v>
      </c>
      <c r="F427" s="1" t="str">
        <f ca="1">IFERROR(__xludf.DUMMYFUNCTION("""COMPUTED_VALUE"""),"Yes, I will earn and do that")</f>
        <v>Yes, I will earn and do that</v>
      </c>
      <c r="G427" s="1" t="str">
        <f ca="1">IFERROR(__xludf.DUMMYFUNCTION("""COMPUTED_VALUE"""),"This will be hard to do, but if it is the right company I would try")</f>
        <v>This will be hard to do, but if it is the right company I would try</v>
      </c>
      <c r="H427" s="1" t="str">
        <f ca="1">IFERROR(__xludf.DUMMYFUNCTION("""COMPUTED_VALUE"""),"No")</f>
        <v>No</v>
      </c>
      <c r="I427" s="1" t="str">
        <f ca="1">IFERROR(__xludf.DUMMYFUNCTION("""COMPUTED_VALUE"""),"Will NOT work for them")</f>
        <v>Will NOT work for them</v>
      </c>
      <c r="J427" s="1">
        <f ca="1">IFERROR(__xludf.DUMMYFUNCTION("""COMPUTED_VALUE"""),3)</f>
        <v>3</v>
      </c>
      <c r="K427" s="1" t="str">
        <f ca="1">IFERROR(__xludf.DUMMYFUNCTION("""COMPUTED_VALUE"""),"Hybrid Working Environment with more than 15 days a month at office")</f>
        <v>Hybrid Working Environment with more than 15 days a month at office</v>
      </c>
      <c r="L427" s="1" t="str">
        <f ca="1">IFERROR(__xludf.DUMMYFUNCTION("""COMPUTED_VALUE"""),"Employer who appreciates learning and enables that environment")</f>
        <v>Employer who appreciates learning and enables that environment</v>
      </c>
      <c r="M42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27"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427" s="1" t="str">
        <f ca="1">IFERROR(__xludf.DUMMYFUNCTION("""COMPUTED_VALUE"""),"Manager who clearly describes what she/he needs")</f>
        <v>Manager who clearly describes what she/he needs</v>
      </c>
      <c r="P427" s="1" t="str">
        <f ca="1">IFERROR(__xludf.DUMMYFUNCTION("""COMPUTED_VALUE"""),"Work with 2 to 3 people in my team")</f>
        <v>Work with 2 to 3 people in my team</v>
      </c>
      <c r="Q427" s="1"/>
    </row>
    <row r="428" spans="1:17" ht="13.2" x14ac:dyDescent="0.25">
      <c r="A428" s="2">
        <f ca="1">IFERROR(__xludf.DUMMYFUNCTION("""COMPUTED_VALUE"""),45021.4502098263)</f>
        <v>45021.450209826296</v>
      </c>
      <c r="B428" s="1" t="str">
        <f ca="1">IFERROR(__xludf.DUMMYFUNCTION("""COMPUTED_VALUE"""),"India")</f>
        <v>India</v>
      </c>
      <c r="C428" s="1">
        <f ca="1">IFERROR(__xludf.DUMMYFUNCTION("""COMPUTED_VALUE"""),500079)</f>
        <v>500079</v>
      </c>
      <c r="D428" s="3" t="str">
        <f ca="1">IFERROR(__xludf.DUMMYFUNCTION("""COMPUTED_VALUE"""),"Female")</f>
        <v>Female</v>
      </c>
      <c r="E428" s="1" t="str">
        <f ca="1">IFERROR(__xludf.DUMMYFUNCTION("""COMPUTED_VALUE"""),"People who have changed the world for better")</f>
        <v>People who have changed the world for better</v>
      </c>
      <c r="F428" s="1" t="str">
        <f ca="1">IFERROR(__xludf.DUMMYFUNCTION("""COMPUTED_VALUE"""),"No, But if someone could bare the cost I will")</f>
        <v>No, But if someone could bare the cost I will</v>
      </c>
      <c r="G428" s="1" t="str">
        <f ca="1">IFERROR(__xludf.DUMMYFUNCTION("""COMPUTED_VALUE"""),"This will be hard to do, but if it is the right company I would try")</f>
        <v>This will be hard to do, but if it is the right company I would try</v>
      </c>
      <c r="H428" s="1" t="str">
        <f ca="1">IFERROR(__xludf.DUMMYFUNCTION("""COMPUTED_VALUE"""),"No")</f>
        <v>No</v>
      </c>
      <c r="I428" s="1" t="str">
        <f ca="1">IFERROR(__xludf.DUMMYFUNCTION("""COMPUTED_VALUE"""),"Will NOT work for them")</f>
        <v>Will NOT work for them</v>
      </c>
      <c r="J428" s="1">
        <f ca="1">IFERROR(__xludf.DUMMYFUNCTION("""COMPUTED_VALUE"""),7)</f>
        <v>7</v>
      </c>
      <c r="K428" s="1" t="str">
        <f ca="1">IFERROR(__xludf.DUMMYFUNCTION("""COMPUTED_VALUE"""),"Fully Remote with Options to travel as and when needed")</f>
        <v>Fully Remote with Options to travel as and when needed</v>
      </c>
      <c r="L428" s="1" t="str">
        <f ca="1">IFERROR(__xludf.DUMMYFUNCTION("""COMPUTED_VALUE"""),"Employer who pushes your limits by enabling an learning environment, and rewards you at the end")</f>
        <v>Employer who pushes your limits by enabling an learning environment, and rewards you at the end</v>
      </c>
      <c r="M42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28"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428" s="1" t="str">
        <f ca="1">IFERROR(__xludf.DUMMYFUNCTION("""COMPUTED_VALUE"""),"Manager who explains what is expected, sets a goal and helps achieve it")</f>
        <v>Manager who explains what is expected, sets a goal and helps achieve it</v>
      </c>
      <c r="P428" s="1" t="str">
        <f ca="1">IFERROR(__xludf.DUMMYFUNCTION("""COMPUTED_VALUE"""),"Work with 7 to 10 or more people in my team")</f>
        <v>Work with 7 to 10 or more people in my team</v>
      </c>
      <c r="Q428" s="1"/>
    </row>
    <row r="429" spans="1:17" ht="13.2" x14ac:dyDescent="0.25">
      <c r="A429" s="2">
        <f ca="1">IFERROR(__xludf.DUMMYFUNCTION("""COMPUTED_VALUE"""),45021.4513109838)</f>
        <v>45021.451310983801</v>
      </c>
      <c r="B429" s="1" t="str">
        <f ca="1">IFERROR(__xludf.DUMMYFUNCTION("""COMPUTED_VALUE"""),"India")</f>
        <v>India</v>
      </c>
      <c r="C429" s="1">
        <f ca="1">IFERROR(__xludf.DUMMYFUNCTION("""COMPUTED_VALUE"""),440036)</f>
        <v>440036</v>
      </c>
      <c r="D429" s="3" t="str">
        <f ca="1">IFERROR(__xludf.DUMMYFUNCTION("""COMPUTED_VALUE"""),"Female")</f>
        <v>Female</v>
      </c>
      <c r="E429" s="1" t="str">
        <f ca="1">IFERROR(__xludf.DUMMYFUNCTION("""COMPUTED_VALUE"""),"My Parents")</f>
        <v>My Parents</v>
      </c>
      <c r="F429" s="1" t="str">
        <f ca="1">IFERROR(__xludf.DUMMYFUNCTION("""COMPUTED_VALUE"""),"Yes, I will earn and do that")</f>
        <v>Yes, I will earn and do that</v>
      </c>
      <c r="G429" s="1" t="str">
        <f ca="1">IFERROR(__xludf.DUMMYFUNCTION("""COMPUTED_VALUE"""),"This will be hard to do, but if it is the right company I would try")</f>
        <v>This will be hard to do, but if it is the right company I would try</v>
      </c>
      <c r="H429" s="1" t="str">
        <f ca="1">IFERROR(__xludf.DUMMYFUNCTION("""COMPUTED_VALUE"""),"Yes")</f>
        <v>Yes</v>
      </c>
      <c r="I429" s="1" t="str">
        <f ca="1">IFERROR(__xludf.DUMMYFUNCTION("""COMPUTED_VALUE"""),"Will NOT work for them")</f>
        <v>Will NOT work for them</v>
      </c>
      <c r="J429" s="1">
        <f ca="1">IFERROR(__xludf.DUMMYFUNCTION("""COMPUTED_VALUE"""),3)</f>
        <v>3</v>
      </c>
      <c r="K429" s="1" t="str">
        <f ca="1">IFERROR(__xludf.DUMMYFUNCTION("""COMPUTED_VALUE"""),"Fully Remote with Options to travel as and when needed")</f>
        <v>Fully Remote with Options to travel as and when needed</v>
      </c>
      <c r="L429" s="1" t="str">
        <f ca="1">IFERROR(__xludf.DUMMYFUNCTION("""COMPUTED_VALUE"""),"Employer who pushes your limits by enabling an learning environment, and rewards you at the end")</f>
        <v>Employer who pushes your limits by enabling an learning environment, and rewards you at the end</v>
      </c>
      <c r="M42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29" s="1" t="str">
        <f ca="1">IFERROR(__xludf.DUMMYFUNCTION("""COMPUTED_VALUE"""),"Design and Creative strategy in any company, Teaching in any of the institutes/colleges/online or offline, An Artificial Intelligence Specialist / Talking to Robots, Manufacturing / Oil and Gas/ Construction / Hard Physical Work related")</f>
        <v>Design and Creative strategy in any company, Teaching in any of the institutes/colleges/online or offline, An Artificial Intelligence Specialist / Talking to Robots, Manufacturing / Oil and Gas/ Construction / Hard Physical Work related</v>
      </c>
      <c r="O429" s="1" t="str">
        <f ca="1">IFERROR(__xludf.DUMMYFUNCTION("""COMPUTED_VALUE"""),"Manager who explains what is expected, sets a goal and helps achieve it")</f>
        <v>Manager who explains what is expected, sets a goal and helps achieve it</v>
      </c>
      <c r="P429" s="1" t="str">
        <f ca="1">IFERROR(__xludf.DUMMYFUNCTION("""COMPUTED_VALUE"""),"Work with 2 to 3 people in my team")</f>
        <v>Work with 2 to 3 people in my team</v>
      </c>
      <c r="Q429" s="1"/>
    </row>
    <row r="430" spans="1:17" ht="13.2" x14ac:dyDescent="0.25">
      <c r="A430" s="2">
        <f ca="1">IFERROR(__xludf.DUMMYFUNCTION("""COMPUTED_VALUE"""),45021.4521712615)</f>
        <v>45021.452171261502</v>
      </c>
      <c r="B430" s="1" t="str">
        <f ca="1">IFERROR(__xludf.DUMMYFUNCTION("""COMPUTED_VALUE"""),"India")</f>
        <v>India</v>
      </c>
      <c r="C430" s="1">
        <f ca="1">IFERROR(__xludf.DUMMYFUNCTION("""COMPUTED_VALUE"""),500060)</f>
        <v>500060</v>
      </c>
      <c r="D430" s="3" t="str">
        <f ca="1">IFERROR(__xludf.DUMMYFUNCTION("""COMPUTED_VALUE"""),"Male")</f>
        <v>Male</v>
      </c>
      <c r="E430" s="1" t="str">
        <f ca="1">IFERROR(__xludf.DUMMYFUNCTION("""COMPUTED_VALUE"""),"People who have changed the world for better")</f>
        <v>People who have changed the world for better</v>
      </c>
      <c r="F430" s="1" t="str">
        <f ca="1">IFERROR(__xludf.DUMMYFUNCTION("""COMPUTED_VALUE"""),"No I would not be pursuing Higher Education outside of India")</f>
        <v>No I would not be pursuing Higher Education outside of India</v>
      </c>
      <c r="G430" s="1" t="str">
        <f ca="1">IFERROR(__xludf.DUMMYFUNCTION("""COMPUTED_VALUE"""),"No way")</f>
        <v>No way</v>
      </c>
      <c r="H430" s="1" t="str">
        <f ca="1">IFERROR(__xludf.DUMMYFUNCTION("""COMPUTED_VALUE"""),"No")</f>
        <v>No</v>
      </c>
      <c r="I430" s="1" t="str">
        <f ca="1">IFERROR(__xludf.DUMMYFUNCTION("""COMPUTED_VALUE"""),"Will NOT work for them")</f>
        <v>Will NOT work for them</v>
      </c>
      <c r="J430" s="1">
        <f ca="1">IFERROR(__xludf.DUMMYFUNCTION("""COMPUTED_VALUE"""),1)</f>
        <v>1</v>
      </c>
      <c r="K430" s="1" t="str">
        <f ca="1">IFERROR(__xludf.DUMMYFUNCTION("""COMPUTED_VALUE"""),"Hybrid Working Environment with less than 3 days a month at office")</f>
        <v>Hybrid Working Environment with less than 3 days a month at office</v>
      </c>
      <c r="L430" s="1" t="str">
        <f ca="1">IFERROR(__xludf.DUMMYFUNCTION("""COMPUTED_VALUE"""),"Employer who pushes your limits and doesn't enables learning environment and never rewards you")</f>
        <v>Employer who pushes your limits and doesn't enables learning environment and never rewards you</v>
      </c>
      <c r="M43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30"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430" s="1" t="str">
        <f ca="1">IFERROR(__xludf.DUMMYFUNCTION("""COMPUTED_VALUE"""),"Manager who clearly describes what she/he needs")</f>
        <v>Manager who clearly describes what she/he needs</v>
      </c>
      <c r="P430" s="1" t="str">
        <f ca="1">IFERROR(__xludf.DUMMYFUNCTION("""COMPUTED_VALUE"""),"Work with 5 to 6 people in my team")</f>
        <v>Work with 5 to 6 people in my team</v>
      </c>
      <c r="Q430" s="1"/>
    </row>
    <row r="431" spans="1:17" ht="13.2" x14ac:dyDescent="0.25">
      <c r="A431" s="2">
        <f ca="1">IFERROR(__xludf.DUMMYFUNCTION("""COMPUTED_VALUE"""),45021.4536553125)</f>
        <v>45021.4536553125</v>
      </c>
      <c r="B431" s="1" t="str">
        <f ca="1">IFERROR(__xludf.DUMMYFUNCTION("""COMPUTED_VALUE"""),"India")</f>
        <v>India</v>
      </c>
      <c r="C431" s="1">
        <f ca="1">IFERROR(__xludf.DUMMYFUNCTION("""COMPUTED_VALUE"""),560076)</f>
        <v>560076</v>
      </c>
      <c r="D431" s="3" t="str">
        <f ca="1">IFERROR(__xludf.DUMMYFUNCTION("""COMPUTED_VALUE"""),"Male")</f>
        <v>Male</v>
      </c>
      <c r="E431" s="1" t="str">
        <f ca="1">IFERROR(__xludf.DUMMYFUNCTION("""COMPUTED_VALUE"""),"Influencers who had successful careers")</f>
        <v>Influencers who had successful careers</v>
      </c>
      <c r="F431" s="1" t="str">
        <f ca="1">IFERROR(__xludf.DUMMYFUNCTION("""COMPUTED_VALUE"""),"Yes, I will earn and do that")</f>
        <v>Yes, I will earn and do that</v>
      </c>
      <c r="G431" s="1" t="str">
        <f ca="1">IFERROR(__xludf.DUMMYFUNCTION("""COMPUTED_VALUE"""),"This will be hard to do, but if it is the right company I would try")</f>
        <v>This will be hard to do, but if it is the right company I would try</v>
      </c>
      <c r="H431" s="1" t="str">
        <f ca="1">IFERROR(__xludf.DUMMYFUNCTION("""COMPUTED_VALUE"""),"No")</f>
        <v>No</v>
      </c>
      <c r="I431" s="1" t="str">
        <f ca="1">IFERROR(__xludf.DUMMYFUNCTION("""COMPUTED_VALUE"""),"Will NOT work for them")</f>
        <v>Will NOT work for them</v>
      </c>
      <c r="J431" s="1">
        <f ca="1">IFERROR(__xludf.DUMMYFUNCTION("""COMPUTED_VALUE"""),2)</f>
        <v>2</v>
      </c>
      <c r="K431" s="1" t="str">
        <f ca="1">IFERROR(__xludf.DUMMYFUNCTION("""COMPUTED_VALUE"""),"Hybrid Working Environment with less than 3 days a month at office")</f>
        <v>Hybrid Working Environment with less than 3 days a month at office</v>
      </c>
      <c r="L431" s="1" t="str">
        <f ca="1">IFERROR(__xludf.DUMMYFUNCTION("""COMPUTED_VALUE"""),"Employer who pushes your limits by enabling an learning environment, and rewards you at the end")</f>
        <v>Employer who pushes your limits by enabling an learning environment, and rewards you at the end</v>
      </c>
      <c r="M431" s="1" t="str">
        <f ca="1">IFERROR(__xludf.DUMMYFUNCTION("""COMPUTED_VALUE"""),"Self Paced Learning Portals of the Company, Learning by observing others, Manager Teaching you")</f>
        <v>Self Paced Learning Portals of the Company, Learning by observing others, Manager Teaching you</v>
      </c>
      <c r="N431"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1" s="1" t="str">
        <f ca="1">IFERROR(__xludf.DUMMYFUNCTION("""COMPUTED_VALUE"""),"Manager who explains what is expected, sets a goal and helps achieve it")</f>
        <v>Manager who explains what is expected, sets a goal and helps achieve it</v>
      </c>
      <c r="P431" s="1" t="str">
        <f ca="1">IFERROR(__xludf.DUMMYFUNCTION("""COMPUTED_VALUE"""),"Work alone, Work with 2 to 3 people in my team")</f>
        <v>Work alone, Work with 2 to 3 people in my team</v>
      </c>
      <c r="Q431" s="1"/>
    </row>
    <row r="432" spans="1:17" ht="13.2" x14ac:dyDescent="0.25">
      <c r="A432" s="2">
        <f ca="1">IFERROR(__xludf.DUMMYFUNCTION("""COMPUTED_VALUE"""),45021.4554504629)</f>
        <v>45021.455450462898</v>
      </c>
      <c r="B432" s="1" t="str">
        <f ca="1">IFERROR(__xludf.DUMMYFUNCTION("""COMPUTED_VALUE"""),"India")</f>
        <v>India</v>
      </c>
      <c r="C432" s="1">
        <f ca="1">IFERROR(__xludf.DUMMYFUNCTION("""COMPUTED_VALUE"""),500079)</f>
        <v>500079</v>
      </c>
      <c r="D432" s="3" t="str">
        <f ca="1">IFERROR(__xludf.DUMMYFUNCTION("""COMPUTED_VALUE"""),"Female")</f>
        <v>Female</v>
      </c>
      <c r="E432" s="1" t="str">
        <f ca="1">IFERROR(__xludf.DUMMYFUNCTION("""COMPUTED_VALUE"""),"Influencers who had successful careers")</f>
        <v>Influencers who had successful careers</v>
      </c>
      <c r="F432" s="1" t="str">
        <f ca="1">IFERROR(__xludf.DUMMYFUNCTION("""COMPUTED_VALUE"""),"No I would not be pursuing Higher Education outside of India")</f>
        <v>No I would not be pursuing Higher Education outside of India</v>
      </c>
      <c r="G432" s="1" t="str">
        <f ca="1">IFERROR(__xludf.DUMMYFUNCTION("""COMPUTED_VALUE"""),"Will work for 3 years or more")</f>
        <v>Will work for 3 years or more</v>
      </c>
      <c r="H432" s="1" t="str">
        <f ca="1">IFERROR(__xludf.DUMMYFUNCTION("""COMPUTED_VALUE"""),"No")</f>
        <v>No</v>
      </c>
      <c r="I432" s="1" t="str">
        <f ca="1">IFERROR(__xludf.DUMMYFUNCTION("""COMPUTED_VALUE"""),"Will NOT work for them")</f>
        <v>Will NOT work for them</v>
      </c>
      <c r="J432" s="1">
        <f ca="1">IFERROR(__xludf.DUMMYFUNCTION("""COMPUTED_VALUE"""),5)</f>
        <v>5</v>
      </c>
      <c r="K432" s="1" t="str">
        <f ca="1">IFERROR(__xludf.DUMMYFUNCTION("""COMPUTED_VALUE"""),"Hybrid Working Environment with more than 15 days a month at office")</f>
        <v>Hybrid Working Environment with more than 15 days a month at office</v>
      </c>
      <c r="L432" s="1" t="str">
        <f ca="1">IFERROR(__xludf.DUMMYFUNCTION("""COMPUTED_VALUE"""),"Employer who pushes your limits by enabling an learning environment, and rewards you at the end")</f>
        <v>Employer who pushes your limits by enabling an learning environment, and rewards you at the end</v>
      </c>
      <c r="M4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3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32" s="1" t="str">
        <f ca="1">IFERROR(__xludf.DUMMYFUNCTION("""COMPUTED_VALUE"""),"Manager who sets goal and helps me achieve it")</f>
        <v>Manager who sets goal and helps me achieve it</v>
      </c>
      <c r="P432" s="1" t="str">
        <f ca="1">IFERROR(__xludf.DUMMYFUNCTION("""COMPUTED_VALUE"""),"Work with 5 to 6 people in my team")</f>
        <v>Work with 5 to 6 people in my team</v>
      </c>
      <c r="Q432" s="1"/>
    </row>
    <row r="433" spans="1:17" ht="13.2" x14ac:dyDescent="0.25">
      <c r="A433" s="2">
        <f ca="1">IFERROR(__xludf.DUMMYFUNCTION("""COMPUTED_VALUE"""),45021.4556394675)</f>
        <v>45021.455639467502</v>
      </c>
      <c r="B433" s="1" t="str">
        <f ca="1">IFERROR(__xludf.DUMMYFUNCTION("""COMPUTED_VALUE"""),"India")</f>
        <v>India</v>
      </c>
      <c r="C433" s="1">
        <f ca="1">IFERROR(__xludf.DUMMYFUNCTION("""COMPUTED_VALUE"""),560003)</f>
        <v>560003</v>
      </c>
      <c r="D433" s="3" t="str">
        <f ca="1">IFERROR(__xludf.DUMMYFUNCTION("""COMPUTED_VALUE"""),"Female")</f>
        <v>Female</v>
      </c>
      <c r="E433" s="1" t="str">
        <f ca="1">IFERROR(__xludf.DUMMYFUNCTION("""COMPUTED_VALUE"""),"People who have changed the world for better")</f>
        <v>People who have changed the world for better</v>
      </c>
      <c r="F433" s="1" t="str">
        <f ca="1">IFERROR(__xludf.DUMMYFUNCTION("""COMPUTED_VALUE"""),"No I would not be pursuing Higher Education outside of India")</f>
        <v>No I would not be pursuing Higher Education outside of India</v>
      </c>
      <c r="G433" s="1" t="str">
        <f ca="1">IFERROR(__xludf.DUMMYFUNCTION("""COMPUTED_VALUE"""),"Will work for 3 years or more")</f>
        <v>Will work for 3 years or more</v>
      </c>
      <c r="H433" s="1" t="str">
        <f ca="1">IFERROR(__xludf.DUMMYFUNCTION("""COMPUTED_VALUE"""),"No")</f>
        <v>No</v>
      </c>
      <c r="I433" s="1" t="str">
        <f ca="1">IFERROR(__xludf.DUMMYFUNCTION("""COMPUTED_VALUE"""),"Will NOT work for them")</f>
        <v>Will NOT work for them</v>
      </c>
      <c r="J433" s="1">
        <f ca="1">IFERROR(__xludf.DUMMYFUNCTION("""COMPUTED_VALUE"""),3)</f>
        <v>3</v>
      </c>
      <c r="K433" s="1" t="str">
        <f ca="1">IFERROR(__xludf.DUMMYFUNCTION("""COMPUTED_VALUE"""),"Hybrid Working Environment with less than 3 days a month at office")</f>
        <v>Hybrid Working Environment with less than 3 days a month at office</v>
      </c>
      <c r="L433" s="1" t="str">
        <f ca="1">IFERROR(__xludf.DUMMYFUNCTION("""COMPUTED_VALUE"""),"Employer who pushes your limits by enabling an learning environment, and rewards you at the end")</f>
        <v>Employer who pushes your limits by enabling an learning environment, and rewards you at the end</v>
      </c>
      <c r="M43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4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3" s="1" t="str">
        <f ca="1">IFERROR(__xludf.DUMMYFUNCTION("""COMPUTED_VALUE"""),"Manager who explains what is expected, sets a goal and helps achieve it")</f>
        <v>Manager who explains what is expected, sets a goal and helps achieve it</v>
      </c>
      <c r="P433" s="1" t="str">
        <f ca="1">IFERROR(__xludf.DUMMYFUNCTION("""COMPUTED_VALUE"""),"Work with 5 to 6 people in my team")</f>
        <v>Work with 5 to 6 people in my team</v>
      </c>
      <c r="Q433" s="1"/>
    </row>
    <row r="434" spans="1:17" ht="13.2" x14ac:dyDescent="0.25">
      <c r="A434" s="2">
        <f ca="1">IFERROR(__xludf.DUMMYFUNCTION("""COMPUTED_VALUE"""),45021.4562984722)</f>
        <v>45021.4562984722</v>
      </c>
      <c r="B434" s="1" t="str">
        <f ca="1">IFERROR(__xludf.DUMMYFUNCTION("""COMPUTED_VALUE"""),"India")</f>
        <v>India</v>
      </c>
      <c r="C434" s="1">
        <f ca="1">IFERROR(__xludf.DUMMYFUNCTION("""COMPUTED_VALUE"""),560100)</f>
        <v>560100</v>
      </c>
      <c r="D434" s="3" t="str">
        <f ca="1">IFERROR(__xludf.DUMMYFUNCTION("""COMPUTED_VALUE"""),"Male")</f>
        <v>Male</v>
      </c>
      <c r="E434" s="1" t="str">
        <f ca="1">IFERROR(__xludf.DUMMYFUNCTION("""COMPUTED_VALUE"""),"People who have changed the world for better")</f>
        <v>People who have changed the world for better</v>
      </c>
      <c r="F434" s="1" t="str">
        <f ca="1">IFERROR(__xludf.DUMMYFUNCTION("""COMPUTED_VALUE"""),"No, But if someone could bare the cost I will")</f>
        <v>No, But if someone could bare the cost I will</v>
      </c>
      <c r="G434" s="1" t="str">
        <f ca="1">IFERROR(__xludf.DUMMYFUNCTION("""COMPUTED_VALUE"""),"This will be hard to do, but if it is the right company I would try")</f>
        <v>This will be hard to do, but if it is the right company I would try</v>
      </c>
      <c r="H434" s="1" t="str">
        <f ca="1">IFERROR(__xludf.DUMMYFUNCTION("""COMPUTED_VALUE"""),"No")</f>
        <v>No</v>
      </c>
      <c r="I434" s="1" t="str">
        <f ca="1">IFERROR(__xludf.DUMMYFUNCTION("""COMPUTED_VALUE"""),"Will NOT work for them")</f>
        <v>Will NOT work for them</v>
      </c>
      <c r="J434" s="1">
        <f ca="1">IFERROR(__xludf.DUMMYFUNCTION("""COMPUTED_VALUE"""),5)</f>
        <v>5</v>
      </c>
      <c r="K434" s="1" t="str">
        <f ca="1">IFERROR(__xludf.DUMMYFUNCTION("""COMPUTED_VALUE"""),"Fully Remote with Options to travel as and when needed")</f>
        <v>Fully Remote with Options to travel as and when needed</v>
      </c>
      <c r="L434" s="1" t="str">
        <f ca="1">IFERROR(__xludf.DUMMYFUNCTION("""COMPUTED_VALUE"""),"Employer who appreciates learning and enables that environment")</f>
        <v>Employer who appreciates learning and enables that environment</v>
      </c>
      <c r="M434" s="1" t="str">
        <f ca="1">IFERROR(__xludf.DUMMYFUNCTION("""COMPUTED_VALUE"""),"Self Paced Learning Portals of the Company, Instructor or Expert Learning Programs, Manager Teaching you")</f>
        <v>Self Paced Learning Portals of the Company, Instructor or Expert Learning Programs, Manager Teaching you</v>
      </c>
      <c r="N434" s="1" t="str">
        <f ca="1">IFERROR(__xludf.DUMMYFUNCTION("""COMPUTED_VALUE"""),"Design and Creative strategy in any company, Manage and drive End-to-End Projects or Products, Entrepreneur or Start Up, I Want to sell things/Sales")</f>
        <v>Design and Creative strategy in any company, Manage and drive End-to-End Projects or Products, Entrepreneur or Start Up, I Want to sell things/Sales</v>
      </c>
      <c r="O434" s="1" t="str">
        <f ca="1">IFERROR(__xludf.DUMMYFUNCTION("""COMPUTED_VALUE"""),"Manager who clearly describes what she/he needs")</f>
        <v>Manager who clearly describes what she/he needs</v>
      </c>
      <c r="P434" s="1" t="str">
        <f ca="1">IFERROR(__xludf.DUMMYFUNCTION("""COMPUTED_VALUE"""),"Work with 2 to 3 people in my team")</f>
        <v>Work with 2 to 3 people in my team</v>
      </c>
      <c r="Q434" s="1"/>
    </row>
    <row r="435" spans="1:17" ht="13.2" x14ac:dyDescent="0.25">
      <c r="A435" s="2">
        <f ca="1">IFERROR(__xludf.DUMMYFUNCTION("""COMPUTED_VALUE"""),45021.4571275231)</f>
        <v>45021.457127523099</v>
      </c>
      <c r="B435" s="1" t="str">
        <f ca="1">IFERROR(__xludf.DUMMYFUNCTION("""COMPUTED_VALUE"""),"India")</f>
        <v>India</v>
      </c>
      <c r="C435" s="1">
        <f ca="1">IFERROR(__xludf.DUMMYFUNCTION("""COMPUTED_VALUE"""),400042)</f>
        <v>400042</v>
      </c>
      <c r="D435" s="3" t="str">
        <f ca="1">IFERROR(__xludf.DUMMYFUNCTION("""COMPUTED_VALUE"""),"Male")</f>
        <v>Male</v>
      </c>
      <c r="E435" s="1" t="str">
        <f ca="1">IFERROR(__xludf.DUMMYFUNCTION("""COMPUTED_VALUE"""),"Influencers who had successful careers")</f>
        <v>Influencers who had successful careers</v>
      </c>
      <c r="F435" s="1" t="str">
        <f ca="1">IFERROR(__xludf.DUMMYFUNCTION("""COMPUTED_VALUE"""),"Yes, I will earn and do that")</f>
        <v>Yes, I will earn and do that</v>
      </c>
      <c r="G435" s="1" t="str">
        <f ca="1">IFERROR(__xludf.DUMMYFUNCTION("""COMPUTED_VALUE"""),"This will be hard to do, but if it is the right company I would try")</f>
        <v>This will be hard to do, but if it is the right company I would try</v>
      </c>
      <c r="H435" s="1" t="str">
        <f ca="1">IFERROR(__xludf.DUMMYFUNCTION("""COMPUTED_VALUE"""),"No")</f>
        <v>No</v>
      </c>
      <c r="I435" s="1" t="str">
        <f ca="1">IFERROR(__xludf.DUMMYFUNCTION("""COMPUTED_VALUE"""),"Will NOT work for them")</f>
        <v>Will NOT work for them</v>
      </c>
      <c r="J435" s="1">
        <f ca="1">IFERROR(__xludf.DUMMYFUNCTION("""COMPUTED_VALUE"""),1)</f>
        <v>1</v>
      </c>
      <c r="K435" s="1" t="str">
        <f ca="1">IFERROR(__xludf.DUMMYFUNCTION("""COMPUTED_VALUE"""),"Every Day Office Environment")</f>
        <v>Every Day Office Environment</v>
      </c>
      <c r="L435" s="1" t="str">
        <f ca="1">IFERROR(__xludf.DUMMYFUNCTION("""COMPUTED_VALUE"""),"Employer who rewards learning and enables that environment")</f>
        <v>Employer who rewards learning and enables that environment</v>
      </c>
      <c r="M43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3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35" s="1" t="str">
        <f ca="1">IFERROR(__xludf.DUMMYFUNCTION("""COMPUTED_VALUE"""),"Manager who explains what is expected, sets a goal and helps achieve it")</f>
        <v>Manager who explains what is expected, sets a goal and helps achieve it</v>
      </c>
      <c r="P435"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435" s="1"/>
    </row>
    <row r="436" spans="1:17" ht="13.2" x14ac:dyDescent="0.25">
      <c r="A436" s="2">
        <f ca="1">IFERROR(__xludf.DUMMYFUNCTION("""COMPUTED_VALUE"""),45021.4631790856)</f>
        <v>45021.4631790856</v>
      </c>
      <c r="B436" s="1" t="str">
        <f ca="1">IFERROR(__xludf.DUMMYFUNCTION("""COMPUTED_VALUE"""),"India")</f>
        <v>India</v>
      </c>
      <c r="C436" s="1">
        <f ca="1">IFERROR(__xludf.DUMMYFUNCTION("""COMPUTED_VALUE"""),500079)</f>
        <v>500079</v>
      </c>
      <c r="D436" s="3" t="str">
        <f ca="1">IFERROR(__xludf.DUMMYFUNCTION("""COMPUTED_VALUE"""),"Male")</f>
        <v>Male</v>
      </c>
      <c r="E436" s="1" t="str">
        <f ca="1">IFERROR(__xludf.DUMMYFUNCTION("""COMPUTED_VALUE"""),"Influencers who had successful careers")</f>
        <v>Influencers who had successful careers</v>
      </c>
      <c r="F436" s="1" t="str">
        <f ca="1">IFERROR(__xludf.DUMMYFUNCTION("""COMPUTED_VALUE"""),"Yes, I will earn and do that")</f>
        <v>Yes, I will earn and do that</v>
      </c>
      <c r="G436" s="1" t="str">
        <f ca="1">IFERROR(__xludf.DUMMYFUNCTION("""COMPUTED_VALUE"""),"This will be hard to do, but if it is the right company I would try")</f>
        <v>This will be hard to do, but if it is the right company I would try</v>
      </c>
      <c r="H436" s="1" t="str">
        <f ca="1">IFERROR(__xludf.DUMMYFUNCTION("""COMPUTED_VALUE"""),"No")</f>
        <v>No</v>
      </c>
      <c r="I436" s="1" t="str">
        <f ca="1">IFERROR(__xludf.DUMMYFUNCTION("""COMPUTED_VALUE"""),"Will NOT work for them")</f>
        <v>Will NOT work for them</v>
      </c>
      <c r="J436" s="1">
        <f ca="1">IFERROR(__xludf.DUMMYFUNCTION("""COMPUTED_VALUE"""),6)</f>
        <v>6</v>
      </c>
      <c r="K436" s="1" t="str">
        <f ca="1">IFERROR(__xludf.DUMMYFUNCTION("""COMPUTED_VALUE"""),"Hybrid Working Environment with more than 15 days a month at office")</f>
        <v>Hybrid Working Environment with more than 15 days a month at office</v>
      </c>
      <c r="L436" s="1" t="str">
        <f ca="1">IFERROR(__xludf.DUMMYFUNCTION("""COMPUTED_VALUE"""),"Employer who pushes your limits by enabling an learning environment, and rewards you at the end")</f>
        <v>Employer who pushes your limits by enabling an learning environment, and rewards you at the end</v>
      </c>
      <c r="M43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36"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436" s="1" t="str">
        <f ca="1">IFERROR(__xludf.DUMMYFUNCTION("""COMPUTED_VALUE"""),"Manager who sets goal and helps me achieve it")</f>
        <v>Manager who sets goal and helps me achieve it</v>
      </c>
      <c r="P436" s="1" t="str">
        <f ca="1">IFERROR(__xludf.DUMMYFUNCTION("""COMPUTED_VALUE"""),"Work with more than 10 people in my team")</f>
        <v>Work with more than 10 people in my team</v>
      </c>
      <c r="Q436" s="1"/>
    </row>
    <row r="437" spans="1:17" ht="13.2" x14ac:dyDescent="0.25">
      <c r="A437" s="2">
        <f ca="1">IFERROR(__xludf.DUMMYFUNCTION("""COMPUTED_VALUE"""),45021.4641477546)</f>
        <v>45021.464147754603</v>
      </c>
      <c r="B437" s="1" t="str">
        <f ca="1">IFERROR(__xludf.DUMMYFUNCTION("""COMPUTED_VALUE"""),"India")</f>
        <v>India</v>
      </c>
      <c r="C437" s="1">
        <f ca="1">IFERROR(__xludf.DUMMYFUNCTION("""COMPUTED_VALUE"""),641005)</f>
        <v>641005</v>
      </c>
      <c r="D437" s="3" t="str">
        <f ca="1">IFERROR(__xludf.DUMMYFUNCTION("""COMPUTED_VALUE"""),"Female")</f>
        <v>Female</v>
      </c>
      <c r="E437" s="1" t="str">
        <f ca="1">IFERROR(__xludf.DUMMYFUNCTION("""COMPUTED_VALUE"""),"People from my circle, but not family members")</f>
        <v>People from my circle, but not family members</v>
      </c>
      <c r="F437" s="1" t="str">
        <f ca="1">IFERROR(__xludf.DUMMYFUNCTION("""COMPUTED_VALUE"""),"No I would not be pursuing Higher Education outside of India")</f>
        <v>No I would not be pursuing Higher Education outside of India</v>
      </c>
      <c r="G437" s="1" t="str">
        <f ca="1">IFERROR(__xludf.DUMMYFUNCTION("""COMPUTED_VALUE"""),"This will be hard to do, but if it is the right company I would try")</f>
        <v>This will be hard to do, but if it is the right company I would try</v>
      </c>
      <c r="H437" s="1" t="str">
        <f ca="1">IFERROR(__xludf.DUMMYFUNCTION("""COMPUTED_VALUE"""),"No")</f>
        <v>No</v>
      </c>
      <c r="I437" s="1" t="str">
        <f ca="1">IFERROR(__xludf.DUMMYFUNCTION("""COMPUTED_VALUE"""),"Will NOT work for them")</f>
        <v>Will NOT work for them</v>
      </c>
      <c r="J437" s="1">
        <f ca="1">IFERROR(__xludf.DUMMYFUNCTION("""COMPUTED_VALUE"""),4)</f>
        <v>4</v>
      </c>
      <c r="K437" s="1" t="str">
        <f ca="1">IFERROR(__xludf.DUMMYFUNCTION("""COMPUTED_VALUE"""),"Fully Remote with No option to visit offices")</f>
        <v>Fully Remote with No option to visit offices</v>
      </c>
      <c r="L437" s="1" t="str">
        <f ca="1">IFERROR(__xludf.DUMMYFUNCTION("""COMPUTED_VALUE"""),"Employer who rewards learning and enables that environment")</f>
        <v>Employer who rewards learning and enables that environment</v>
      </c>
      <c r="M43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37" s="1" t="str">
        <f ca="1">IFERROR(__xludf.DUMMYFUNCTION("""COMPUTED_VALUE"""),"Design and Creative strategy in any company, Teaching in any of the institutes/colleges/online or offline, Look deeply into Data and generate insights, Entrepreneur or Start Up")</f>
        <v>Design and Creative strategy in any company, Teaching in any of the institutes/colleges/online or offline, Look deeply into Data and generate insights, Entrepreneur or Start Up</v>
      </c>
      <c r="O437" s="1" t="str">
        <f ca="1">IFERROR(__xludf.DUMMYFUNCTION("""COMPUTED_VALUE"""),"Manager who explains what is expected, sets a goal and helps achieve it")</f>
        <v>Manager who explains what is expected, sets a goal and helps achieve it</v>
      </c>
      <c r="P437" s="1" t="str">
        <f ca="1">IFERROR(__xludf.DUMMYFUNCTION("""COMPUTED_VALUE"""),"Work with 2 to 3 people in my team")</f>
        <v>Work with 2 to 3 people in my team</v>
      </c>
      <c r="Q437" s="1"/>
    </row>
    <row r="438" spans="1:17" ht="13.2" x14ac:dyDescent="0.25">
      <c r="A438" s="2">
        <f ca="1">IFERROR(__xludf.DUMMYFUNCTION("""COMPUTED_VALUE"""),45021.4660854513)</f>
        <v>45021.466085451299</v>
      </c>
      <c r="B438" s="1" t="str">
        <f ca="1">IFERROR(__xludf.DUMMYFUNCTION("""COMPUTED_VALUE"""),"India")</f>
        <v>India</v>
      </c>
      <c r="C438" s="1">
        <f ca="1">IFERROR(__xludf.DUMMYFUNCTION("""COMPUTED_VALUE"""),201305)</f>
        <v>201305</v>
      </c>
      <c r="D438" s="3" t="str">
        <f ca="1">IFERROR(__xludf.DUMMYFUNCTION("""COMPUTED_VALUE"""),"Female")</f>
        <v>Female</v>
      </c>
      <c r="E438" s="1" t="str">
        <f ca="1">IFERROR(__xludf.DUMMYFUNCTION("""COMPUTED_VALUE"""),"My Parents")</f>
        <v>My Parents</v>
      </c>
      <c r="F438" s="1" t="str">
        <f ca="1">IFERROR(__xludf.DUMMYFUNCTION("""COMPUTED_VALUE"""),"Yes, I will earn and do that")</f>
        <v>Yes, I will earn and do that</v>
      </c>
      <c r="G438" s="1" t="str">
        <f ca="1">IFERROR(__xludf.DUMMYFUNCTION("""COMPUTED_VALUE"""),"Will work for 3 years or more")</f>
        <v>Will work for 3 years or more</v>
      </c>
      <c r="H438" s="1" t="str">
        <f ca="1">IFERROR(__xludf.DUMMYFUNCTION("""COMPUTED_VALUE"""),"No")</f>
        <v>No</v>
      </c>
      <c r="I438" s="1" t="str">
        <f ca="1">IFERROR(__xludf.DUMMYFUNCTION("""COMPUTED_VALUE"""),"Will NOT work for them")</f>
        <v>Will NOT work for them</v>
      </c>
      <c r="J438" s="1">
        <f ca="1">IFERROR(__xludf.DUMMYFUNCTION("""COMPUTED_VALUE"""),1)</f>
        <v>1</v>
      </c>
      <c r="K438" s="1" t="str">
        <f ca="1">IFERROR(__xludf.DUMMYFUNCTION("""COMPUTED_VALUE"""),"Every Day Office Environment")</f>
        <v>Every Day Office Environment</v>
      </c>
      <c r="L438" s="1" t="str">
        <f ca="1">IFERROR(__xludf.DUMMYFUNCTION("""COMPUTED_VALUE"""),"Employer who pushes your limits by enabling an learning environment, and rewards you at the end")</f>
        <v>Employer who pushes your limits by enabling an learning environment, and rewards you at the end</v>
      </c>
      <c r="M438" s="1" t="str">
        <f ca="1">IFERROR(__xludf.DUMMYFUNCTION("""COMPUTED_VALUE"""),"Instructor or Expert Learning Programs, Learning by observing others, Manager Teaching you")</f>
        <v>Instructor or Expert Learning Programs, Learning by observing others, Manager Teaching you</v>
      </c>
      <c r="N438" s="1" t="str">
        <f ca="1">IFERROR(__xludf.DUMMYFUNCTION("""COMPUTED_VALUE"""),"Manage and drive End-to-End Projects or Products, Work as a freelancer and do my thing my way, Become a content Creator in some platform, An Artificial Intelligence Specialist / Talking to Robots")</f>
        <v>Manage and drive End-to-End Projects or Products, Work as a freelancer and do my thing my way, Become a content Creator in some platform, An Artificial Intelligence Specialist / Talking to Robots</v>
      </c>
      <c r="O438" s="1" t="str">
        <f ca="1">IFERROR(__xludf.DUMMYFUNCTION("""COMPUTED_VALUE"""),"Manager who clearly describes what she/he needs")</f>
        <v>Manager who clearly describes what she/he needs</v>
      </c>
      <c r="P438" s="1" t="str">
        <f ca="1">IFERROR(__xludf.DUMMYFUNCTION("""COMPUTED_VALUE"""),"Work with more than 10 people in my team")</f>
        <v>Work with more than 10 people in my team</v>
      </c>
      <c r="Q438" s="1"/>
    </row>
    <row r="439" spans="1:17" ht="13.2" x14ac:dyDescent="0.25">
      <c r="A439" s="2">
        <f ca="1">IFERROR(__xludf.DUMMYFUNCTION("""COMPUTED_VALUE"""),45021.468045324)</f>
        <v>45021.468045324</v>
      </c>
      <c r="B439" s="1" t="str">
        <f ca="1">IFERROR(__xludf.DUMMYFUNCTION("""COMPUTED_VALUE"""),"India")</f>
        <v>India</v>
      </c>
      <c r="C439" s="1">
        <f ca="1">IFERROR(__xludf.DUMMYFUNCTION("""COMPUTED_VALUE"""),509209)</f>
        <v>509209</v>
      </c>
      <c r="D439" s="3" t="str">
        <f ca="1">IFERROR(__xludf.DUMMYFUNCTION("""COMPUTED_VALUE"""),"Female")</f>
        <v>Female</v>
      </c>
      <c r="E439" s="1" t="str">
        <f ca="1">IFERROR(__xludf.DUMMYFUNCTION("""COMPUTED_VALUE"""),"My Parents")</f>
        <v>My Parents</v>
      </c>
      <c r="F439" s="1" t="str">
        <f ca="1">IFERROR(__xludf.DUMMYFUNCTION("""COMPUTED_VALUE"""),"Yes, I will earn and do that")</f>
        <v>Yes, I will earn and do that</v>
      </c>
      <c r="G439" s="1" t="str">
        <f ca="1">IFERROR(__xludf.DUMMYFUNCTION("""COMPUTED_VALUE"""),"This will be hard to do, but if it is the right company I would try")</f>
        <v>This will be hard to do, but if it is the right company I would try</v>
      </c>
      <c r="H439" s="1" t="str">
        <f ca="1">IFERROR(__xludf.DUMMYFUNCTION("""COMPUTED_VALUE"""),"No")</f>
        <v>No</v>
      </c>
      <c r="I439" s="1" t="str">
        <f ca="1">IFERROR(__xludf.DUMMYFUNCTION("""COMPUTED_VALUE"""),"Will NOT work for them")</f>
        <v>Will NOT work for them</v>
      </c>
      <c r="J439" s="1">
        <f ca="1">IFERROR(__xludf.DUMMYFUNCTION("""COMPUTED_VALUE"""),1)</f>
        <v>1</v>
      </c>
      <c r="K439" s="1" t="str">
        <f ca="1">IFERROR(__xludf.DUMMYFUNCTION("""COMPUTED_VALUE"""),"Fully Remote with Options to travel as and when needed")</f>
        <v>Fully Remote with Options to travel as and when needed</v>
      </c>
      <c r="L439" s="1" t="str">
        <f ca="1">IFERROR(__xludf.DUMMYFUNCTION("""COMPUTED_VALUE"""),"Employer who appreciates learning and enables that environment")</f>
        <v>Employer who appreciates learning and enables that environment</v>
      </c>
      <c r="M43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3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439" s="1" t="str">
        <f ca="1">IFERROR(__xludf.DUMMYFUNCTION("""COMPUTED_VALUE"""),"Manager who clearly describes what she/he needs")</f>
        <v>Manager who clearly describes what she/he needs</v>
      </c>
      <c r="P439" s="1" t="str">
        <f ca="1">IFERROR(__xludf.DUMMYFUNCTION("""COMPUTED_VALUE"""),"Work with 2 to 3 people in my team")</f>
        <v>Work with 2 to 3 people in my team</v>
      </c>
      <c r="Q439" s="1"/>
    </row>
    <row r="440" spans="1:17" ht="13.2" x14ac:dyDescent="0.25">
      <c r="A440" s="2">
        <f ca="1">IFERROR(__xludf.DUMMYFUNCTION("""COMPUTED_VALUE"""),45021.4698859606)</f>
        <v>45021.4698859606</v>
      </c>
      <c r="B440" s="1" t="str">
        <f ca="1">IFERROR(__xludf.DUMMYFUNCTION("""COMPUTED_VALUE"""),"India")</f>
        <v>India</v>
      </c>
      <c r="C440" s="1">
        <f ca="1">IFERROR(__xludf.DUMMYFUNCTION("""COMPUTED_VALUE"""),501505)</f>
        <v>501505</v>
      </c>
      <c r="D440" s="3" t="str">
        <f ca="1">IFERROR(__xludf.DUMMYFUNCTION("""COMPUTED_VALUE"""),"Male")</f>
        <v>Male</v>
      </c>
      <c r="E440" s="1" t="str">
        <f ca="1">IFERROR(__xludf.DUMMYFUNCTION("""COMPUTED_VALUE"""),"My Parents")</f>
        <v>My Parents</v>
      </c>
      <c r="F440" s="1" t="str">
        <f ca="1">IFERROR(__xludf.DUMMYFUNCTION("""COMPUTED_VALUE"""),"Yes, I will earn and do that")</f>
        <v>Yes, I will earn and do that</v>
      </c>
      <c r="G440" s="1" t="str">
        <f ca="1">IFERROR(__xludf.DUMMYFUNCTION("""COMPUTED_VALUE"""),"Will work for 3 years or more")</f>
        <v>Will work for 3 years or more</v>
      </c>
      <c r="H440" s="1" t="str">
        <f ca="1">IFERROR(__xludf.DUMMYFUNCTION("""COMPUTED_VALUE"""),"No")</f>
        <v>No</v>
      </c>
      <c r="I440" s="1" t="str">
        <f ca="1">IFERROR(__xludf.DUMMYFUNCTION("""COMPUTED_VALUE"""),"Will NOT work for them")</f>
        <v>Will NOT work for them</v>
      </c>
      <c r="J440" s="1">
        <f ca="1">IFERROR(__xludf.DUMMYFUNCTION("""COMPUTED_VALUE"""),5)</f>
        <v>5</v>
      </c>
      <c r="K440" s="1" t="str">
        <f ca="1">IFERROR(__xludf.DUMMYFUNCTION("""COMPUTED_VALUE"""),"Hybrid Working Environment with more than 15 days a month at office")</f>
        <v>Hybrid Working Environment with more than 15 days a month at office</v>
      </c>
      <c r="L440" s="1" t="str">
        <f ca="1">IFERROR(__xludf.DUMMYFUNCTION("""COMPUTED_VALUE"""),"Employer who pushes your limits by enabling an learning environment, and rewards you at the end")</f>
        <v>Employer who pushes your limits by enabling an learning environment, and rewards you at the end</v>
      </c>
      <c r="M440" s="1" t="str">
        <f ca="1">IFERROR(__xludf.DUMMYFUNCTION("""COMPUTED_VALUE"""),"Instructor or Expert Learning Programs, Learning by observing others, Manager Teaching you")</f>
        <v>Instructor or Expert Learning Programs, Learning by observing others, Manager Teaching you</v>
      </c>
      <c r="N44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40" s="1" t="str">
        <f ca="1">IFERROR(__xludf.DUMMYFUNCTION("""COMPUTED_VALUE"""),"Manager who sets goal and helps me achieve it")</f>
        <v>Manager who sets goal and helps me achieve it</v>
      </c>
      <c r="P440" s="1" t="str">
        <f ca="1">IFERROR(__xludf.DUMMYFUNCTION("""COMPUTED_VALUE"""),"Work with 5 to 6 people in my team")</f>
        <v>Work with 5 to 6 people in my team</v>
      </c>
      <c r="Q440" s="1"/>
    </row>
    <row r="441" spans="1:17" ht="13.2" x14ac:dyDescent="0.25">
      <c r="A441" s="2">
        <f ca="1">IFERROR(__xludf.DUMMYFUNCTION("""COMPUTED_VALUE"""),45021.4727215277)</f>
        <v>45021.472721527702</v>
      </c>
      <c r="B441" s="1" t="str">
        <f ca="1">IFERROR(__xludf.DUMMYFUNCTION("""COMPUTED_VALUE"""),"India")</f>
        <v>India</v>
      </c>
      <c r="C441" s="1">
        <f ca="1">IFERROR(__xludf.DUMMYFUNCTION("""COMPUTED_VALUE"""),442906)</f>
        <v>442906</v>
      </c>
      <c r="D441" s="3" t="str">
        <f ca="1">IFERROR(__xludf.DUMMYFUNCTION("""COMPUTED_VALUE"""),"Male")</f>
        <v>Male</v>
      </c>
      <c r="E441" s="1" t="str">
        <f ca="1">IFERROR(__xludf.DUMMYFUNCTION("""COMPUTED_VALUE"""),"People from my circle, but not family members")</f>
        <v>People from my circle, but not family members</v>
      </c>
      <c r="F441" s="1" t="str">
        <f ca="1">IFERROR(__xludf.DUMMYFUNCTION("""COMPUTED_VALUE"""),"No, But if someone could bare the cost I will")</f>
        <v>No, But if someone could bare the cost I will</v>
      </c>
      <c r="G441" s="1" t="str">
        <f ca="1">IFERROR(__xludf.DUMMYFUNCTION("""COMPUTED_VALUE"""),"Will work for 3 years or more")</f>
        <v>Will work for 3 years or more</v>
      </c>
      <c r="H441" s="1" t="str">
        <f ca="1">IFERROR(__xludf.DUMMYFUNCTION("""COMPUTED_VALUE"""),"Yes")</f>
        <v>Yes</v>
      </c>
      <c r="I441" s="1" t="str">
        <f ca="1">IFERROR(__xludf.DUMMYFUNCTION("""COMPUTED_VALUE"""),"Will work for them")</f>
        <v>Will work for them</v>
      </c>
      <c r="J441" s="1">
        <f ca="1">IFERROR(__xludf.DUMMYFUNCTION("""COMPUTED_VALUE"""),4)</f>
        <v>4</v>
      </c>
      <c r="K441" s="1" t="str">
        <f ca="1">IFERROR(__xludf.DUMMYFUNCTION("""COMPUTED_VALUE"""),"Hybrid Working Environment with more than 15 days a month at office")</f>
        <v>Hybrid Working Environment with more than 15 days a month at office</v>
      </c>
      <c r="L441" s="1" t="str">
        <f ca="1">IFERROR(__xludf.DUMMYFUNCTION("""COMPUTED_VALUE"""),"Employer who pushes your limits by enabling an learning environment, and rewards you at the end")</f>
        <v>Employer who pushes your limits by enabling an learning environment, and rewards you at the end</v>
      </c>
      <c r="M441"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44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441" s="1" t="str">
        <f ca="1">IFERROR(__xludf.DUMMYFUNCTION("""COMPUTED_VALUE"""),"Manager who explains what is expected, sets a goal and helps achieve it")</f>
        <v>Manager who explains what is expected, sets a goal and helps achieve it</v>
      </c>
      <c r="P441" s="1" t="str">
        <f ca="1">IFERROR(__xludf.DUMMYFUNCTION("""COMPUTED_VALUE"""),"Work with 5 to 6 people in my team")</f>
        <v>Work with 5 to 6 people in my team</v>
      </c>
      <c r="Q441" s="1"/>
    </row>
    <row r="442" spans="1:17" ht="13.2" x14ac:dyDescent="0.25">
      <c r="A442" s="2">
        <f ca="1">IFERROR(__xludf.DUMMYFUNCTION("""COMPUTED_VALUE"""),45021.472915023)</f>
        <v>45021.472915022998</v>
      </c>
      <c r="B442" s="1" t="str">
        <f ca="1">IFERROR(__xludf.DUMMYFUNCTION("""COMPUTED_VALUE"""),"Canada")</f>
        <v>Canada</v>
      </c>
      <c r="C442" s="1">
        <f ca="1">IFERROR(__xludf.DUMMYFUNCTION("""COMPUTED_VALUE"""),508213)</f>
        <v>508213</v>
      </c>
      <c r="D442" s="3" t="str">
        <f ca="1">IFERROR(__xludf.DUMMYFUNCTION("""COMPUTED_VALUE"""),"Male")</f>
        <v>Male</v>
      </c>
      <c r="E442" s="1" t="str">
        <f ca="1">IFERROR(__xludf.DUMMYFUNCTION("""COMPUTED_VALUE"""),"Influencers who had successful careers")</f>
        <v>Influencers who had successful careers</v>
      </c>
      <c r="F442" s="1" t="str">
        <f ca="1">IFERROR(__xludf.DUMMYFUNCTION("""COMPUTED_VALUE"""),"Yes, I will earn and do that")</f>
        <v>Yes, I will earn and do that</v>
      </c>
      <c r="G442" s="1" t="str">
        <f ca="1">IFERROR(__xludf.DUMMYFUNCTION("""COMPUTED_VALUE"""),"Will work for 3 years or more")</f>
        <v>Will work for 3 years or more</v>
      </c>
      <c r="H442" s="1" t="str">
        <f ca="1">IFERROR(__xludf.DUMMYFUNCTION("""COMPUTED_VALUE"""),"Yes")</f>
        <v>Yes</v>
      </c>
      <c r="I442" s="1" t="str">
        <f ca="1">IFERROR(__xludf.DUMMYFUNCTION("""COMPUTED_VALUE"""),"Will work for them")</f>
        <v>Will work for them</v>
      </c>
      <c r="J442" s="1">
        <f ca="1">IFERROR(__xludf.DUMMYFUNCTION("""COMPUTED_VALUE"""),3)</f>
        <v>3</v>
      </c>
      <c r="K442" s="1" t="str">
        <f ca="1">IFERROR(__xludf.DUMMYFUNCTION("""COMPUTED_VALUE"""),"Fully Remote with Options to travel as and when needed")</f>
        <v>Fully Remote with Options to travel as and when needed</v>
      </c>
      <c r="L442" s="1" t="str">
        <f ca="1">IFERROR(__xludf.DUMMYFUNCTION("""COMPUTED_VALUE"""),"Employer who pushes your limits by enabling an learning environment, and rewards you at the end")</f>
        <v>Employer who pushes your limits by enabling an learning environment, and rewards you at the end</v>
      </c>
      <c r="M4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42" s="1" t="str">
        <f ca="1">IFERROR(__xludf.DUMMYFUNCTION("""COMPUTED_VALUE"""),"Manager who explains what is expected, sets a goal and helps achieve it")</f>
        <v>Manager who explains what is expected, sets a goal and helps achieve it</v>
      </c>
      <c r="P442"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442" s="1"/>
    </row>
    <row r="443" spans="1:17" ht="13.2" x14ac:dyDescent="0.25">
      <c r="A443" s="2">
        <f ca="1">IFERROR(__xludf.DUMMYFUNCTION("""COMPUTED_VALUE"""),45021.4729779976)</f>
        <v>45021.472977997597</v>
      </c>
      <c r="B443" s="1" t="str">
        <f ca="1">IFERROR(__xludf.DUMMYFUNCTION("""COMPUTED_VALUE"""),"India")</f>
        <v>India</v>
      </c>
      <c r="C443" s="1">
        <f ca="1">IFERROR(__xludf.DUMMYFUNCTION("""COMPUTED_VALUE"""),500079)</f>
        <v>500079</v>
      </c>
      <c r="D443" s="3" t="str">
        <f ca="1">IFERROR(__xludf.DUMMYFUNCTION("""COMPUTED_VALUE"""),"Female")</f>
        <v>Female</v>
      </c>
      <c r="E443" s="1" t="str">
        <f ca="1">IFERROR(__xludf.DUMMYFUNCTION("""COMPUTED_VALUE"""),"People who have changed the world for better")</f>
        <v>People who have changed the world for better</v>
      </c>
      <c r="F443" s="1" t="str">
        <f ca="1">IFERROR(__xludf.DUMMYFUNCTION("""COMPUTED_VALUE"""),"No I would not be pursuing Higher Education outside of India")</f>
        <v>No I would not be pursuing Higher Education outside of India</v>
      </c>
      <c r="G443" s="1" t="str">
        <f ca="1">IFERROR(__xludf.DUMMYFUNCTION("""COMPUTED_VALUE"""),"Will work for 3 years or more")</f>
        <v>Will work for 3 years or more</v>
      </c>
      <c r="H443" s="1" t="str">
        <f ca="1">IFERROR(__xludf.DUMMYFUNCTION("""COMPUTED_VALUE"""),"No")</f>
        <v>No</v>
      </c>
      <c r="I443" s="1" t="str">
        <f ca="1">IFERROR(__xludf.DUMMYFUNCTION("""COMPUTED_VALUE"""),"Will NOT work for them")</f>
        <v>Will NOT work for them</v>
      </c>
      <c r="J443" s="1">
        <f ca="1">IFERROR(__xludf.DUMMYFUNCTION("""COMPUTED_VALUE"""),1)</f>
        <v>1</v>
      </c>
      <c r="K443" s="1" t="str">
        <f ca="1">IFERROR(__xludf.DUMMYFUNCTION("""COMPUTED_VALUE"""),"Hybrid Working Environment with less than 3 days a month at office")</f>
        <v>Hybrid Working Environment with less than 3 days a month at office</v>
      </c>
      <c r="L443" s="1" t="str">
        <f ca="1">IFERROR(__xludf.DUMMYFUNCTION("""COMPUTED_VALUE"""),"Employer who appreciates learning and enables that environment")</f>
        <v>Employer who appreciates learning and enables that environment</v>
      </c>
      <c r="M4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443" s="1" t="str">
        <f ca="1">IFERROR(__xludf.DUMMYFUNCTION("""COMPUTED_VALUE"""),"Manager who explains what is expected, sets a goal and helps achieve it")</f>
        <v>Manager who explains what is expected, sets a goal and helps achieve it</v>
      </c>
      <c r="P443" s="1" t="str">
        <f ca="1">IFERROR(__xludf.DUMMYFUNCTION("""COMPUTED_VALUE"""),"Work alone")</f>
        <v>Work alone</v>
      </c>
      <c r="Q443" s="1"/>
    </row>
    <row r="444" spans="1:17" ht="13.2" x14ac:dyDescent="0.25">
      <c r="A444" s="2">
        <f ca="1">IFERROR(__xludf.DUMMYFUNCTION("""COMPUTED_VALUE"""),45021.4731972453)</f>
        <v>45021.473197245301</v>
      </c>
      <c r="B444" s="1" t="str">
        <f ca="1">IFERROR(__xludf.DUMMYFUNCTION("""COMPUTED_VALUE"""),"India")</f>
        <v>India</v>
      </c>
      <c r="C444" s="1">
        <f ca="1">IFERROR(__xludf.DUMMYFUNCTION("""COMPUTED_VALUE"""),500070)</f>
        <v>500070</v>
      </c>
      <c r="D444" s="3" t="str">
        <f ca="1">IFERROR(__xludf.DUMMYFUNCTION("""COMPUTED_VALUE"""),"Female")</f>
        <v>Female</v>
      </c>
      <c r="E444" s="1" t="str">
        <f ca="1">IFERROR(__xludf.DUMMYFUNCTION("""COMPUTED_VALUE"""),"My Parents")</f>
        <v>My Parents</v>
      </c>
      <c r="F444" s="1" t="str">
        <f ca="1">IFERROR(__xludf.DUMMYFUNCTION("""COMPUTED_VALUE"""),"No, But if someone could bare the cost I will")</f>
        <v>No, But if someone could bare the cost I will</v>
      </c>
      <c r="G444" s="1" t="str">
        <f ca="1">IFERROR(__xludf.DUMMYFUNCTION("""COMPUTED_VALUE"""),"This will be hard to do, but if it is the right company I would try")</f>
        <v>This will be hard to do, but if it is the right company I would try</v>
      </c>
      <c r="H444" s="1" t="str">
        <f ca="1">IFERROR(__xludf.DUMMYFUNCTION("""COMPUTED_VALUE"""),"No")</f>
        <v>No</v>
      </c>
      <c r="I444" s="1" t="str">
        <f ca="1">IFERROR(__xludf.DUMMYFUNCTION("""COMPUTED_VALUE"""),"Will NOT work for them")</f>
        <v>Will NOT work for them</v>
      </c>
      <c r="J444" s="1">
        <f ca="1">IFERROR(__xludf.DUMMYFUNCTION("""COMPUTED_VALUE"""),2)</f>
        <v>2</v>
      </c>
      <c r="K444" s="1" t="str">
        <f ca="1">IFERROR(__xludf.DUMMYFUNCTION("""COMPUTED_VALUE"""),"Fully Remote with Options to travel as and when needed")</f>
        <v>Fully Remote with Options to travel as and when needed</v>
      </c>
      <c r="L444" s="1" t="str">
        <f ca="1">IFERROR(__xludf.DUMMYFUNCTION("""COMPUTED_VALUE"""),"Employer who appreciates learning and enables that environment")</f>
        <v>Employer who appreciates learning and enables that environment</v>
      </c>
      <c r="M4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4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444" s="1" t="str">
        <f ca="1">IFERROR(__xludf.DUMMYFUNCTION("""COMPUTED_VALUE"""),"Manager who explains what is expected, sets a goal and helps achieve it")</f>
        <v>Manager who explains what is expected, sets a goal and helps achieve it</v>
      </c>
      <c r="P444" s="1" t="str">
        <f ca="1">IFERROR(__xludf.DUMMYFUNCTION("""COMPUTED_VALUE"""),"Work with 2 to 3 people in my team")</f>
        <v>Work with 2 to 3 people in my team</v>
      </c>
      <c r="Q444" s="1"/>
    </row>
    <row r="445" spans="1:17" ht="13.2" x14ac:dyDescent="0.25">
      <c r="A445" s="2">
        <f ca="1">IFERROR(__xludf.DUMMYFUNCTION("""COMPUTED_VALUE"""),45021.473929618)</f>
        <v>45021.473929617998</v>
      </c>
      <c r="B445" s="1" t="str">
        <f ca="1">IFERROR(__xludf.DUMMYFUNCTION("""COMPUTED_VALUE"""),"India")</f>
        <v>India</v>
      </c>
      <c r="C445" s="1">
        <f ca="1">IFERROR(__xludf.DUMMYFUNCTION("""COMPUTED_VALUE"""),509209)</f>
        <v>509209</v>
      </c>
      <c r="D445" s="3" t="str">
        <f ca="1">IFERROR(__xludf.DUMMYFUNCTION("""COMPUTED_VALUE"""),"Female")</f>
        <v>Female</v>
      </c>
      <c r="E445" s="1" t="str">
        <f ca="1">IFERROR(__xludf.DUMMYFUNCTION("""COMPUTED_VALUE"""),"My Parents")</f>
        <v>My Parents</v>
      </c>
      <c r="F445" s="1" t="str">
        <f ca="1">IFERROR(__xludf.DUMMYFUNCTION("""COMPUTED_VALUE"""),"No I would not be pursuing Higher Education outside of India")</f>
        <v>No I would not be pursuing Higher Education outside of India</v>
      </c>
      <c r="G445" s="1" t="str">
        <f ca="1">IFERROR(__xludf.DUMMYFUNCTION("""COMPUTED_VALUE"""),"This will be hard to do, but if it is the right company I would try")</f>
        <v>This will be hard to do, but if it is the right company I would try</v>
      </c>
      <c r="H445" s="1" t="str">
        <f ca="1">IFERROR(__xludf.DUMMYFUNCTION("""COMPUTED_VALUE"""),"No")</f>
        <v>No</v>
      </c>
      <c r="I445" s="1" t="str">
        <f ca="1">IFERROR(__xludf.DUMMYFUNCTION("""COMPUTED_VALUE"""),"Will NOT work for them")</f>
        <v>Will NOT work for them</v>
      </c>
      <c r="J445" s="1">
        <f ca="1">IFERROR(__xludf.DUMMYFUNCTION("""COMPUTED_VALUE"""),6)</f>
        <v>6</v>
      </c>
      <c r="K445" s="1" t="str">
        <f ca="1">IFERROR(__xludf.DUMMYFUNCTION("""COMPUTED_VALUE"""),"Fully Remote with Options to travel as and when needed")</f>
        <v>Fully Remote with Options to travel as and when needed</v>
      </c>
      <c r="L445" s="1" t="str">
        <f ca="1">IFERROR(__xludf.DUMMYFUNCTION("""COMPUTED_VALUE"""),"Employer who pushes your limits by enabling an learning environment, and rewards you at the end")</f>
        <v>Employer who pushes your limits by enabling an learning environment, and rewards you at the end</v>
      </c>
      <c r="M4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5"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445" s="1" t="str">
        <f ca="1">IFERROR(__xludf.DUMMYFUNCTION("""COMPUTED_VALUE"""),"Manager who explains what is expected, sets a goal and helps achieve it")</f>
        <v>Manager who explains what is expected, sets a goal and helps achieve it</v>
      </c>
      <c r="P445" s="1" t="str">
        <f ca="1">IFERROR(__xludf.DUMMYFUNCTION("""COMPUTED_VALUE"""),"Work with 2 to 3 people in my team, Work with 5 to 6 people in my team")</f>
        <v>Work with 2 to 3 people in my team, Work with 5 to 6 people in my team</v>
      </c>
      <c r="Q445" s="1"/>
    </row>
    <row r="446" spans="1:17" ht="13.2" x14ac:dyDescent="0.25">
      <c r="A446" s="2">
        <f ca="1">IFERROR(__xludf.DUMMYFUNCTION("""COMPUTED_VALUE"""),45021.4744186689)</f>
        <v>45021.474418668899</v>
      </c>
      <c r="B446" s="1" t="str">
        <f ca="1">IFERROR(__xludf.DUMMYFUNCTION("""COMPUTED_VALUE"""),"India")</f>
        <v>India</v>
      </c>
      <c r="C446" s="1">
        <f ca="1">IFERROR(__xludf.DUMMYFUNCTION("""COMPUTED_VALUE"""),600056)</f>
        <v>600056</v>
      </c>
      <c r="D446" s="3" t="str">
        <f ca="1">IFERROR(__xludf.DUMMYFUNCTION("""COMPUTED_VALUE"""),"Male")</f>
        <v>Male</v>
      </c>
      <c r="E446" s="1" t="str">
        <f ca="1">IFERROR(__xludf.DUMMYFUNCTION("""COMPUTED_VALUE"""),"My Parents")</f>
        <v>My Parents</v>
      </c>
      <c r="F446" s="1" t="str">
        <f ca="1">IFERROR(__xludf.DUMMYFUNCTION("""COMPUTED_VALUE"""),"No I would not be pursuing Higher Education outside of India")</f>
        <v>No I would not be pursuing Higher Education outside of India</v>
      </c>
      <c r="G446" s="1" t="str">
        <f ca="1">IFERROR(__xludf.DUMMYFUNCTION("""COMPUTED_VALUE"""),"Will work for 3 years or more")</f>
        <v>Will work for 3 years or more</v>
      </c>
      <c r="H446" s="1" t="str">
        <f ca="1">IFERROR(__xludf.DUMMYFUNCTION("""COMPUTED_VALUE"""),"No")</f>
        <v>No</v>
      </c>
      <c r="I446" s="1" t="str">
        <f ca="1">IFERROR(__xludf.DUMMYFUNCTION("""COMPUTED_VALUE"""),"Will NOT work for them")</f>
        <v>Will NOT work for them</v>
      </c>
      <c r="J446" s="1">
        <f ca="1">IFERROR(__xludf.DUMMYFUNCTION("""COMPUTED_VALUE"""),9)</f>
        <v>9</v>
      </c>
      <c r="K446" s="1" t="str">
        <f ca="1">IFERROR(__xludf.DUMMYFUNCTION("""COMPUTED_VALUE"""),"Hybrid Working Environment with more than 15 days a month at office")</f>
        <v>Hybrid Working Environment with more than 15 days a month at office</v>
      </c>
      <c r="L446" s="1" t="str">
        <f ca="1">IFERROR(__xludf.DUMMYFUNCTION("""COMPUTED_VALUE"""),"Employer who rewards learning and enables that environment")</f>
        <v>Employer who rewards learning and enables that environment</v>
      </c>
      <c r="M44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46"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446" s="1" t="str">
        <f ca="1">IFERROR(__xludf.DUMMYFUNCTION("""COMPUTED_VALUE"""),"Manager who clearly describes what she/he needs")</f>
        <v>Manager who clearly describes what she/he needs</v>
      </c>
      <c r="P446" s="1" t="str">
        <f ca="1">IFERROR(__xludf.DUMMYFUNCTION("""COMPUTED_VALUE"""),"Work with 2 to 3 people in my team")</f>
        <v>Work with 2 to 3 people in my team</v>
      </c>
      <c r="Q446" s="1"/>
    </row>
    <row r="447" spans="1:17" ht="13.2" x14ac:dyDescent="0.25">
      <c r="A447" s="2">
        <f ca="1">IFERROR(__xludf.DUMMYFUNCTION("""COMPUTED_VALUE"""),45021.4755988773)</f>
        <v>45021.475598877303</v>
      </c>
      <c r="B447" s="1" t="str">
        <f ca="1">IFERROR(__xludf.DUMMYFUNCTION("""COMPUTED_VALUE"""),"Others")</f>
        <v>Others</v>
      </c>
      <c r="C447" s="1">
        <f ca="1">IFERROR(__xludf.DUMMYFUNCTION("""COMPUTED_VALUE"""),312)</f>
        <v>312</v>
      </c>
      <c r="D447" s="3" t="str">
        <f ca="1">IFERROR(__xludf.DUMMYFUNCTION("""COMPUTED_VALUE"""),"Male")</f>
        <v>Male</v>
      </c>
      <c r="E447" s="1" t="str">
        <f ca="1">IFERROR(__xludf.DUMMYFUNCTION("""COMPUTED_VALUE"""),"People who have changed the world for better")</f>
        <v>People who have changed the world for better</v>
      </c>
      <c r="F447" s="1" t="str">
        <f ca="1">IFERROR(__xludf.DUMMYFUNCTION("""COMPUTED_VALUE"""),"No, But if someone could bare the cost I will")</f>
        <v>No, But if someone could bare the cost I will</v>
      </c>
      <c r="G447" s="1" t="str">
        <f ca="1">IFERROR(__xludf.DUMMYFUNCTION("""COMPUTED_VALUE"""),"This will be hard to do, but if it is the right company I would try")</f>
        <v>This will be hard to do, but if it is the right company I would try</v>
      </c>
      <c r="H447" s="1" t="str">
        <f ca="1">IFERROR(__xludf.DUMMYFUNCTION("""COMPUTED_VALUE"""),"No")</f>
        <v>No</v>
      </c>
      <c r="I447" s="1" t="str">
        <f ca="1">IFERROR(__xludf.DUMMYFUNCTION("""COMPUTED_VALUE"""),"Will NOT work for them")</f>
        <v>Will NOT work for them</v>
      </c>
      <c r="J447" s="1">
        <f ca="1">IFERROR(__xludf.DUMMYFUNCTION("""COMPUTED_VALUE"""),5)</f>
        <v>5</v>
      </c>
      <c r="K447" s="1" t="str">
        <f ca="1">IFERROR(__xludf.DUMMYFUNCTION("""COMPUTED_VALUE"""),"Hybrid Working Environment with less than 3 days a month at office")</f>
        <v>Hybrid Working Environment with less than 3 days a month at office</v>
      </c>
      <c r="L447" s="1" t="str">
        <f ca="1">IFERROR(__xludf.DUMMYFUNCTION("""COMPUTED_VALUE"""),"Employer who pushes your limits by enabling an learning environment, and rewards you at the end")</f>
        <v>Employer who pushes your limits by enabling an learning environment, and rewards you at the end</v>
      </c>
      <c r="M447" s="1" t="str">
        <f ca="1">IFERROR(__xludf.DUMMYFUNCTION("""COMPUTED_VALUE"""),"Self Paced Learning Portals of the Company, Instructor or Expert Learning Programs, Manager Teaching you")</f>
        <v>Self Paced Learning Portals of the Company, Instructor or Expert Learning Programs, Manager Teaching you</v>
      </c>
      <c r="N447" s="1" t="str">
        <f ca="1">IFERROR(__xludf.DUMMYFUNCTION("""COMPUTED_VALUE"""),"Design and Creative strategy in any company, Become a content Creator in some platform, Entrepreneur or Start Up, I Want to sell things/Sales")</f>
        <v>Design and Creative strategy in any company, Become a content Creator in some platform, Entrepreneur or Start Up, I Want to sell things/Sales</v>
      </c>
      <c r="O447" s="1" t="str">
        <f ca="1">IFERROR(__xludf.DUMMYFUNCTION("""COMPUTED_VALUE"""),"Manager who sets goal and helps me achieve it")</f>
        <v>Manager who sets goal and helps me achieve it</v>
      </c>
      <c r="P447" s="1" t="str">
        <f ca="1">IFERROR(__xludf.DUMMYFUNCTION("""COMPUTED_VALUE"""),"Work with more than 10 people in my team")</f>
        <v>Work with more than 10 people in my team</v>
      </c>
      <c r="Q447" s="1"/>
    </row>
    <row r="448" spans="1:17" ht="13.2" x14ac:dyDescent="0.25">
      <c r="A448" s="2">
        <f ca="1">IFERROR(__xludf.DUMMYFUNCTION("""COMPUTED_VALUE"""),45021.4758880208)</f>
        <v>45021.475888020803</v>
      </c>
      <c r="B448" s="1" t="str">
        <f ca="1">IFERROR(__xludf.DUMMYFUNCTION("""COMPUTED_VALUE"""),"India")</f>
        <v>India</v>
      </c>
      <c r="C448" s="1">
        <f ca="1">IFERROR(__xludf.DUMMYFUNCTION("""COMPUTED_VALUE"""),500078)</f>
        <v>500078</v>
      </c>
      <c r="D448" s="3" t="str">
        <f ca="1">IFERROR(__xludf.DUMMYFUNCTION("""COMPUTED_VALUE"""),"Male")</f>
        <v>Male</v>
      </c>
      <c r="E448" s="1" t="str">
        <f ca="1">IFERROR(__xludf.DUMMYFUNCTION("""COMPUTED_VALUE"""),"People from my circle, but not family members")</f>
        <v>People from my circle, but not family members</v>
      </c>
      <c r="F448" s="1" t="str">
        <f ca="1">IFERROR(__xludf.DUMMYFUNCTION("""COMPUTED_VALUE"""),"No, But if someone could bare the cost I will")</f>
        <v>No, But if someone could bare the cost I will</v>
      </c>
      <c r="G448" s="1" t="str">
        <f ca="1">IFERROR(__xludf.DUMMYFUNCTION("""COMPUTED_VALUE"""),"This will be hard to do, but if it is the right company I would try")</f>
        <v>This will be hard to do, but if it is the right company I would try</v>
      </c>
      <c r="H448" s="1" t="str">
        <f ca="1">IFERROR(__xludf.DUMMYFUNCTION("""COMPUTED_VALUE"""),"No")</f>
        <v>No</v>
      </c>
      <c r="I448" s="1" t="str">
        <f ca="1">IFERROR(__xludf.DUMMYFUNCTION("""COMPUTED_VALUE"""),"Will NOT work for them")</f>
        <v>Will NOT work for them</v>
      </c>
      <c r="J448" s="1">
        <f ca="1">IFERROR(__xludf.DUMMYFUNCTION("""COMPUTED_VALUE"""),1)</f>
        <v>1</v>
      </c>
      <c r="K448" s="1" t="str">
        <f ca="1">IFERROR(__xludf.DUMMYFUNCTION("""COMPUTED_VALUE"""),"Hybrid Working Environment with more than 15 days a month at office")</f>
        <v>Hybrid Working Environment with more than 15 days a month at office</v>
      </c>
      <c r="L448" s="1" t="str">
        <f ca="1">IFERROR(__xludf.DUMMYFUNCTION("""COMPUTED_VALUE"""),"Employer who appreciates learning and enables that environment")</f>
        <v>Employer who appreciates learning and enables that environment</v>
      </c>
      <c r="M448" s="1" t="str">
        <f ca="1">IFERROR(__xludf.DUMMYFUNCTION("""COMPUTED_VALUE"""),"Instructor or Expert Learning Programs, Learning by observing others, Manager Teaching you")</f>
        <v>Instructor or Expert Learning Programs, Learning by observing others, Manager Teaching you</v>
      </c>
      <c r="N448"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48" s="1" t="str">
        <f ca="1">IFERROR(__xludf.DUMMYFUNCTION("""COMPUTED_VALUE"""),"Manager who sets goal and helps me achieve it")</f>
        <v>Manager who sets goal and helps me achieve it</v>
      </c>
      <c r="P448" s="1" t="str">
        <f ca="1">IFERROR(__xludf.DUMMYFUNCTION("""COMPUTED_VALUE"""),"Work with 2 to 3 people in my team")</f>
        <v>Work with 2 to 3 people in my team</v>
      </c>
      <c r="Q448" s="1"/>
    </row>
    <row r="449" spans="1:17" ht="13.2" x14ac:dyDescent="0.25">
      <c r="A449" s="2">
        <f ca="1">IFERROR(__xludf.DUMMYFUNCTION("""COMPUTED_VALUE"""),45021.4762895138)</f>
        <v>45021.476289513797</v>
      </c>
      <c r="B449" s="1" t="str">
        <f ca="1">IFERROR(__xludf.DUMMYFUNCTION("""COMPUTED_VALUE"""),"India")</f>
        <v>India</v>
      </c>
      <c r="C449" s="1">
        <f ca="1">IFERROR(__xludf.DUMMYFUNCTION("""COMPUTED_VALUE"""),500068)</f>
        <v>500068</v>
      </c>
      <c r="D449" s="3" t="str">
        <f ca="1">IFERROR(__xludf.DUMMYFUNCTION("""COMPUTED_VALUE"""),"Male")</f>
        <v>Male</v>
      </c>
      <c r="E449" s="1" t="str">
        <f ca="1">IFERROR(__xludf.DUMMYFUNCTION("""COMPUTED_VALUE"""),"My Parents")</f>
        <v>My Parents</v>
      </c>
      <c r="F449" s="1" t="str">
        <f ca="1">IFERROR(__xludf.DUMMYFUNCTION("""COMPUTED_VALUE"""),"Yes, I will earn and do that")</f>
        <v>Yes, I will earn and do that</v>
      </c>
      <c r="G449" s="1" t="str">
        <f ca="1">IFERROR(__xludf.DUMMYFUNCTION("""COMPUTED_VALUE"""),"This will be hard to do, but if it is the right company I would try")</f>
        <v>This will be hard to do, but if it is the right company I would try</v>
      </c>
      <c r="H449" s="1" t="str">
        <f ca="1">IFERROR(__xludf.DUMMYFUNCTION("""COMPUTED_VALUE"""),"No")</f>
        <v>No</v>
      </c>
      <c r="I449" s="1" t="str">
        <f ca="1">IFERROR(__xludf.DUMMYFUNCTION("""COMPUTED_VALUE"""),"Will work for them")</f>
        <v>Will work for them</v>
      </c>
      <c r="J449" s="1">
        <f ca="1">IFERROR(__xludf.DUMMYFUNCTION("""COMPUTED_VALUE"""),4)</f>
        <v>4</v>
      </c>
      <c r="K449" s="1" t="str">
        <f ca="1">IFERROR(__xludf.DUMMYFUNCTION("""COMPUTED_VALUE"""),"Fully Remote with Options to travel as and when needed")</f>
        <v>Fully Remote with Options to travel as and when needed</v>
      </c>
      <c r="L449" s="1" t="str">
        <f ca="1">IFERROR(__xludf.DUMMYFUNCTION("""COMPUTED_VALUE"""),"Employer who pushes your limits by enabling an learning environment, and rewards you at the end")</f>
        <v>Employer who pushes your limits by enabling an learning environment, and rewards you at the end</v>
      </c>
      <c r="M44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49"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449" s="1" t="str">
        <f ca="1">IFERROR(__xludf.DUMMYFUNCTION("""COMPUTED_VALUE"""),"Manager who explains what is expected, sets a goal and helps achieve it")</f>
        <v>Manager who explains what is expected, sets a goal and helps achieve it</v>
      </c>
      <c r="P449" s="1" t="str">
        <f ca="1">IFERROR(__xludf.DUMMYFUNCTION("""COMPUTED_VALUE"""),"Work with 2 to 3 people in my team")</f>
        <v>Work with 2 to 3 people in my team</v>
      </c>
      <c r="Q449" s="1"/>
    </row>
    <row r="450" spans="1:17" ht="13.2" x14ac:dyDescent="0.25">
      <c r="A450" s="2">
        <f ca="1">IFERROR(__xludf.DUMMYFUNCTION("""COMPUTED_VALUE"""),45021.4775208564)</f>
        <v>45021.477520856402</v>
      </c>
      <c r="B450" s="1" t="str">
        <f ca="1">IFERROR(__xludf.DUMMYFUNCTION("""COMPUTED_VALUE"""),"India")</f>
        <v>India</v>
      </c>
      <c r="C450" s="1">
        <f ca="1">IFERROR(__xludf.DUMMYFUNCTION("""COMPUTED_VALUE"""),500097)</f>
        <v>500097</v>
      </c>
      <c r="D450" s="3" t="str">
        <f ca="1">IFERROR(__xludf.DUMMYFUNCTION("""COMPUTED_VALUE"""),"Female")</f>
        <v>Female</v>
      </c>
      <c r="E450" s="1" t="str">
        <f ca="1">IFERROR(__xludf.DUMMYFUNCTION("""COMPUTED_VALUE"""),"Social Media like LinkedIn")</f>
        <v>Social Media like LinkedIn</v>
      </c>
      <c r="F450" s="1" t="str">
        <f ca="1">IFERROR(__xludf.DUMMYFUNCTION("""COMPUTED_VALUE"""),"No I would not be pursuing Higher Education outside of India")</f>
        <v>No I would not be pursuing Higher Education outside of India</v>
      </c>
      <c r="G450" s="1" t="str">
        <f ca="1">IFERROR(__xludf.DUMMYFUNCTION("""COMPUTED_VALUE"""),"Will work for 3 years or more")</f>
        <v>Will work for 3 years or more</v>
      </c>
      <c r="H450" s="1" t="str">
        <f ca="1">IFERROR(__xludf.DUMMYFUNCTION("""COMPUTED_VALUE"""),"Yes")</f>
        <v>Yes</v>
      </c>
      <c r="I450" s="1" t="str">
        <f ca="1">IFERROR(__xludf.DUMMYFUNCTION("""COMPUTED_VALUE"""),"Will NOT work for them")</f>
        <v>Will NOT work for them</v>
      </c>
      <c r="J450" s="1">
        <f ca="1">IFERROR(__xludf.DUMMYFUNCTION("""COMPUTED_VALUE"""),9)</f>
        <v>9</v>
      </c>
      <c r="K450" s="1" t="str">
        <f ca="1">IFERROR(__xludf.DUMMYFUNCTION("""COMPUTED_VALUE"""),"Every Day Office Environment")</f>
        <v>Every Day Office Environment</v>
      </c>
      <c r="L450" s="1" t="str">
        <f ca="1">IFERROR(__xludf.DUMMYFUNCTION("""COMPUTED_VALUE"""),"Employer who pushes your limits by enabling an learning environment, and rewards you at the end")</f>
        <v>Employer who pushes your limits by enabling an learning environment, and rewards you at the end</v>
      </c>
      <c r="M450" s="1" t="str">
        <f ca="1">IFERROR(__xludf.DUMMYFUNCTION("""COMPUTED_VALUE"""),"Self Paced Learning Portals of the Company, Instructor or Expert Learning Programs, Manager Teaching you")</f>
        <v>Self Paced Learning Portals of the Company, Instructor or Expert Learning Programs, Manager Teaching you</v>
      </c>
      <c r="N45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50" s="1" t="str">
        <f ca="1">IFERROR(__xludf.DUMMYFUNCTION("""COMPUTED_VALUE"""),"Manager who explains what is expected, sets a goal and helps achieve it")</f>
        <v>Manager who explains what is expected, sets a goal and helps achieve it</v>
      </c>
      <c r="P450" s="1" t="str">
        <f ca="1">IFERROR(__xludf.DUMMYFUNCTION("""COMPUTED_VALUE"""),"Work with 5 to 6 people in my team")</f>
        <v>Work with 5 to 6 people in my team</v>
      </c>
      <c r="Q450" s="1"/>
    </row>
    <row r="451" spans="1:17" ht="13.2" x14ac:dyDescent="0.25">
      <c r="A451" s="2">
        <f ca="1">IFERROR(__xludf.DUMMYFUNCTION("""COMPUTED_VALUE"""),45021.4805586805)</f>
        <v>45021.480558680501</v>
      </c>
      <c r="B451" s="1" t="str">
        <f ca="1">IFERROR(__xludf.DUMMYFUNCTION("""COMPUTED_VALUE"""),"India")</f>
        <v>India</v>
      </c>
      <c r="C451" s="1">
        <f ca="1">IFERROR(__xludf.DUMMYFUNCTION("""COMPUTED_VALUE"""),400043)</f>
        <v>400043</v>
      </c>
      <c r="D451" s="3" t="str">
        <f ca="1">IFERROR(__xludf.DUMMYFUNCTION("""COMPUTED_VALUE"""),"Female")</f>
        <v>Female</v>
      </c>
      <c r="E451" s="1" t="str">
        <f ca="1">IFERROR(__xludf.DUMMYFUNCTION("""COMPUTED_VALUE"""),"Influencers who had successful careers")</f>
        <v>Influencers who had successful careers</v>
      </c>
      <c r="F451" s="1" t="str">
        <f ca="1">IFERROR(__xludf.DUMMYFUNCTION("""COMPUTED_VALUE"""),"Yes, I will earn and do that")</f>
        <v>Yes, I will earn and do that</v>
      </c>
      <c r="G451" s="1" t="str">
        <f ca="1">IFERROR(__xludf.DUMMYFUNCTION("""COMPUTED_VALUE"""),"This will be hard to do, but if it is the right company I would try")</f>
        <v>This will be hard to do, but if it is the right company I would try</v>
      </c>
      <c r="H451" s="1" t="str">
        <f ca="1">IFERROR(__xludf.DUMMYFUNCTION("""COMPUTED_VALUE"""),"No")</f>
        <v>No</v>
      </c>
      <c r="I451" s="1" t="str">
        <f ca="1">IFERROR(__xludf.DUMMYFUNCTION("""COMPUTED_VALUE"""),"Will NOT work for them")</f>
        <v>Will NOT work for them</v>
      </c>
      <c r="J451" s="1">
        <f ca="1">IFERROR(__xludf.DUMMYFUNCTION("""COMPUTED_VALUE"""),8)</f>
        <v>8</v>
      </c>
      <c r="K451" s="1" t="str">
        <f ca="1">IFERROR(__xludf.DUMMYFUNCTION("""COMPUTED_VALUE"""),"Hybrid Working Environment with more than 15 days a month at office")</f>
        <v>Hybrid Working Environment with more than 15 days a month at office</v>
      </c>
      <c r="L451" s="1" t="str">
        <f ca="1">IFERROR(__xludf.DUMMYFUNCTION("""COMPUTED_VALUE"""),"Employer who rewards learning and enables that environment")</f>
        <v>Employer who rewards learning and enables that environment</v>
      </c>
      <c r="M45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51" s="1" t="str">
        <f ca="1">IFERROR(__xludf.DUMMYFUNCTION("""COMPUTED_VALUE"""),"Manager who explains what is expected, sets a goal and helps achieve it")</f>
        <v>Manager who explains what is expected, sets a goal and helps achieve it</v>
      </c>
      <c r="P451" s="1" t="str">
        <f ca="1">IFERROR(__xludf.DUMMYFUNCTION("""COMPUTED_VALUE"""),"Work with 2 to 3 people in my team")</f>
        <v>Work with 2 to 3 people in my team</v>
      </c>
      <c r="Q451" s="1"/>
    </row>
    <row r="452" spans="1:17" ht="13.2" x14ac:dyDescent="0.25">
      <c r="A452" s="2">
        <f ca="1">IFERROR(__xludf.DUMMYFUNCTION("""COMPUTED_VALUE"""),45021.4809725115)</f>
        <v>45021.480972511497</v>
      </c>
      <c r="B452" s="1" t="str">
        <f ca="1">IFERROR(__xludf.DUMMYFUNCTION("""COMPUTED_VALUE"""),"India")</f>
        <v>India</v>
      </c>
      <c r="C452" s="1">
        <f ca="1">IFERROR(__xludf.DUMMYFUNCTION("""COMPUTED_VALUE"""),500048)</f>
        <v>500048</v>
      </c>
      <c r="D452" s="3" t="str">
        <f ca="1">IFERROR(__xludf.DUMMYFUNCTION("""COMPUTED_VALUE"""),"Female")</f>
        <v>Female</v>
      </c>
      <c r="E452" s="1" t="str">
        <f ca="1">IFERROR(__xludf.DUMMYFUNCTION("""COMPUTED_VALUE"""),"People who have changed the world for better")</f>
        <v>People who have changed the world for better</v>
      </c>
      <c r="F452" s="1" t="str">
        <f ca="1">IFERROR(__xludf.DUMMYFUNCTION("""COMPUTED_VALUE"""),"Yes, I will earn and do that")</f>
        <v>Yes, I will earn and do that</v>
      </c>
      <c r="G452" s="1" t="str">
        <f ca="1">IFERROR(__xludf.DUMMYFUNCTION("""COMPUTED_VALUE"""),"Will work for 3 years or more")</f>
        <v>Will work for 3 years or more</v>
      </c>
      <c r="H452" s="1" t="str">
        <f ca="1">IFERROR(__xludf.DUMMYFUNCTION("""COMPUTED_VALUE"""),"No")</f>
        <v>No</v>
      </c>
      <c r="I452" s="1" t="str">
        <f ca="1">IFERROR(__xludf.DUMMYFUNCTION("""COMPUTED_VALUE"""),"Will NOT work for them")</f>
        <v>Will NOT work for them</v>
      </c>
      <c r="J452" s="1">
        <f ca="1">IFERROR(__xludf.DUMMYFUNCTION("""COMPUTED_VALUE"""),5)</f>
        <v>5</v>
      </c>
      <c r="K452" s="1" t="str">
        <f ca="1">IFERROR(__xludf.DUMMYFUNCTION("""COMPUTED_VALUE"""),"Every Day Office Environment")</f>
        <v>Every Day Office Environment</v>
      </c>
      <c r="L452" s="1" t="str">
        <f ca="1">IFERROR(__xludf.DUMMYFUNCTION("""COMPUTED_VALUE"""),"Employer who appreciates learning and enables that environment")</f>
        <v>Employer who appreciates learning and enables that environment</v>
      </c>
      <c r="M4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2"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52" s="1" t="str">
        <f ca="1">IFERROR(__xludf.DUMMYFUNCTION("""COMPUTED_VALUE"""),"Manager who explains what is expected, sets a goal and helps achieve it")</f>
        <v>Manager who explains what is expected, sets a goal and helps achieve it</v>
      </c>
      <c r="P45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452" s="1"/>
    </row>
    <row r="453" spans="1:17" ht="13.2" x14ac:dyDescent="0.25">
      <c r="A453" s="2">
        <f ca="1">IFERROR(__xludf.DUMMYFUNCTION("""COMPUTED_VALUE"""),45021.4821778587)</f>
        <v>45021.482177858699</v>
      </c>
      <c r="B453" s="1" t="str">
        <f ca="1">IFERROR(__xludf.DUMMYFUNCTION("""COMPUTED_VALUE"""),"India")</f>
        <v>India</v>
      </c>
      <c r="C453" s="1">
        <f ca="1">IFERROR(__xludf.DUMMYFUNCTION("""COMPUTED_VALUE"""),600125)</f>
        <v>600125</v>
      </c>
      <c r="D453" s="3" t="str">
        <f ca="1">IFERROR(__xludf.DUMMYFUNCTION("""COMPUTED_VALUE"""),"Male")</f>
        <v>Male</v>
      </c>
      <c r="E453" s="1" t="str">
        <f ca="1">IFERROR(__xludf.DUMMYFUNCTION("""COMPUTED_VALUE"""),"People who have changed the world for better")</f>
        <v>People who have changed the world for better</v>
      </c>
      <c r="F453" s="1" t="str">
        <f ca="1">IFERROR(__xludf.DUMMYFUNCTION("""COMPUTED_VALUE"""),"No I would not be pursuing Higher Education outside of India")</f>
        <v>No I would not be pursuing Higher Education outside of India</v>
      </c>
      <c r="G453" s="1" t="str">
        <f ca="1">IFERROR(__xludf.DUMMYFUNCTION("""COMPUTED_VALUE"""),"Will work for 3 years or more")</f>
        <v>Will work for 3 years or more</v>
      </c>
      <c r="H453" s="1" t="str">
        <f ca="1">IFERROR(__xludf.DUMMYFUNCTION("""COMPUTED_VALUE"""),"No")</f>
        <v>No</v>
      </c>
      <c r="I453" s="1" t="str">
        <f ca="1">IFERROR(__xludf.DUMMYFUNCTION("""COMPUTED_VALUE"""),"Will work for them")</f>
        <v>Will work for them</v>
      </c>
      <c r="J453" s="1">
        <f ca="1">IFERROR(__xludf.DUMMYFUNCTION("""COMPUTED_VALUE"""),9)</f>
        <v>9</v>
      </c>
      <c r="K453" s="1" t="str">
        <f ca="1">IFERROR(__xludf.DUMMYFUNCTION("""COMPUTED_VALUE"""),"Hybrid Working Environment with less than 3 days a month at office")</f>
        <v>Hybrid Working Environment with less than 3 days a month at office</v>
      </c>
      <c r="L453" s="1" t="str">
        <f ca="1">IFERROR(__xludf.DUMMYFUNCTION("""COMPUTED_VALUE"""),"Employer who pushes your limits by enabling an learning environment, and rewards you at the end")</f>
        <v>Employer who pushes your limits by enabling an learning environment, and rewards you at the end</v>
      </c>
      <c r="M4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53" s="1" t="str">
        <f ca="1">IFERROR(__xludf.DUMMYFUNCTION("""COMPUTED_VALUE"""),"Manager who clearly describes what she/he needs")</f>
        <v>Manager who clearly describes what she/he needs</v>
      </c>
      <c r="P453" s="1" t="str">
        <f ca="1">IFERROR(__xludf.DUMMYFUNCTION("""COMPUTED_VALUE"""),"Work with 2 to 3 people in my team")</f>
        <v>Work with 2 to 3 people in my team</v>
      </c>
      <c r="Q453" s="1"/>
    </row>
    <row r="454" spans="1:17" ht="13.2" x14ac:dyDescent="0.25">
      <c r="A454" s="2">
        <f ca="1">IFERROR(__xludf.DUMMYFUNCTION("""COMPUTED_VALUE"""),45021.4823019444)</f>
        <v>45021.482301944401</v>
      </c>
      <c r="B454" s="1" t="str">
        <f ca="1">IFERROR(__xludf.DUMMYFUNCTION("""COMPUTED_VALUE"""),"India")</f>
        <v>India</v>
      </c>
      <c r="C454" s="1">
        <f ca="1">IFERROR(__xludf.DUMMYFUNCTION("""COMPUTED_VALUE"""),131028)</f>
        <v>131028</v>
      </c>
      <c r="D454" s="3" t="str">
        <f ca="1">IFERROR(__xludf.DUMMYFUNCTION("""COMPUTED_VALUE"""),"Female")</f>
        <v>Female</v>
      </c>
      <c r="E454" s="1" t="str">
        <f ca="1">IFERROR(__xludf.DUMMYFUNCTION("""COMPUTED_VALUE"""),"People who have changed the world for better")</f>
        <v>People who have changed the world for better</v>
      </c>
      <c r="F454" s="1" t="str">
        <f ca="1">IFERROR(__xludf.DUMMYFUNCTION("""COMPUTED_VALUE"""),"No I would not be pursuing Higher Education outside of India")</f>
        <v>No I would not be pursuing Higher Education outside of India</v>
      </c>
      <c r="G454" s="1" t="str">
        <f ca="1">IFERROR(__xludf.DUMMYFUNCTION("""COMPUTED_VALUE"""),"Will work for 3 years or more")</f>
        <v>Will work for 3 years or more</v>
      </c>
      <c r="H454" s="1" t="str">
        <f ca="1">IFERROR(__xludf.DUMMYFUNCTION("""COMPUTED_VALUE"""),"No")</f>
        <v>No</v>
      </c>
      <c r="I454" s="1" t="str">
        <f ca="1">IFERROR(__xludf.DUMMYFUNCTION("""COMPUTED_VALUE"""),"Will NOT work for them")</f>
        <v>Will NOT work for them</v>
      </c>
      <c r="J454" s="1">
        <f ca="1">IFERROR(__xludf.DUMMYFUNCTION("""COMPUTED_VALUE"""),8)</f>
        <v>8</v>
      </c>
      <c r="K454" s="1" t="str">
        <f ca="1">IFERROR(__xludf.DUMMYFUNCTION("""COMPUTED_VALUE"""),"Hybrid Working Environment with more than 15 days a month at office")</f>
        <v>Hybrid Working Environment with more than 15 days a month at office</v>
      </c>
      <c r="L454" s="1" t="str">
        <f ca="1">IFERROR(__xludf.DUMMYFUNCTION("""COMPUTED_VALUE"""),"Employer who pushes your limits by enabling an learning environment, and rewards you at the end")</f>
        <v>Employer who pushes your limits by enabling an learning environment, and rewards you at the end</v>
      </c>
      <c r="M4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4"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454" s="1" t="str">
        <f ca="1">IFERROR(__xludf.DUMMYFUNCTION("""COMPUTED_VALUE"""),"Manager who clearly describes what she/he needs")</f>
        <v>Manager who clearly describes what she/he needs</v>
      </c>
      <c r="P454" s="1" t="str">
        <f ca="1">IFERROR(__xludf.DUMMYFUNCTION("""COMPUTED_VALUE"""),"Work with 5 to 6 people in my team")</f>
        <v>Work with 5 to 6 people in my team</v>
      </c>
      <c r="Q454" s="1"/>
    </row>
    <row r="455" spans="1:17" ht="13.2" x14ac:dyDescent="0.25">
      <c r="A455" s="2">
        <f ca="1">IFERROR(__xludf.DUMMYFUNCTION("""COMPUTED_VALUE"""),45021.4838892476)</f>
        <v>45021.483889247596</v>
      </c>
      <c r="B455" s="1" t="str">
        <f ca="1">IFERROR(__xludf.DUMMYFUNCTION("""COMPUTED_VALUE"""),"India")</f>
        <v>India</v>
      </c>
      <c r="C455" s="1">
        <f ca="1">IFERROR(__xludf.DUMMYFUNCTION("""COMPUTED_VALUE"""),560092)</f>
        <v>560092</v>
      </c>
      <c r="D455" s="3" t="str">
        <f ca="1">IFERROR(__xludf.DUMMYFUNCTION("""COMPUTED_VALUE"""),"Male")</f>
        <v>Male</v>
      </c>
      <c r="E455" s="1" t="str">
        <f ca="1">IFERROR(__xludf.DUMMYFUNCTION("""COMPUTED_VALUE"""),"People who have changed the world for better")</f>
        <v>People who have changed the world for better</v>
      </c>
      <c r="F455" s="1" t="str">
        <f ca="1">IFERROR(__xludf.DUMMYFUNCTION("""COMPUTED_VALUE"""),"Yes, I will earn and do that")</f>
        <v>Yes, I will earn and do that</v>
      </c>
      <c r="G455" s="1" t="str">
        <f ca="1">IFERROR(__xludf.DUMMYFUNCTION("""COMPUTED_VALUE"""),"This will be hard to do, but if it is the right company I would try")</f>
        <v>This will be hard to do, but if it is the right company I would try</v>
      </c>
      <c r="H455" s="1" t="str">
        <f ca="1">IFERROR(__xludf.DUMMYFUNCTION("""COMPUTED_VALUE"""),"No")</f>
        <v>No</v>
      </c>
      <c r="I455" s="1" t="str">
        <f ca="1">IFERROR(__xludf.DUMMYFUNCTION("""COMPUTED_VALUE"""),"Will NOT work for them")</f>
        <v>Will NOT work for them</v>
      </c>
      <c r="J455" s="1">
        <f ca="1">IFERROR(__xludf.DUMMYFUNCTION("""COMPUTED_VALUE"""),5)</f>
        <v>5</v>
      </c>
      <c r="K455" s="1" t="str">
        <f ca="1">IFERROR(__xludf.DUMMYFUNCTION("""COMPUTED_VALUE"""),"Hybrid Working Environment with less than 3 days a month at office")</f>
        <v>Hybrid Working Environment with less than 3 days a month at office</v>
      </c>
      <c r="L455" s="1" t="str">
        <f ca="1">IFERROR(__xludf.DUMMYFUNCTION("""COMPUTED_VALUE"""),"Employer who pushes your limits by enabling an learning environment, and rewards you at the end")</f>
        <v>Employer who pushes your limits by enabling an learning environment, and rewards you at the end</v>
      </c>
      <c r="M45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55" s="1" t="str">
        <f ca="1">IFERROR(__xludf.DUMMYFUNCTION("""COMPUTED_VALUE"""),"Business Operations in any organization, Entrepreneur or Start Up, An Artificial Intelligence Specialist / Talking to Robots, Manufacturing / Oil and Gas/ Construction / Hard Physical Work related")</f>
        <v>Business Operations in any organization, Entrepreneur or Start Up, An Artificial Intelligence Specialist / Talking to Robots, Manufacturing / Oil and Gas/ Construction / Hard Physical Work related</v>
      </c>
      <c r="O455" s="1" t="str">
        <f ca="1">IFERROR(__xludf.DUMMYFUNCTION("""COMPUTED_VALUE"""),"Manager who sets goal and helps me achieve it")</f>
        <v>Manager who sets goal and helps me achieve it</v>
      </c>
      <c r="P455" s="1" t="str">
        <f ca="1">IFERROR(__xludf.DUMMYFUNCTION("""COMPUTED_VALUE"""),"Work with more than 10 people in my team")</f>
        <v>Work with more than 10 people in my team</v>
      </c>
      <c r="Q455" s="1"/>
    </row>
    <row r="456" spans="1:17" ht="13.2" x14ac:dyDescent="0.25">
      <c r="A456" s="2">
        <f ca="1">IFERROR(__xludf.DUMMYFUNCTION("""COMPUTED_VALUE"""),45021.4841858796)</f>
        <v>45021.484185879599</v>
      </c>
      <c r="B456" s="1" t="str">
        <f ca="1">IFERROR(__xludf.DUMMYFUNCTION("""COMPUTED_VALUE"""),"India")</f>
        <v>India</v>
      </c>
      <c r="C456" s="1">
        <f ca="1">IFERROR(__xludf.DUMMYFUNCTION("""COMPUTED_VALUE"""),500036)</f>
        <v>500036</v>
      </c>
      <c r="D456" s="3" t="str">
        <f ca="1">IFERROR(__xludf.DUMMYFUNCTION("""COMPUTED_VALUE"""),"Female")</f>
        <v>Female</v>
      </c>
      <c r="E456" s="1" t="str">
        <f ca="1">IFERROR(__xludf.DUMMYFUNCTION("""COMPUTED_VALUE"""),"Influencers who had successful careers")</f>
        <v>Influencers who had successful careers</v>
      </c>
      <c r="F456" s="1" t="str">
        <f ca="1">IFERROR(__xludf.DUMMYFUNCTION("""COMPUTED_VALUE"""),"Yes, I will earn and do that")</f>
        <v>Yes, I will earn and do that</v>
      </c>
      <c r="G456" s="1" t="str">
        <f ca="1">IFERROR(__xludf.DUMMYFUNCTION("""COMPUTED_VALUE"""),"Will work for 3 years or more")</f>
        <v>Will work for 3 years or more</v>
      </c>
      <c r="H456" s="1" t="str">
        <f ca="1">IFERROR(__xludf.DUMMYFUNCTION("""COMPUTED_VALUE"""),"Yes")</f>
        <v>Yes</v>
      </c>
      <c r="I456" s="1" t="str">
        <f ca="1">IFERROR(__xludf.DUMMYFUNCTION("""COMPUTED_VALUE"""),"Will NOT work for them")</f>
        <v>Will NOT work for them</v>
      </c>
      <c r="J456" s="1">
        <f ca="1">IFERROR(__xludf.DUMMYFUNCTION("""COMPUTED_VALUE"""),2)</f>
        <v>2</v>
      </c>
      <c r="K456" s="1" t="str">
        <f ca="1">IFERROR(__xludf.DUMMYFUNCTION("""COMPUTED_VALUE"""),"Fully Remote with Options to travel as and when needed")</f>
        <v>Fully Remote with Options to travel as and when needed</v>
      </c>
      <c r="L456" s="1" t="str">
        <f ca="1">IFERROR(__xludf.DUMMYFUNCTION("""COMPUTED_VALUE"""),"Employer who appreciates learning and enables that environment")</f>
        <v>Employer who appreciates learning and enables that environment</v>
      </c>
      <c r="M45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456" s="1" t="str">
        <f ca="1">IFERROR(__xludf.DUMMYFUNCTION("""COMPUTED_VALUE"""),"Design and Creative strategy in any company, Design and Develop amazing software, Become a content Creator in some platform, An Artificial Intelligence Specialist / Talking to Robots")</f>
        <v>Design and Creative strategy in any company, Design and Develop amazing software, Become a content Creator in some platform, An Artificial Intelligence Specialist / Talking to Robots</v>
      </c>
      <c r="O456" s="1" t="str">
        <f ca="1">IFERROR(__xludf.DUMMYFUNCTION("""COMPUTED_VALUE"""),"Manager who sets targets and expects me to achieve it")</f>
        <v>Manager who sets targets and expects me to achieve it</v>
      </c>
      <c r="P456" s="1" t="str">
        <f ca="1">IFERROR(__xludf.DUMMYFUNCTION("""COMPUTED_VALUE"""),"Work with 2 to 3 people in my team")</f>
        <v>Work with 2 to 3 people in my team</v>
      </c>
      <c r="Q456" s="1"/>
    </row>
    <row r="457" spans="1:17" ht="13.2" x14ac:dyDescent="0.25">
      <c r="A457" s="2">
        <f ca="1">IFERROR(__xludf.DUMMYFUNCTION("""COMPUTED_VALUE"""),45021.4848845949)</f>
        <v>45021.484884594902</v>
      </c>
      <c r="B457" s="1" t="str">
        <f ca="1">IFERROR(__xludf.DUMMYFUNCTION("""COMPUTED_VALUE"""),"India")</f>
        <v>India</v>
      </c>
      <c r="C457" s="1">
        <f ca="1">IFERROR(__xludf.DUMMYFUNCTION("""COMPUTED_VALUE"""),603210)</f>
        <v>603210</v>
      </c>
      <c r="D457" s="3" t="str">
        <f ca="1">IFERROR(__xludf.DUMMYFUNCTION("""COMPUTED_VALUE"""),"Male")</f>
        <v>Male</v>
      </c>
      <c r="E457" s="1" t="str">
        <f ca="1">IFERROR(__xludf.DUMMYFUNCTION("""COMPUTED_VALUE"""),"People who have changed the world for better")</f>
        <v>People who have changed the world for better</v>
      </c>
      <c r="F457" s="1" t="str">
        <f ca="1">IFERROR(__xludf.DUMMYFUNCTION("""COMPUTED_VALUE"""),"Yes, I will earn and do that")</f>
        <v>Yes, I will earn and do that</v>
      </c>
      <c r="G457" s="1" t="str">
        <f ca="1">IFERROR(__xludf.DUMMYFUNCTION("""COMPUTED_VALUE"""),"This will be hard to do, but if it is the right company I would try")</f>
        <v>This will be hard to do, but if it is the right company I would try</v>
      </c>
      <c r="H457" s="1" t="str">
        <f ca="1">IFERROR(__xludf.DUMMYFUNCTION("""COMPUTED_VALUE"""),"Yes")</f>
        <v>Yes</v>
      </c>
      <c r="I457" s="1" t="str">
        <f ca="1">IFERROR(__xludf.DUMMYFUNCTION("""COMPUTED_VALUE"""),"Will NOT work for them")</f>
        <v>Will NOT work for them</v>
      </c>
      <c r="J457" s="1">
        <f ca="1">IFERROR(__xludf.DUMMYFUNCTION("""COMPUTED_VALUE"""),3)</f>
        <v>3</v>
      </c>
      <c r="K457" s="1" t="str">
        <f ca="1">IFERROR(__xludf.DUMMYFUNCTION("""COMPUTED_VALUE"""),"Hybrid Working Environment with less than 3 days a month at office")</f>
        <v>Hybrid Working Environment with less than 3 days a month at office</v>
      </c>
      <c r="L457" s="1" t="str">
        <f ca="1">IFERROR(__xludf.DUMMYFUNCTION("""COMPUTED_VALUE"""),"Employer who pushes your limits by enabling an learning environment, and rewards you at the end")</f>
        <v>Employer who pushes your limits by enabling an learning environment, and rewards you at the end</v>
      </c>
      <c r="M45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5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457" s="1" t="str">
        <f ca="1">IFERROR(__xludf.DUMMYFUNCTION("""COMPUTED_VALUE"""),"Manager who clearly describes what she/he needs")</f>
        <v>Manager who clearly describes what she/he needs</v>
      </c>
      <c r="P457" s="1" t="str">
        <f ca="1">IFERROR(__xludf.DUMMYFUNCTION("""COMPUTED_VALUE"""),"Work with more than 10 people in my team")</f>
        <v>Work with more than 10 people in my team</v>
      </c>
      <c r="Q457" s="1"/>
    </row>
    <row r="458" spans="1:17" ht="13.2" x14ac:dyDescent="0.25">
      <c r="A458" s="2">
        <f ca="1">IFERROR(__xludf.DUMMYFUNCTION("""COMPUTED_VALUE"""),45021.485380243)</f>
        <v>45021.485380243001</v>
      </c>
      <c r="B458" s="1" t="str">
        <f ca="1">IFERROR(__xludf.DUMMYFUNCTION("""COMPUTED_VALUE"""),"India")</f>
        <v>India</v>
      </c>
      <c r="C458" s="1">
        <f ca="1">IFERROR(__xludf.DUMMYFUNCTION("""COMPUTED_VALUE"""),500079)</f>
        <v>500079</v>
      </c>
      <c r="D458" s="3" t="str">
        <f ca="1">IFERROR(__xludf.DUMMYFUNCTION("""COMPUTED_VALUE"""),"Male")</f>
        <v>Male</v>
      </c>
      <c r="E458" s="1" t="str">
        <f ca="1">IFERROR(__xludf.DUMMYFUNCTION("""COMPUTED_VALUE"""),"People who have changed the world for better")</f>
        <v>People who have changed the world for better</v>
      </c>
      <c r="F458" s="1" t="str">
        <f ca="1">IFERROR(__xludf.DUMMYFUNCTION("""COMPUTED_VALUE"""),"No, But if someone could bare the cost I will")</f>
        <v>No, But if someone could bare the cost I will</v>
      </c>
      <c r="G458" s="1" t="str">
        <f ca="1">IFERROR(__xludf.DUMMYFUNCTION("""COMPUTED_VALUE"""),"Will work for 3 years or more")</f>
        <v>Will work for 3 years or more</v>
      </c>
      <c r="H458" s="1" t="str">
        <f ca="1">IFERROR(__xludf.DUMMYFUNCTION("""COMPUTED_VALUE"""),"No")</f>
        <v>No</v>
      </c>
      <c r="I458" s="1" t="str">
        <f ca="1">IFERROR(__xludf.DUMMYFUNCTION("""COMPUTED_VALUE"""),"Will NOT work for them")</f>
        <v>Will NOT work for them</v>
      </c>
      <c r="J458" s="1">
        <f ca="1">IFERROR(__xludf.DUMMYFUNCTION("""COMPUTED_VALUE"""),5)</f>
        <v>5</v>
      </c>
      <c r="K458" s="1" t="str">
        <f ca="1">IFERROR(__xludf.DUMMYFUNCTION("""COMPUTED_VALUE"""),"Hybrid Working Environment with less than 3 days a month at office")</f>
        <v>Hybrid Working Environment with less than 3 days a month at office</v>
      </c>
      <c r="L458" s="1" t="str">
        <f ca="1">IFERROR(__xludf.DUMMYFUNCTION("""COMPUTED_VALUE"""),"Employer who pushes your limits by enabling an learning environment, and rewards you at the end")</f>
        <v>Employer who pushes your limits by enabling an learning environment, and rewards you at the end</v>
      </c>
      <c r="M45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8" s="1" t="str">
        <f ca="1">IFERROR(__xludf.DUMMYFUNCTION("""COMPUTED_VALUE"""),"Design and Creative strategy in any company, Design and Develop amazing software, Look deeply into Data and generate insights, Manufacturing / Oil and Gas/ Construction / Hard Physical Work related")</f>
        <v>Design and Creative strategy in any company, Design and Develop amazing software, Look deeply into Data and generate insights, Manufacturing / Oil and Gas/ Construction / Hard Physical Work related</v>
      </c>
      <c r="O458" s="1" t="str">
        <f ca="1">IFERROR(__xludf.DUMMYFUNCTION("""COMPUTED_VALUE"""),"Manager who clearly describes what she/he needs")</f>
        <v>Manager who clearly describes what she/he needs</v>
      </c>
      <c r="P458" s="1" t="str">
        <f ca="1">IFERROR(__xludf.DUMMYFUNCTION("""COMPUTED_VALUE"""),"Work with 5 to 6 people in my team, Work with 7 to 10 or more people in my team")</f>
        <v>Work with 5 to 6 people in my team, Work with 7 to 10 or more people in my team</v>
      </c>
      <c r="Q458" s="1"/>
    </row>
    <row r="459" spans="1:17" ht="13.2" x14ac:dyDescent="0.25">
      <c r="A459" s="2">
        <f ca="1">IFERROR(__xludf.DUMMYFUNCTION("""COMPUTED_VALUE"""),45021.4857254629)</f>
        <v>45021.485725462902</v>
      </c>
      <c r="B459" s="1" t="str">
        <f ca="1">IFERROR(__xludf.DUMMYFUNCTION("""COMPUTED_VALUE"""),"India")</f>
        <v>India</v>
      </c>
      <c r="C459" s="1">
        <f ca="1">IFERROR(__xludf.DUMMYFUNCTION("""COMPUTED_VALUE"""),501510)</f>
        <v>501510</v>
      </c>
      <c r="D459" s="3" t="str">
        <f ca="1">IFERROR(__xludf.DUMMYFUNCTION("""COMPUTED_VALUE"""),"Male")</f>
        <v>Male</v>
      </c>
      <c r="E459" s="1" t="str">
        <f ca="1">IFERROR(__xludf.DUMMYFUNCTION("""COMPUTED_VALUE"""),"My Parents")</f>
        <v>My Parents</v>
      </c>
      <c r="F459" s="1" t="str">
        <f ca="1">IFERROR(__xludf.DUMMYFUNCTION("""COMPUTED_VALUE"""),"No, But if someone could bare the cost I will")</f>
        <v>No, But if someone could bare the cost I will</v>
      </c>
      <c r="G459" s="1" t="str">
        <f ca="1">IFERROR(__xludf.DUMMYFUNCTION("""COMPUTED_VALUE"""),"Will work for 3 years or more")</f>
        <v>Will work for 3 years or more</v>
      </c>
      <c r="H459" s="1" t="str">
        <f ca="1">IFERROR(__xludf.DUMMYFUNCTION("""COMPUTED_VALUE"""),"No")</f>
        <v>No</v>
      </c>
      <c r="I459" s="1" t="str">
        <f ca="1">IFERROR(__xludf.DUMMYFUNCTION("""COMPUTED_VALUE"""),"Will NOT work for them")</f>
        <v>Will NOT work for them</v>
      </c>
      <c r="J459" s="1">
        <f ca="1">IFERROR(__xludf.DUMMYFUNCTION("""COMPUTED_VALUE"""),5)</f>
        <v>5</v>
      </c>
      <c r="K459" s="1" t="str">
        <f ca="1">IFERROR(__xludf.DUMMYFUNCTION("""COMPUTED_VALUE"""),"Hybrid Working Environment with more than 15 days a month at office")</f>
        <v>Hybrid Working Environment with more than 15 days a month at office</v>
      </c>
      <c r="L459" s="1" t="str">
        <f ca="1">IFERROR(__xludf.DUMMYFUNCTION("""COMPUTED_VALUE"""),"Employer who rewards learning and enables that environment")</f>
        <v>Employer who rewards learning and enables that environment</v>
      </c>
      <c r="M4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9"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459" s="1" t="str">
        <f ca="1">IFERROR(__xludf.DUMMYFUNCTION("""COMPUTED_VALUE"""),"Manager who sets goal and helps me achieve it")</f>
        <v>Manager who sets goal and helps me achieve it</v>
      </c>
      <c r="P459" s="1" t="str">
        <f ca="1">IFERROR(__xludf.DUMMYFUNCTION("""COMPUTED_VALUE"""),"Work with 2 to 3 people in my team")</f>
        <v>Work with 2 to 3 people in my team</v>
      </c>
      <c r="Q459" s="1"/>
    </row>
    <row r="460" spans="1:17" ht="13.2" x14ac:dyDescent="0.25">
      <c r="A460" s="2">
        <f ca="1">IFERROR(__xludf.DUMMYFUNCTION("""COMPUTED_VALUE"""),45021.4866372685)</f>
        <v>45021.486637268499</v>
      </c>
      <c r="B460" s="1" t="str">
        <f ca="1">IFERROR(__xludf.DUMMYFUNCTION("""COMPUTED_VALUE"""),"India")</f>
        <v>India</v>
      </c>
      <c r="C460" s="1">
        <f ca="1">IFERROR(__xludf.DUMMYFUNCTION("""COMPUTED_VALUE"""),641017)</f>
        <v>641017</v>
      </c>
      <c r="D460" s="3" t="str">
        <f ca="1">IFERROR(__xludf.DUMMYFUNCTION("""COMPUTED_VALUE"""),"Female")</f>
        <v>Female</v>
      </c>
      <c r="E460" s="1" t="str">
        <f ca="1">IFERROR(__xludf.DUMMYFUNCTION("""COMPUTED_VALUE"""),"Social Media like LinkedIn")</f>
        <v>Social Media like LinkedIn</v>
      </c>
      <c r="F460" s="1" t="str">
        <f ca="1">IFERROR(__xludf.DUMMYFUNCTION("""COMPUTED_VALUE"""),"No I would not be pursuing Higher Education outside of India")</f>
        <v>No I would not be pursuing Higher Education outside of India</v>
      </c>
      <c r="G460" s="1" t="str">
        <f ca="1">IFERROR(__xludf.DUMMYFUNCTION("""COMPUTED_VALUE"""),"This will be hard to do, but if it is the right company I would try")</f>
        <v>This will be hard to do, but if it is the right company I would try</v>
      </c>
      <c r="H460" s="1" t="str">
        <f ca="1">IFERROR(__xludf.DUMMYFUNCTION("""COMPUTED_VALUE"""),"No")</f>
        <v>No</v>
      </c>
      <c r="I460" s="1" t="str">
        <f ca="1">IFERROR(__xludf.DUMMYFUNCTION("""COMPUTED_VALUE"""),"Will NOT work for them")</f>
        <v>Will NOT work for them</v>
      </c>
      <c r="J460" s="1">
        <f ca="1">IFERROR(__xludf.DUMMYFUNCTION("""COMPUTED_VALUE"""),3)</f>
        <v>3</v>
      </c>
      <c r="K460" s="1" t="str">
        <f ca="1">IFERROR(__xludf.DUMMYFUNCTION("""COMPUTED_VALUE"""),"Hybrid Working Environment with more than 15 days a month at office")</f>
        <v>Hybrid Working Environment with more than 15 days a month at office</v>
      </c>
      <c r="L460" s="1" t="str">
        <f ca="1">IFERROR(__xludf.DUMMYFUNCTION("""COMPUTED_VALUE"""),"Employer who appreciates learning and enables that environment")</f>
        <v>Employer who appreciates learning and enables that environment</v>
      </c>
      <c r="M46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60"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460" s="1" t="str">
        <f ca="1">IFERROR(__xludf.DUMMYFUNCTION("""COMPUTED_VALUE"""),"Manager who explains what is expected, sets a goal and helps achieve it")</f>
        <v>Manager who explains what is expected, sets a goal and helps achieve it</v>
      </c>
      <c r="P460" s="1" t="str">
        <f ca="1">IFERROR(__xludf.DUMMYFUNCTION("""COMPUTED_VALUE"""),"Work with 7 to 10 or more people in my team")</f>
        <v>Work with 7 to 10 or more people in my team</v>
      </c>
      <c r="Q460" s="1"/>
    </row>
    <row r="461" spans="1:17" ht="13.2" x14ac:dyDescent="0.25">
      <c r="A461" s="2">
        <f ca="1">IFERROR(__xludf.DUMMYFUNCTION("""COMPUTED_VALUE"""),45021.486660405)</f>
        <v>45021.486660404997</v>
      </c>
      <c r="B461" s="1" t="str">
        <f ca="1">IFERROR(__xludf.DUMMYFUNCTION("""COMPUTED_VALUE"""),"India")</f>
        <v>India</v>
      </c>
      <c r="C461" s="1">
        <f ca="1">IFERROR(__xludf.DUMMYFUNCTION("""COMPUTED_VALUE"""),400043)</f>
        <v>400043</v>
      </c>
      <c r="D461" s="3" t="str">
        <f ca="1">IFERROR(__xludf.DUMMYFUNCTION("""COMPUTED_VALUE"""),"Female")</f>
        <v>Female</v>
      </c>
      <c r="E461" s="1" t="str">
        <f ca="1">IFERROR(__xludf.DUMMYFUNCTION("""COMPUTED_VALUE"""),"Influencers who had successful careers")</f>
        <v>Influencers who had successful careers</v>
      </c>
      <c r="F461" s="1" t="str">
        <f ca="1">IFERROR(__xludf.DUMMYFUNCTION("""COMPUTED_VALUE"""),"Yes, I will earn and do that")</f>
        <v>Yes, I will earn and do that</v>
      </c>
      <c r="G461" s="1" t="str">
        <f ca="1">IFERROR(__xludf.DUMMYFUNCTION("""COMPUTED_VALUE"""),"No way")</f>
        <v>No way</v>
      </c>
      <c r="H461" s="1" t="str">
        <f ca="1">IFERROR(__xludf.DUMMYFUNCTION("""COMPUTED_VALUE"""),"No")</f>
        <v>No</v>
      </c>
      <c r="I461" s="1" t="str">
        <f ca="1">IFERROR(__xludf.DUMMYFUNCTION("""COMPUTED_VALUE"""),"Will NOT work for them")</f>
        <v>Will NOT work for them</v>
      </c>
      <c r="J461" s="1">
        <f ca="1">IFERROR(__xludf.DUMMYFUNCTION("""COMPUTED_VALUE"""),7)</f>
        <v>7</v>
      </c>
      <c r="K461" s="1" t="str">
        <f ca="1">IFERROR(__xludf.DUMMYFUNCTION("""COMPUTED_VALUE"""),"Fully Remote with Options to travel as and when needed")</f>
        <v>Fully Remote with Options to travel as and when needed</v>
      </c>
      <c r="L461" s="1" t="str">
        <f ca="1">IFERROR(__xludf.DUMMYFUNCTION("""COMPUTED_VALUE"""),"Employer who pushes your limits by enabling an learning environment, and rewards you at the end")</f>
        <v>Employer who pushes your limits by enabling an learning environment, and rewards you at the end</v>
      </c>
      <c r="M46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6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61" s="1" t="str">
        <f ca="1">IFERROR(__xludf.DUMMYFUNCTION("""COMPUTED_VALUE"""),"Manager who explains what is expected, sets a goal and helps achieve it")</f>
        <v>Manager who explains what is expected, sets a goal and helps achieve it</v>
      </c>
      <c r="P461" s="1" t="str">
        <f ca="1">IFERROR(__xludf.DUMMYFUNCTION("""COMPUTED_VALUE"""),"Work alone, Work with 2 to 3 people in my team")</f>
        <v>Work alone, Work with 2 to 3 people in my team</v>
      </c>
      <c r="Q461" s="1"/>
    </row>
    <row r="462" spans="1:17" ht="13.2" x14ac:dyDescent="0.25">
      <c r="A462" s="2">
        <f ca="1">IFERROR(__xludf.DUMMYFUNCTION("""COMPUTED_VALUE"""),45021.4872615277)</f>
        <v>45021.487261527698</v>
      </c>
      <c r="B462" s="1" t="str">
        <f ca="1">IFERROR(__xludf.DUMMYFUNCTION("""COMPUTED_VALUE"""),"India")</f>
        <v>India</v>
      </c>
      <c r="C462" s="1">
        <f ca="1">IFERROR(__xludf.DUMMYFUNCTION("""COMPUTED_VALUE"""),71)</f>
        <v>71</v>
      </c>
      <c r="D462" s="3" t="str">
        <f ca="1">IFERROR(__xludf.DUMMYFUNCTION("""COMPUTED_VALUE"""),"Male")</f>
        <v>Male</v>
      </c>
      <c r="E462" s="1" t="str">
        <f ca="1">IFERROR(__xludf.DUMMYFUNCTION("""COMPUTED_VALUE"""),"People who have changed the world for better")</f>
        <v>People who have changed the world for better</v>
      </c>
      <c r="F462" s="1" t="str">
        <f ca="1">IFERROR(__xludf.DUMMYFUNCTION("""COMPUTED_VALUE"""),"No I would not be pursuing Higher Education outside of India")</f>
        <v>No I would not be pursuing Higher Education outside of India</v>
      </c>
      <c r="G462" s="1" t="str">
        <f ca="1">IFERROR(__xludf.DUMMYFUNCTION("""COMPUTED_VALUE"""),"No way")</f>
        <v>No way</v>
      </c>
      <c r="H462" s="1" t="str">
        <f ca="1">IFERROR(__xludf.DUMMYFUNCTION("""COMPUTED_VALUE"""),"No")</f>
        <v>No</v>
      </c>
      <c r="I462" s="1" t="str">
        <f ca="1">IFERROR(__xludf.DUMMYFUNCTION("""COMPUTED_VALUE"""),"Will NOT work for them")</f>
        <v>Will NOT work for them</v>
      </c>
      <c r="J462" s="1">
        <f ca="1">IFERROR(__xludf.DUMMYFUNCTION("""COMPUTED_VALUE"""),1)</f>
        <v>1</v>
      </c>
      <c r="K462" s="1" t="str">
        <f ca="1">IFERROR(__xludf.DUMMYFUNCTION("""COMPUTED_VALUE"""),"Fully Remote with Options to travel as and when needed")</f>
        <v>Fully Remote with Options to travel as and when needed</v>
      </c>
      <c r="L462" s="1" t="str">
        <f ca="1">IFERROR(__xludf.DUMMYFUNCTION("""COMPUTED_VALUE"""),"Employer who appreciates learning and enables that environment")</f>
        <v>Employer who appreciates learning and enables that environment</v>
      </c>
      <c r="M462" s="1" t="str">
        <f ca="1">IFERROR(__xludf.DUMMYFUNCTION("""COMPUTED_VALUE"""),"Self Paced Learning Portals of the Company, Instructor or Expert Learning Programs, Manager Teaching you")</f>
        <v>Self Paced Learning Portals of the Company, Instructor or Expert Learning Programs, Manager Teaching you</v>
      </c>
      <c r="N462"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462" s="1" t="str">
        <f ca="1">IFERROR(__xludf.DUMMYFUNCTION("""COMPUTED_VALUE"""),"Manager who sets unrealistic targets")</f>
        <v>Manager who sets unrealistic targets</v>
      </c>
      <c r="P462" s="1" t="str">
        <f ca="1">IFERROR(__xludf.DUMMYFUNCTION("""COMPUTED_VALUE"""),"Work with 2 to 3 people in my team")</f>
        <v>Work with 2 to 3 people in my team</v>
      </c>
      <c r="Q462" s="1"/>
    </row>
    <row r="463" spans="1:17" ht="13.2" x14ac:dyDescent="0.25">
      <c r="A463" s="2">
        <f ca="1">IFERROR(__xludf.DUMMYFUNCTION("""COMPUTED_VALUE"""),45021.4881047569)</f>
        <v>45021.4881047569</v>
      </c>
      <c r="B463" s="1" t="str">
        <f ca="1">IFERROR(__xludf.DUMMYFUNCTION("""COMPUTED_VALUE"""),"India")</f>
        <v>India</v>
      </c>
      <c r="C463" s="1">
        <f ca="1">IFERROR(__xludf.DUMMYFUNCTION("""COMPUTED_VALUE"""),602105)</f>
        <v>602105</v>
      </c>
      <c r="D463" s="3" t="str">
        <f ca="1">IFERROR(__xludf.DUMMYFUNCTION("""COMPUTED_VALUE"""),"Male")</f>
        <v>Male</v>
      </c>
      <c r="E463" s="1" t="str">
        <f ca="1">IFERROR(__xludf.DUMMYFUNCTION("""COMPUTED_VALUE"""),"People from my circle, but not family members")</f>
        <v>People from my circle, but not family members</v>
      </c>
      <c r="F463" s="1" t="str">
        <f ca="1">IFERROR(__xludf.DUMMYFUNCTION("""COMPUTED_VALUE"""),"No I would not be pursuing Higher Education outside of India")</f>
        <v>No I would not be pursuing Higher Education outside of India</v>
      </c>
      <c r="G463" s="1" t="str">
        <f ca="1">IFERROR(__xludf.DUMMYFUNCTION("""COMPUTED_VALUE"""),"Will work for 3 years or more")</f>
        <v>Will work for 3 years or more</v>
      </c>
      <c r="H463" s="1" t="str">
        <f ca="1">IFERROR(__xludf.DUMMYFUNCTION("""COMPUTED_VALUE"""),"Yes")</f>
        <v>Yes</v>
      </c>
      <c r="I463" s="1" t="str">
        <f ca="1">IFERROR(__xludf.DUMMYFUNCTION("""COMPUTED_VALUE"""),"Will work for them")</f>
        <v>Will work for them</v>
      </c>
      <c r="J463" s="1">
        <f ca="1">IFERROR(__xludf.DUMMYFUNCTION("""COMPUTED_VALUE"""),8)</f>
        <v>8</v>
      </c>
      <c r="K463" s="1" t="str">
        <f ca="1">IFERROR(__xludf.DUMMYFUNCTION("""COMPUTED_VALUE"""),"Fully Remote with Options to travel as and when needed")</f>
        <v>Fully Remote with Options to travel as and when needed</v>
      </c>
      <c r="L463" s="1" t="str">
        <f ca="1">IFERROR(__xludf.DUMMYFUNCTION("""COMPUTED_VALUE"""),"Employer who appreciates learning and enables that environment")</f>
        <v>Employer who appreciates learning and enables that environment</v>
      </c>
      <c r="M4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63"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463" s="1" t="str">
        <f ca="1">IFERROR(__xludf.DUMMYFUNCTION("""COMPUTED_VALUE"""),"Manager who clearly describes what she/he needs")</f>
        <v>Manager who clearly describes what she/he needs</v>
      </c>
      <c r="P463" s="1" t="str">
        <f ca="1">IFERROR(__xludf.DUMMYFUNCTION("""COMPUTED_VALUE"""),"Work with more than 10 people in my team")</f>
        <v>Work with more than 10 people in my team</v>
      </c>
      <c r="Q463" s="1"/>
    </row>
    <row r="464" spans="1:17" ht="13.2" x14ac:dyDescent="0.25">
      <c r="A464" s="2">
        <f ca="1">IFERROR(__xludf.DUMMYFUNCTION("""COMPUTED_VALUE"""),45021.4882826504)</f>
        <v>45021.488282650404</v>
      </c>
      <c r="B464" s="1" t="str">
        <f ca="1">IFERROR(__xludf.DUMMYFUNCTION("""COMPUTED_VALUE"""),"India")</f>
        <v>India</v>
      </c>
      <c r="C464" s="1">
        <f ca="1">IFERROR(__xludf.DUMMYFUNCTION("""COMPUTED_VALUE"""),600056)</f>
        <v>600056</v>
      </c>
      <c r="D464" s="3" t="str">
        <f ca="1">IFERROR(__xludf.DUMMYFUNCTION("""COMPUTED_VALUE"""),"Male")</f>
        <v>Male</v>
      </c>
      <c r="E464" s="1" t="str">
        <f ca="1">IFERROR(__xludf.DUMMYFUNCTION("""COMPUTED_VALUE"""),"My Parents")</f>
        <v>My Parents</v>
      </c>
      <c r="F464" s="1" t="str">
        <f ca="1">IFERROR(__xludf.DUMMYFUNCTION("""COMPUTED_VALUE"""),"No I would not be pursuing Higher Education outside of India")</f>
        <v>No I would not be pursuing Higher Education outside of India</v>
      </c>
      <c r="G464" s="1" t="str">
        <f ca="1">IFERROR(__xludf.DUMMYFUNCTION("""COMPUTED_VALUE"""),"Will work for 3 years or more")</f>
        <v>Will work for 3 years or more</v>
      </c>
      <c r="H464" s="1" t="str">
        <f ca="1">IFERROR(__xludf.DUMMYFUNCTION("""COMPUTED_VALUE"""),"Yes")</f>
        <v>Yes</v>
      </c>
      <c r="I464" s="1" t="str">
        <f ca="1">IFERROR(__xludf.DUMMYFUNCTION("""COMPUTED_VALUE"""),"Will work for them")</f>
        <v>Will work for them</v>
      </c>
      <c r="J464" s="1">
        <f ca="1">IFERROR(__xludf.DUMMYFUNCTION("""COMPUTED_VALUE"""),3)</f>
        <v>3</v>
      </c>
      <c r="K464" s="1" t="str">
        <f ca="1">IFERROR(__xludf.DUMMYFUNCTION("""COMPUTED_VALUE"""),"Every Day Office Environment")</f>
        <v>Every Day Office Environment</v>
      </c>
      <c r="L464" s="1" t="str">
        <f ca="1">IFERROR(__xludf.DUMMYFUNCTION("""COMPUTED_VALUE"""),"Employer who appreciates learning and enables that environment")</f>
        <v>Employer who appreciates learning and enables that environment</v>
      </c>
      <c r="M46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64"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464" s="1" t="str">
        <f ca="1">IFERROR(__xludf.DUMMYFUNCTION("""COMPUTED_VALUE"""),"Manager who clearly describes what she/he needs")</f>
        <v>Manager who clearly describes what she/he needs</v>
      </c>
      <c r="P464" s="1" t="str">
        <f ca="1">IFERROR(__xludf.DUMMYFUNCTION("""COMPUTED_VALUE"""),"Work alone")</f>
        <v>Work alone</v>
      </c>
      <c r="Q464" s="1"/>
    </row>
    <row r="465" spans="1:17" ht="13.2" x14ac:dyDescent="0.25">
      <c r="A465" s="2">
        <f ca="1">IFERROR(__xludf.DUMMYFUNCTION("""COMPUTED_VALUE"""),45021.4884419559)</f>
        <v>45021.488441955902</v>
      </c>
      <c r="B465" s="1" t="str">
        <f ca="1">IFERROR(__xludf.DUMMYFUNCTION("""COMPUTED_VALUE"""),"India")</f>
        <v>India</v>
      </c>
      <c r="C465" s="1">
        <f ca="1">IFERROR(__xludf.DUMMYFUNCTION("""COMPUTED_VALUE"""),682027)</f>
        <v>682027</v>
      </c>
      <c r="D465" s="3" t="str">
        <f ca="1">IFERROR(__xludf.DUMMYFUNCTION("""COMPUTED_VALUE"""),"Male")</f>
        <v>Male</v>
      </c>
      <c r="E465" s="1" t="str">
        <f ca="1">IFERROR(__xludf.DUMMYFUNCTION("""COMPUTED_VALUE"""),"Influencers who had successful careers")</f>
        <v>Influencers who had successful careers</v>
      </c>
      <c r="F465" s="1" t="str">
        <f ca="1">IFERROR(__xludf.DUMMYFUNCTION("""COMPUTED_VALUE"""),"No, But if someone could bare the cost I will")</f>
        <v>No, But if someone could bare the cost I will</v>
      </c>
      <c r="G465" s="1" t="str">
        <f ca="1">IFERROR(__xludf.DUMMYFUNCTION("""COMPUTED_VALUE"""),"This will be hard to do, but if it is the right company I would try")</f>
        <v>This will be hard to do, but if it is the right company I would try</v>
      </c>
      <c r="H465" s="1" t="str">
        <f ca="1">IFERROR(__xludf.DUMMYFUNCTION("""COMPUTED_VALUE"""),"No")</f>
        <v>No</v>
      </c>
      <c r="I465" s="1" t="str">
        <f ca="1">IFERROR(__xludf.DUMMYFUNCTION("""COMPUTED_VALUE"""),"Will NOT work for them")</f>
        <v>Will NOT work for them</v>
      </c>
      <c r="J465" s="1">
        <f ca="1">IFERROR(__xludf.DUMMYFUNCTION("""COMPUTED_VALUE"""),7)</f>
        <v>7</v>
      </c>
      <c r="K465" s="1" t="str">
        <f ca="1">IFERROR(__xludf.DUMMYFUNCTION("""COMPUTED_VALUE"""),"Fully Remote with Options to travel as and when needed")</f>
        <v>Fully Remote with Options to travel as and when needed</v>
      </c>
      <c r="L465" s="1" t="str">
        <f ca="1">IFERROR(__xludf.DUMMYFUNCTION("""COMPUTED_VALUE"""),"Employer who pushes your limits by enabling an learning environment, and rewards you at the end")</f>
        <v>Employer who pushes your limits by enabling an learning environment, and rewards you at the end</v>
      </c>
      <c r="M465" s="1" t="str">
        <f ca="1">IFERROR(__xludf.DUMMYFUNCTION("""COMPUTED_VALUE"""),"Instructor or Expert Learning Programs, Learning by observing others, Manager Teaching you")</f>
        <v>Instructor or Expert Learning Programs, Learning by observing others, Manager Teaching you</v>
      </c>
      <c r="N465"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65" s="1" t="str">
        <f ca="1">IFERROR(__xludf.DUMMYFUNCTION("""COMPUTED_VALUE"""),"Manager who explains what is expected, sets a goal and helps achieve it")</f>
        <v>Manager who explains what is expected, sets a goal and helps achieve it</v>
      </c>
      <c r="P465" s="1" t="str">
        <f ca="1">IFERROR(__xludf.DUMMYFUNCTION("""COMPUTED_VALUE"""),"Work with 5 to 6 people in my team")</f>
        <v>Work with 5 to 6 people in my team</v>
      </c>
      <c r="Q465" s="1"/>
    </row>
    <row r="466" spans="1:17" ht="13.2" x14ac:dyDescent="0.25">
      <c r="A466" s="2">
        <f ca="1">IFERROR(__xludf.DUMMYFUNCTION("""COMPUTED_VALUE"""),45021.4898414004)</f>
        <v>45021.489841400398</v>
      </c>
      <c r="B466" s="1" t="str">
        <f ca="1">IFERROR(__xludf.DUMMYFUNCTION("""COMPUTED_VALUE"""),"India")</f>
        <v>India</v>
      </c>
      <c r="C466" s="1">
        <f ca="1">IFERROR(__xludf.DUMMYFUNCTION("""COMPUTED_VALUE"""),442902)</f>
        <v>442902</v>
      </c>
      <c r="D466" s="3" t="str">
        <f ca="1">IFERROR(__xludf.DUMMYFUNCTION("""COMPUTED_VALUE"""),"Female")</f>
        <v>Female</v>
      </c>
      <c r="E466" s="1" t="str">
        <f ca="1">IFERROR(__xludf.DUMMYFUNCTION("""COMPUTED_VALUE"""),"My Parents")</f>
        <v>My Parents</v>
      </c>
      <c r="F466" s="1" t="str">
        <f ca="1">IFERROR(__xludf.DUMMYFUNCTION("""COMPUTED_VALUE"""),"No, But if someone could bare the cost I will")</f>
        <v>No, But if someone could bare the cost I will</v>
      </c>
      <c r="G466" s="1" t="str">
        <f ca="1">IFERROR(__xludf.DUMMYFUNCTION("""COMPUTED_VALUE"""),"This will be hard to do, but if it is the right company I would try")</f>
        <v>This will be hard to do, but if it is the right company I would try</v>
      </c>
      <c r="H466" s="1" t="str">
        <f ca="1">IFERROR(__xludf.DUMMYFUNCTION("""COMPUTED_VALUE"""),"No")</f>
        <v>No</v>
      </c>
      <c r="I466" s="1" t="str">
        <f ca="1">IFERROR(__xludf.DUMMYFUNCTION("""COMPUTED_VALUE"""),"Will NOT work for them")</f>
        <v>Will NOT work for them</v>
      </c>
      <c r="J466" s="1">
        <f ca="1">IFERROR(__xludf.DUMMYFUNCTION("""COMPUTED_VALUE"""),4)</f>
        <v>4</v>
      </c>
      <c r="K466" s="1" t="str">
        <f ca="1">IFERROR(__xludf.DUMMYFUNCTION("""COMPUTED_VALUE"""),"Hybrid Working Environment with more than 15 days a month at office")</f>
        <v>Hybrid Working Environment with more than 15 days a month at office</v>
      </c>
      <c r="L466" s="1" t="str">
        <f ca="1">IFERROR(__xludf.DUMMYFUNCTION("""COMPUTED_VALUE"""),"Employer who pushes your limits by enabling an learning environment, and rewards you at the end")</f>
        <v>Employer who pushes your limits by enabling an learning environment, and rewards you at the end</v>
      </c>
      <c r="M46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66"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466" s="1" t="str">
        <f ca="1">IFERROR(__xludf.DUMMYFUNCTION("""COMPUTED_VALUE"""),"Manager who explains what is expected, sets a goal and helps achieve it")</f>
        <v>Manager who explains what is expected, sets a goal and helps achieve it</v>
      </c>
      <c r="P466" s="1" t="str">
        <f ca="1">IFERROR(__xludf.DUMMYFUNCTION("""COMPUTED_VALUE"""),"Work with 2 to 3 people in my team")</f>
        <v>Work with 2 to 3 people in my team</v>
      </c>
      <c r="Q466" s="1"/>
    </row>
    <row r="467" spans="1:17" ht="13.2" x14ac:dyDescent="0.25">
      <c r="A467" s="2">
        <f ca="1">IFERROR(__xludf.DUMMYFUNCTION("""COMPUTED_VALUE"""),45021.4908876851)</f>
        <v>45021.490887685097</v>
      </c>
      <c r="B467" s="1" t="str">
        <f ca="1">IFERROR(__xludf.DUMMYFUNCTION("""COMPUTED_VALUE"""),"India")</f>
        <v>India</v>
      </c>
      <c r="C467" s="1">
        <f ca="1">IFERROR(__xludf.DUMMYFUNCTION("""COMPUTED_VALUE"""),500078)</f>
        <v>500078</v>
      </c>
      <c r="D467" s="3" t="str">
        <f ca="1">IFERROR(__xludf.DUMMYFUNCTION("""COMPUTED_VALUE"""),"Female")</f>
        <v>Female</v>
      </c>
      <c r="E467" s="1" t="str">
        <f ca="1">IFERROR(__xludf.DUMMYFUNCTION("""COMPUTED_VALUE"""),"Influencers who had successful careers")</f>
        <v>Influencers who had successful careers</v>
      </c>
      <c r="F467" s="1" t="str">
        <f ca="1">IFERROR(__xludf.DUMMYFUNCTION("""COMPUTED_VALUE"""),"Yes, I will earn and do that")</f>
        <v>Yes, I will earn and do that</v>
      </c>
      <c r="G467" s="1" t="str">
        <f ca="1">IFERROR(__xludf.DUMMYFUNCTION("""COMPUTED_VALUE"""),"This will be hard to do, but if it is the right company I would try")</f>
        <v>This will be hard to do, but if it is the right company I would try</v>
      </c>
      <c r="H467" s="1" t="str">
        <f ca="1">IFERROR(__xludf.DUMMYFUNCTION("""COMPUTED_VALUE"""),"Yes")</f>
        <v>Yes</v>
      </c>
      <c r="I467" s="1" t="str">
        <f ca="1">IFERROR(__xludf.DUMMYFUNCTION("""COMPUTED_VALUE"""),"Will work for them")</f>
        <v>Will work for them</v>
      </c>
      <c r="J467" s="1">
        <f ca="1">IFERROR(__xludf.DUMMYFUNCTION("""COMPUTED_VALUE"""),8)</f>
        <v>8</v>
      </c>
      <c r="K467" s="1" t="str">
        <f ca="1">IFERROR(__xludf.DUMMYFUNCTION("""COMPUTED_VALUE"""),"Every Day Office Environment")</f>
        <v>Every Day Office Environment</v>
      </c>
      <c r="L467" s="1" t="str">
        <f ca="1">IFERROR(__xludf.DUMMYFUNCTION("""COMPUTED_VALUE"""),"Employer who appreciates learning and enables that environment")</f>
        <v>Employer who appreciates learning and enables that environment</v>
      </c>
      <c r="M467"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67"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467" s="1" t="str">
        <f ca="1">IFERROR(__xludf.DUMMYFUNCTION("""COMPUTED_VALUE"""),"Manager who sets goal and helps me achieve it")</f>
        <v>Manager who sets goal and helps me achieve it</v>
      </c>
      <c r="P467" s="1" t="str">
        <f ca="1">IFERROR(__xludf.DUMMYFUNCTION("""COMPUTED_VALUE"""),"Work with 7 to 10 or more people in my team")</f>
        <v>Work with 7 to 10 or more people in my team</v>
      </c>
      <c r="Q467" s="1"/>
    </row>
    <row r="468" spans="1:17" ht="13.2" x14ac:dyDescent="0.25">
      <c r="A468" s="2">
        <f ca="1">IFERROR(__xludf.DUMMYFUNCTION("""COMPUTED_VALUE"""),45021.4927)</f>
        <v>45021.492700000003</v>
      </c>
      <c r="B468" s="1" t="str">
        <f ca="1">IFERROR(__xludf.DUMMYFUNCTION("""COMPUTED_VALUE"""),"India")</f>
        <v>India</v>
      </c>
      <c r="C468" s="1">
        <f ca="1">IFERROR(__xludf.DUMMYFUNCTION("""COMPUTED_VALUE"""),500035)</f>
        <v>500035</v>
      </c>
      <c r="D468" s="3" t="str">
        <f ca="1">IFERROR(__xludf.DUMMYFUNCTION("""COMPUTED_VALUE"""),"Female")</f>
        <v>Female</v>
      </c>
      <c r="E468" s="1" t="str">
        <f ca="1">IFERROR(__xludf.DUMMYFUNCTION("""COMPUTED_VALUE"""),"My Parents")</f>
        <v>My Parents</v>
      </c>
      <c r="F468" s="1" t="str">
        <f ca="1">IFERROR(__xludf.DUMMYFUNCTION("""COMPUTED_VALUE"""),"No, But if someone could bare the cost I will")</f>
        <v>No, But if someone could bare the cost I will</v>
      </c>
      <c r="G468" s="1" t="str">
        <f ca="1">IFERROR(__xludf.DUMMYFUNCTION("""COMPUTED_VALUE"""),"Will work for 3 years or more")</f>
        <v>Will work for 3 years or more</v>
      </c>
      <c r="H468" s="1" t="str">
        <f ca="1">IFERROR(__xludf.DUMMYFUNCTION("""COMPUTED_VALUE"""),"No")</f>
        <v>No</v>
      </c>
      <c r="I468" s="1" t="str">
        <f ca="1">IFERROR(__xludf.DUMMYFUNCTION("""COMPUTED_VALUE"""),"Will NOT work for them")</f>
        <v>Will NOT work for them</v>
      </c>
      <c r="J468" s="1">
        <f ca="1">IFERROR(__xludf.DUMMYFUNCTION("""COMPUTED_VALUE"""),5)</f>
        <v>5</v>
      </c>
      <c r="K468" s="1" t="str">
        <f ca="1">IFERROR(__xludf.DUMMYFUNCTION("""COMPUTED_VALUE"""),"Hybrid Working Environment with more than 15 days a month at office")</f>
        <v>Hybrid Working Environment with more than 15 days a month at office</v>
      </c>
      <c r="L468" s="1" t="str">
        <f ca="1">IFERROR(__xludf.DUMMYFUNCTION("""COMPUTED_VALUE"""),"Employer who pushes your limits by enabling an learning environment, and rewards you at the end")</f>
        <v>Employer who pushes your limits by enabling an learning environment, and rewards you at the end</v>
      </c>
      <c r="M46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6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68" s="1" t="str">
        <f ca="1">IFERROR(__xludf.DUMMYFUNCTION("""COMPUTED_VALUE"""),"Manager who explains what is expected, sets a goal and helps achieve it")</f>
        <v>Manager who explains what is expected, sets a goal and helps achieve it</v>
      </c>
      <c r="P46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468" s="1"/>
    </row>
    <row r="469" spans="1:17" ht="13.2" x14ac:dyDescent="0.25">
      <c r="A469" s="2">
        <f ca="1">IFERROR(__xludf.DUMMYFUNCTION("""COMPUTED_VALUE"""),45021.4932447222)</f>
        <v>45021.493244722202</v>
      </c>
      <c r="B469" s="1" t="str">
        <f ca="1">IFERROR(__xludf.DUMMYFUNCTION("""COMPUTED_VALUE"""),"India")</f>
        <v>India</v>
      </c>
      <c r="C469" s="1">
        <f ca="1">IFERROR(__xludf.DUMMYFUNCTION("""COMPUTED_VALUE"""),500070)</f>
        <v>500070</v>
      </c>
      <c r="D469" s="3" t="str">
        <f ca="1">IFERROR(__xludf.DUMMYFUNCTION("""COMPUTED_VALUE"""),"Female")</f>
        <v>Female</v>
      </c>
      <c r="E469" s="1" t="str">
        <f ca="1">IFERROR(__xludf.DUMMYFUNCTION("""COMPUTED_VALUE"""),"My Parents")</f>
        <v>My Parents</v>
      </c>
      <c r="F469" s="1" t="str">
        <f ca="1">IFERROR(__xludf.DUMMYFUNCTION("""COMPUTED_VALUE"""),"Yes, I will earn and do that")</f>
        <v>Yes, I will earn and do that</v>
      </c>
      <c r="G469" s="1" t="str">
        <f ca="1">IFERROR(__xludf.DUMMYFUNCTION("""COMPUTED_VALUE"""),"This will be hard to do, but if it is the right company I would try")</f>
        <v>This will be hard to do, but if it is the right company I would try</v>
      </c>
      <c r="H469" s="1" t="str">
        <f ca="1">IFERROR(__xludf.DUMMYFUNCTION("""COMPUTED_VALUE"""),"Yes")</f>
        <v>Yes</v>
      </c>
      <c r="I469" s="1" t="str">
        <f ca="1">IFERROR(__xludf.DUMMYFUNCTION("""COMPUTED_VALUE"""),"Will NOT work for them")</f>
        <v>Will NOT work for them</v>
      </c>
      <c r="J469" s="1">
        <f ca="1">IFERROR(__xludf.DUMMYFUNCTION("""COMPUTED_VALUE"""),5)</f>
        <v>5</v>
      </c>
      <c r="K469" s="1" t="str">
        <f ca="1">IFERROR(__xludf.DUMMYFUNCTION("""COMPUTED_VALUE"""),"Hybrid Working Environment with more than 15 days a month at office")</f>
        <v>Hybrid Working Environment with more than 15 days a month at office</v>
      </c>
      <c r="L469" s="1" t="str">
        <f ca="1">IFERROR(__xludf.DUMMYFUNCTION("""COMPUTED_VALUE"""),"Employer who appreciates learning and enables that environment")</f>
        <v>Employer who appreciates learning and enables that environment</v>
      </c>
      <c r="M469" s="1" t="str">
        <f ca="1">IFERROR(__xludf.DUMMYFUNCTION("""COMPUTED_VALUE"""),"Self Paced Learning Portals of the Company, Learning by observing others, Manager Teaching you")</f>
        <v>Self Paced Learning Portals of the Company, Learning by observing others, Manager Teaching you</v>
      </c>
      <c r="N469" s="1" t="str">
        <f ca="1">IFERROR(__xludf.DUMMYFUNCTION("""COMPUTED_VALUE"""),"Design and Creative strategy in any company, Design and Develop amazing software, Entrepreneur or Start Up, I Want to sell things/Sales")</f>
        <v>Design and Creative strategy in any company, Design and Develop amazing software, Entrepreneur or Start Up, I Want to sell things/Sales</v>
      </c>
      <c r="O469" s="1" t="str">
        <f ca="1">IFERROR(__xludf.DUMMYFUNCTION("""COMPUTED_VALUE"""),"Manager who explains what is expected, sets a goal and helps achieve it")</f>
        <v>Manager who explains what is expected, sets a goal and helps achieve it</v>
      </c>
      <c r="P469" s="1" t="str">
        <f ca="1">IFERROR(__xludf.DUMMYFUNCTION("""COMPUTED_VALUE"""),"Work with 2 to 3 people in my team, Work with 5 to 6 people in my team")</f>
        <v>Work with 2 to 3 people in my team, Work with 5 to 6 people in my team</v>
      </c>
      <c r="Q469" s="1"/>
    </row>
    <row r="470" spans="1:17" ht="13.2" x14ac:dyDescent="0.25">
      <c r="A470" s="2">
        <f ca="1">IFERROR(__xludf.DUMMYFUNCTION("""COMPUTED_VALUE"""),45021.4947570949)</f>
        <v>45021.494757094901</v>
      </c>
      <c r="B470" s="1" t="str">
        <f ca="1">IFERROR(__xludf.DUMMYFUNCTION("""COMPUTED_VALUE"""),"India")</f>
        <v>India</v>
      </c>
      <c r="C470" s="1">
        <f ca="1">IFERROR(__xludf.DUMMYFUNCTION("""COMPUTED_VALUE"""),500070)</f>
        <v>500070</v>
      </c>
      <c r="D470" s="3" t="str">
        <f ca="1">IFERROR(__xludf.DUMMYFUNCTION("""COMPUTED_VALUE"""),"Female")</f>
        <v>Female</v>
      </c>
      <c r="E470" s="1" t="str">
        <f ca="1">IFERROR(__xludf.DUMMYFUNCTION("""COMPUTED_VALUE"""),"My Parents")</f>
        <v>My Parents</v>
      </c>
      <c r="F470" s="1" t="str">
        <f ca="1">IFERROR(__xludf.DUMMYFUNCTION("""COMPUTED_VALUE"""),"No I would not be pursuing Higher Education outside of India")</f>
        <v>No I would not be pursuing Higher Education outside of India</v>
      </c>
      <c r="G470" s="1" t="str">
        <f ca="1">IFERROR(__xludf.DUMMYFUNCTION("""COMPUTED_VALUE"""),"This will be hard to do, but if it is the right company I would try")</f>
        <v>This will be hard to do, but if it is the right company I would try</v>
      </c>
      <c r="H470" s="1" t="str">
        <f ca="1">IFERROR(__xludf.DUMMYFUNCTION("""COMPUTED_VALUE"""),"No")</f>
        <v>No</v>
      </c>
      <c r="I470" s="1" t="str">
        <f ca="1">IFERROR(__xludf.DUMMYFUNCTION("""COMPUTED_VALUE"""),"Will NOT work for them")</f>
        <v>Will NOT work for them</v>
      </c>
      <c r="J470" s="1">
        <f ca="1">IFERROR(__xludf.DUMMYFUNCTION("""COMPUTED_VALUE"""),6)</f>
        <v>6</v>
      </c>
      <c r="K470" s="1" t="str">
        <f ca="1">IFERROR(__xludf.DUMMYFUNCTION("""COMPUTED_VALUE"""),"Fully Remote with No option to visit offices")</f>
        <v>Fully Remote with No option to visit offices</v>
      </c>
      <c r="L470" s="1" t="str">
        <f ca="1">IFERROR(__xludf.DUMMYFUNCTION("""COMPUTED_VALUE"""),"Employer who appreciates learning and enables that environment")</f>
        <v>Employer who appreciates learning and enables that environment</v>
      </c>
      <c r="M4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0"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0" s="1" t="str">
        <f ca="1">IFERROR(__xludf.DUMMYFUNCTION("""COMPUTED_VALUE"""),"Manager who explains what is expected, sets a goal and helps achieve it")</f>
        <v>Manager who explains what is expected, sets a goal and helps achieve it</v>
      </c>
      <c r="P470" s="1" t="str">
        <f ca="1">IFERROR(__xludf.DUMMYFUNCTION("""COMPUTED_VALUE"""),"Work with 5 to 6 people in my team")</f>
        <v>Work with 5 to 6 people in my team</v>
      </c>
      <c r="Q470" s="1"/>
    </row>
    <row r="471" spans="1:17" ht="13.2" x14ac:dyDescent="0.25">
      <c r="A471" s="2">
        <f ca="1">IFERROR(__xludf.DUMMYFUNCTION("""COMPUTED_VALUE"""),45021.4947659375)</f>
        <v>45021.494765937503</v>
      </c>
      <c r="B471" s="1" t="str">
        <f ca="1">IFERROR(__xludf.DUMMYFUNCTION("""COMPUTED_VALUE"""),"India")</f>
        <v>India</v>
      </c>
      <c r="C471" s="1">
        <f ca="1">IFERROR(__xludf.DUMMYFUNCTION("""COMPUTED_VALUE"""),500070)</f>
        <v>500070</v>
      </c>
      <c r="D471" s="3" t="str">
        <f ca="1">IFERROR(__xludf.DUMMYFUNCTION("""COMPUTED_VALUE"""),"Female")</f>
        <v>Female</v>
      </c>
      <c r="E471" s="1" t="str">
        <f ca="1">IFERROR(__xludf.DUMMYFUNCTION("""COMPUTED_VALUE"""),"My Parents")</f>
        <v>My Parents</v>
      </c>
      <c r="F471" s="1" t="str">
        <f ca="1">IFERROR(__xludf.DUMMYFUNCTION("""COMPUTED_VALUE"""),"No I would not be pursuing Higher Education outside of India")</f>
        <v>No I would not be pursuing Higher Education outside of India</v>
      </c>
      <c r="G471" s="1" t="str">
        <f ca="1">IFERROR(__xludf.DUMMYFUNCTION("""COMPUTED_VALUE"""),"This will be hard to do, but if it is the right company I would try")</f>
        <v>This will be hard to do, but if it is the right company I would try</v>
      </c>
      <c r="H471" s="1" t="str">
        <f ca="1">IFERROR(__xludf.DUMMYFUNCTION("""COMPUTED_VALUE"""),"No")</f>
        <v>No</v>
      </c>
      <c r="I471" s="1" t="str">
        <f ca="1">IFERROR(__xludf.DUMMYFUNCTION("""COMPUTED_VALUE"""),"Will NOT work for them")</f>
        <v>Will NOT work for them</v>
      </c>
      <c r="J471" s="1">
        <f ca="1">IFERROR(__xludf.DUMMYFUNCTION("""COMPUTED_VALUE"""),6)</f>
        <v>6</v>
      </c>
      <c r="K471" s="1" t="str">
        <f ca="1">IFERROR(__xludf.DUMMYFUNCTION("""COMPUTED_VALUE"""),"Fully Remote with No option to visit offices")</f>
        <v>Fully Remote with No option to visit offices</v>
      </c>
      <c r="L471" s="1" t="str">
        <f ca="1">IFERROR(__xludf.DUMMYFUNCTION("""COMPUTED_VALUE"""),"Employer who appreciates learning and enables that environment")</f>
        <v>Employer who appreciates learning and enables that environment</v>
      </c>
      <c r="M47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1"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1" s="1" t="str">
        <f ca="1">IFERROR(__xludf.DUMMYFUNCTION("""COMPUTED_VALUE"""),"Manager who explains what is expected, sets a goal and helps achieve it")</f>
        <v>Manager who explains what is expected, sets a goal and helps achieve it</v>
      </c>
      <c r="P471" s="1" t="str">
        <f ca="1">IFERROR(__xludf.DUMMYFUNCTION("""COMPUTED_VALUE"""),"Work with 5 to 6 people in my team")</f>
        <v>Work with 5 to 6 people in my team</v>
      </c>
      <c r="Q471" s="1"/>
    </row>
    <row r="472" spans="1:17" ht="13.2" x14ac:dyDescent="0.25">
      <c r="A472" s="2">
        <f ca="1">IFERROR(__xludf.DUMMYFUNCTION("""COMPUTED_VALUE"""),45021.4955930439)</f>
        <v>45021.495593043903</v>
      </c>
      <c r="B472" s="1" t="str">
        <f ca="1">IFERROR(__xludf.DUMMYFUNCTION("""COMPUTED_VALUE"""),"India")</f>
        <v>India</v>
      </c>
      <c r="C472" s="1">
        <f ca="1">IFERROR(__xludf.DUMMYFUNCTION("""COMPUTED_VALUE"""),624601)</f>
        <v>624601</v>
      </c>
      <c r="D472" s="3" t="str">
        <f ca="1">IFERROR(__xludf.DUMMYFUNCTION("""COMPUTED_VALUE"""),"Male")</f>
        <v>Male</v>
      </c>
      <c r="E472" s="1" t="str">
        <f ca="1">IFERROR(__xludf.DUMMYFUNCTION("""COMPUTED_VALUE"""),"People from my circle, but not family members")</f>
        <v>People from my circle, but not family members</v>
      </c>
      <c r="F472" s="1" t="str">
        <f ca="1">IFERROR(__xludf.DUMMYFUNCTION("""COMPUTED_VALUE"""),"No, But if someone could bare the cost I will")</f>
        <v>No, But if someone could bare the cost I will</v>
      </c>
      <c r="G472" s="1" t="str">
        <f ca="1">IFERROR(__xludf.DUMMYFUNCTION("""COMPUTED_VALUE"""),"Will work for 3 years or more")</f>
        <v>Will work for 3 years or more</v>
      </c>
      <c r="H472" s="1" t="str">
        <f ca="1">IFERROR(__xludf.DUMMYFUNCTION("""COMPUTED_VALUE"""),"Yes")</f>
        <v>Yes</v>
      </c>
      <c r="I472" s="1" t="str">
        <f ca="1">IFERROR(__xludf.DUMMYFUNCTION("""COMPUTED_VALUE"""),"Will work for them")</f>
        <v>Will work for them</v>
      </c>
      <c r="J472" s="1">
        <f ca="1">IFERROR(__xludf.DUMMYFUNCTION("""COMPUTED_VALUE"""),6)</f>
        <v>6</v>
      </c>
      <c r="K472" s="1" t="str">
        <f ca="1">IFERROR(__xludf.DUMMYFUNCTION("""COMPUTED_VALUE"""),"Fully Remote with No option to visit offices")</f>
        <v>Fully Remote with No option to visit offices</v>
      </c>
      <c r="L472" s="1" t="str">
        <f ca="1">IFERROR(__xludf.DUMMYFUNCTION("""COMPUTED_VALUE"""),"Employers who appreciates learning but doesn't enables an learning environment")</f>
        <v>Employers who appreciates learning but doesn't enables an learning environment</v>
      </c>
      <c r="M472" s="1" t="str">
        <f ca="1">IFERROR(__xludf.DUMMYFUNCTION("""COMPUTED_VALUE"""),"Self Paced Learning Portals of the Company, Learning by observing others, Manager Teaching you")</f>
        <v>Self Paced Learning Portals of the Company, Learning by observing others, Manager Teaching you</v>
      </c>
      <c r="N472"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472" s="1" t="str">
        <f ca="1">IFERROR(__xludf.DUMMYFUNCTION("""COMPUTED_VALUE"""),"Manager who clearly describes what she/he needs")</f>
        <v>Manager who clearly describes what she/he needs</v>
      </c>
      <c r="P472" s="1" t="str">
        <f ca="1">IFERROR(__xludf.DUMMYFUNCTION("""COMPUTED_VALUE"""),"Work alone, Work with 2 to 3 people in my team")</f>
        <v>Work alone, Work with 2 to 3 people in my team</v>
      </c>
      <c r="Q472" s="1"/>
    </row>
    <row r="473" spans="1:17" ht="13.2" x14ac:dyDescent="0.25">
      <c r="A473" s="2">
        <f ca="1">IFERROR(__xludf.DUMMYFUNCTION("""COMPUTED_VALUE"""),45021.4959984259)</f>
        <v>45021.495998425897</v>
      </c>
      <c r="B473" s="1" t="str">
        <f ca="1">IFERROR(__xludf.DUMMYFUNCTION("""COMPUTED_VALUE"""),"India")</f>
        <v>India</v>
      </c>
      <c r="C473" s="1">
        <f ca="1">IFERROR(__xludf.DUMMYFUNCTION("""COMPUTED_VALUE"""),516003)</f>
        <v>516003</v>
      </c>
      <c r="D473" s="3" t="str">
        <f ca="1">IFERROR(__xludf.DUMMYFUNCTION("""COMPUTED_VALUE"""),"Female")</f>
        <v>Female</v>
      </c>
      <c r="E473" s="1" t="str">
        <f ca="1">IFERROR(__xludf.DUMMYFUNCTION("""COMPUTED_VALUE"""),"My Parents")</f>
        <v>My Parents</v>
      </c>
      <c r="F473" s="1" t="str">
        <f ca="1">IFERROR(__xludf.DUMMYFUNCTION("""COMPUTED_VALUE"""),"No I would not be pursuing Higher Education outside of India")</f>
        <v>No I would not be pursuing Higher Education outside of India</v>
      </c>
      <c r="G473" s="1" t="str">
        <f ca="1">IFERROR(__xludf.DUMMYFUNCTION("""COMPUTED_VALUE"""),"Will work for 3 years or more")</f>
        <v>Will work for 3 years or more</v>
      </c>
      <c r="H473" s="1" t="str">
        <f ca="1">IFERROR(__xludf.DUMMYFUNCTION("""COMPUTED_VALUE"""),"Yes")</f>
        <v>Yes</v>
      </c>
      <c r="I473" s="1" t="str">
        <f ca="1">IFERROR(__xludf.DUMMYFUNCTION("""COMPUTED_VALUE"""),"Will work for them")</f>
        <v>Will work for them</v>
      </c>
      <c r="J473" s="1">
        <f ca="1">IFERROR(__xludf.DUMMYFUNCTION("""COMPUTED_VALUE"""),4)</f>
        <v>4</v>
      </c>
      <c r="K473" s="1" t="str">
        <f ca="1">IFERROR(__xludf.DUMMYFUNCTION("""COMPUTED_VALUE"""),"Hybrid Working Environment with less than 3 days a month at office")</f>
        <v>Hybrid Working Environment with less than 3 days a month at office</v>
      </c>
      <c r="L473" s="1" t="str">
        <f ca="1">IFERROR(__xludf.DUMMYFUNCTION("""COMPUTED_VALUE"""),"Employer who pushes your limits by enabling an learning environment, and rewards you at the end")</f>
        <v>Employer who pushes your limits by enabling an learning environment, and rewards you at the end</v>
      </c>
      <c r="M473"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47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473" s="1" t="str">
        <f ca="1">IFERROR(__xludf.DUMMYFUNCTION("""COMPUTED_VALUE"""),"Manager who sets targets and expects me to achieve it")</f>
        <v>Manager who sets targets and expects me to achieve it</v>
      </c>
      <c r="P473" s="1" t="str">
        <f ca="1">IFERROR(__xludf.DUMMYFUNCTION("""COMPUTED_VALUE"""),"Work with 2 to 3 people in my team")</f>
        <v>Work with 2 to 3 people in my team</v>
      </c>
      <c r="Q473" s="1"/>
    </row>
    <row r="474" spans="1:17" ht="13.2" x14ac:dyDescent="0.25">
      <c r="A474" s="2">
        <f ca="1">IFERROR(__xludf.DUMMYFUNCTION("""COMPUTED_VALUE"""),45021.4973548611)</f>
        <v>45021.497354861101</v>
      </c>
      <c r="B474" s="1" t="str">
        <f ca="1">IFERROR(__xludf.DUMMYFUNCTION("""COMPUTED_VALUE"""),"India")</f>
        <v>India</v>
      </c>
      <c r="C474" s="1">
        <f ca="1">IFERROR(__xludf.DUMMYFUNCTION("""COMPUTED_VALUE"""),500080)</f>
        <v>500080</v>
      </c>
      <c r="D474" s="3" t="str">
        <f ca="1">IFERROR(__xludf.DUMMYFUNCTION("""COMPUTED_VALUE"""),"Male")</f>
        <v>Male</v>
      </c>
      <c r="E474" s="1" t="str">
        <f ca="1">IFERROR(__xludf.DUMMYFUNCTION("""COMPUTED_VALUE"""),"People who have changed the world for better")</f>
        <v>People who have changed the world for better</v>
      </c>
      <c r="F474" s="1" t="str">
        <f ca="1">IFERROR(__xludf.DUMMYFUNCTION("""COMPUTED_VALUE"""),"Yes, I will earn and do that")</f>
        <v>Yes, I will earn and do that</v>
      </c>
      <c r="G474" s="1" t="str">
        <f ca="1">IFERROR(__xludf.DUMMYFUNCTION("""COMPUTED_VALUE"""),"Will work for 3 years or more")</f>
        <v>Will work for 3 years or more</v>
      </c>
      <c r="H474" s="1" t="str">
        <f ca="1">IFERROR(__xludf.DUMMYFUNCTION("""COMPUTED_VALUE"""),"No")</f>
        <v>No</v>
      </c>
      <c r="I474" s="1" t="str">
        <f ca="1">IFERROR(__xludf.DUMMYFUNCTION("""COMPUTED_VALUE"""),"Will NOT work for them")</f>
        <v>Will NOT work for them</v>
      </c>
      <c r="J474" s="1">
        <f ca="1">IFERROR(__xludf.DUMMYFUNCTION("""COMPUTED_VALUE"""),5)</f>
        <v>5</v>
      </c>
      <c r="K474" s="1" t="str">
        <f ca="1">IFERROR(__xludf.DUMMYFUNCTION("""COMPUTED_VALUE"""),"Hybrid Working Environment with more than 15 days a month at office")</f>
        <v>Hybrid Working Environment with more than 15 days a month at office</v>
      </c>
      <c r="L474" s="1" t="str">
        <f ca="1">IFERROR(__xludf.DUMMYFUNCTION("""COMPUTED_VALUE"""),"Employer who rewards learning and enables that environment")</f>
        <v>Employer who rewards learning and enables that environment</v>
      </c>
      <c r="M47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7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4" s="1" t="str">
        <f ca="1">IFERROR(__xludf.DUMMYFUNCTION("""COMPUTED_VALUE"""),"Manager who explains what is expected, sets a goal and helps achieve it")</f>
        <v>Manager who explains what is expected, sets a goal and helps achieve it</v>
      </c>
      <c r="P474" s="1" t="str">
        <f ca="1">IFERROR(__xludf.DUMMYFUNCTION("""COMPUTED_VALUE"""),"Work with 7 to 10 or more people in my team")</f>
        <v>Work with 7 to 10 or more people in my team</v>
      </c>
      <c r="Q474" s="1"/>
    </row>
    <row r="475" spans="1:17" ht="13.2" x14ac:dyDescent="0.25">
      <c r="A475" s="2">
        <f ca="1">IFERROR(__xludf.DUMMYFUNCTION("""COMPUTED_VALUE"""),45021.4978105555)</f>
        <v>45021.497810555498</v>
      </c>
      <c r="B475" s="1" t="str">
        <f ca="1">IFERROR(__xludf.DUMMYFUNCTION("""COMPUTED_VALUE"""),"India")</f>
        <v>India</v>
      </c>
      <c r="C475" s="1">
        <f ca="1">IFERROR(__xludf.DUMMYFUNCTION("""COMPUTED_VALUE"""),516003)</f>
        <v>516003</v>
      </c>
      <c r="D475" s="3" t="str">
        <f ca="1">IFERROR(__xludf.DUMMYFUNCTION("""COMPUTED_VALUE"""),"Female")</f>
        <v>Female</v>
      </c>
      <c r="E475" s="1" t="str">
        <f ca="1">IFERROR(__xludf.DUMMYFUNCTION("""COMPUTED_VALUE"""),"My Parents")</f>
        <v>My Parents</v>
      </c>
      <c r="F475" s="1" t="str">
        <f ca="1">IFERROR(__xludf.DUMMYFUNCTION("""COMPUTED_VALUE"""),"Yes, I will earn and do that")</f>
        <v>Yes, I will earn and do that</v>
      </c>
      <c r="G475" s="1" t="str">
        <f ca="1">IFERROR(__xludf.DUMMYFUNCTION("""COMPUTED_VALUE"""),"Will work for 3 years or more")</f>
        <v>Will work for 3 years or more</v>
      </c>
      <c r="H475" s="1" t="str">
        <f ca="1">IFERROR(__xludf.DUMMYFUNCTION("""COMPUTED_VALUE"""),"Yes")</f>
        <v>Yes</v>
      </c>
      <c r="I475" s="1" t="str">
        <f ca="1">IFERROR(__xludf.DUMMYFUNCTION("""COMPUTED_VALUE"""),"Will NOT work for them")</f>
        <v>Will NOT work for them</v>
      </c>
      <c r="J475" s="1">
        <f ca="1">IFERROR(__xludf.DUMMYFUNCTION("""COMPUTED_VALUE"""),2)</f>
        <v>2</v>
      </c>
      <c r="K475" s="1" t="str">
        <f ca="1">IFERROR(__xludf.DUMMYFUNCTION("""COMPUTED_VALUE"""),"Every Day Office Environment")</f>
        <v>Every Day Office Environment</v>
      </c>
      <c r="L475" s="1" t="str">
        <f ca="1">IFERROR(__xludf.DUMMYFUNCTION("""COMPUTED_VALUE"""),"Employer who rewards learning and enables that environment")</f>
        <v>Employer who rewards learning and enables that environment</v>
      </c>
      <c r="M47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75" s="1" t="str">
        <f ca="1">IFERROR(__xludf.DUMMYFUNCTION("""COMPUTED_VALUE"""),"Design and Creative strategy in any company, Business Operations in any organization, Build and develop a Team, An Artificial Intelligence Specialist / Talking to Robots")</f>
        <v>Design and Creative strategy in any company, Business Operations in any organization, Build and develop a Team, An Artificial Intelligence Specialist / Talking to Robots</v>
      </c>
      <c r="O475" s="1" t="str">
        <f ca="1">IFERROR(__xludf.DUMMYFUNCTION("""COMPUTED_VALUE"""),"Manager who sets targets and expects me to achieve it")</f>
        <v>Manager who sets targets and expects me to achieve it</v>
      </c>
      <c r="P475" s="1" t="str">
        <f ca="1">IFERROR(__xludf.DUMMYFUNCTION("""COMPUTED_VALUE"""),"Work with 5 to 6 people in my team")</f>
        <v>Work with 5 to 6 people in my team</v>
      </c>
      <c r="Q475" s="1"/>
    </row>
    <row r="476" spans="1:17" ht="13.2" x14ac:dyDescent="0.25">
      <c r="A476" s="2">
        <f ca="1">IFERROR(__xludf.DUMMYFUNCTION("""COMPUTED_VALUE"""),45021.5008572222)</f>
        <v>45021.5008572222</v>
      </c>
      <c r="B476" s="1" t="str">
        <f ca="1">IFERROR(__xludf.DUMMYFUNCTION("""COMPUTED_VALUE"""),"India")</f>
        <v>India</v>
      </c>
      <c r="C476" s="1">
        <f ca="1">IFERROR(__xludf.DUMMYFUNCTION("""COMPUTED_VALUE"""),500037)</f>
        <v>500037</v>
      </c>
      <c r="D476" s="3" t="str">
        <f ca="1">IFERROR(__xludf.DUMMYFUNCTION("""COMPUTED_VALUE"""),"Female")</f>
        <v>Female</v>
      </c>
      <c r="E476" s="1" t="str">
        <f ca="1">IFERROR(__xludf.DUMMYFUNCTION("""COMPUTED_VALUE"""),"My Parents")</f>
        <v>My Parents</v>
      </c>
      <c r="F476" s="1" t="str">
        <f ca="1">IFERROR(__xludf.DUMMYFUNCTION("""COMPUTED_VALUE"""),"No I would not be pursuing Higher Education outside of India")</f>
        <v>No I would not be pursuing Higher Education outside of India</v>
      </c>
      <c r="G476" s="1" t="str">
        <f ca="1">IFERROR(__xludf.DUMMYFUNCTION("""COMPUTED_VALUE"""),"Will work for 3 years or more")</f>
        <v>Will work for 3 years or more</v>
      </c>
      <c r="H476" s="1" t="str">
        <f ca="1">IFERROR(__xludf.DUMMYFUNCTION("""COMPUTED_VALUE"""),"Yes")</f>
        <v>Yes</v>
      </c>
      <c r="I476" s="1" t="str">
        <f ca="1">IFERROR(__xludf.DUMMYFUNCTION("""COMPUTED_VALUE"""),"Will NOT work for them")</f>
        <v>Will NOT work for them</v>
      </c>
      <c r="J476" s="1">
        <f ca="1">IFERROR(__xludf.DUMMYFUNCTION("""COMPUTED_VALUE"""),5)</f>
        <v>5</v>
      </c>
      <c r="K476" s="1" t="str">
        <f ca="1">IFERROR(__xludf.DUMMYFUNCTION("""COMPUTED_VALUE"""),"Every Day Office Environment")</f>
        <v>Every Day Office Environment</v>
      </c>
      <c r="L476" s="1" t="str">
        <f ca="1">IFERROR(__xludf.DUMMYFUNCTION("""COMPUTED_VALUE"""),"Employer who appreciates learning and enables that environment")</f>
        <v>Employer who appreciates learning and enables that environment</v>
      </c>
      <c r="M4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476" s="1" t="str">
        <f ca="1">IFERROR(__xludf.DUMMYFUNCTION("""COMPUTED_VALUE"""),"Manager who clearly describes what she/he needs")</f>
        <v>Manager who clearly describes what she/he needs</v>
      </c>
      <c r="P476" s="1" t="str">
        <f ca="1">IFERROR(__xludf.DUMMYFUNCTION("""COMPUTED_VALUE"""),"Work with 2 to 3 people in my team, Work with 5 to 6 people in my team")</f>
        <v>Work with 2 to 3 people in my team, Work with 5 to 6 people in my team</v>
      </c>
      <c r="Q476" s="1"/>
    </row>
    <row r="477" spans="1:17" ht="13.2" x14ac:dyDescent="0.25">
      <c r="A477" s="2">
        <f ca="1">IFERROR(__xludf.DUMMYFUNCTION("""COMPUTED_VALUE"""),45021.5012235878)</f>
        <v>45021.501223587802</v>
      </c>
      <c r="B477" s="1" t="str">
        <f ca="1">IFERROR(__xludf.DUMMYFUNCTION("""COMPUTED_VALUE"""),"India")</f>
        <v>India</v>
      </c>
      <c r="C477" s="1">
        <f ca="1">IFERROR(__xludf.DUMMYFUNCTION("""COMPUTED_VALUE"""),560064)</f>
        <v>560064</v>
      </c>
      <c r="D477" s="3" t="str">
        <f ca="1">IFERROR(__xludf.DUMMYFUNCTION("""COMPUTED_VALUE"""),"Male")</f>
        <v>Male</v>
      </c>
      <c r="E477" s="1" t="str">
        <f ca="1">IFERROR(__xludf.DUMMYFUNCTION("""COMPUTED_VALUE"""),"My Parents")</f>
        <v>My Parents</v>
      </c>
      <c r="F477" s="1" t="str">
        <f ca="1">IFERROR(__xludf.DUMMYFUNCTION("""COMPUTED_VALUE"""),"Yes, I will earn and do that")</f>
        <v>Yes, I will earn and do that</v>
      </c>
      <c r="G477" s="1" t="str">
        <f ca="1">IFERROR(__xludf.DUMMYFUNCTION("""COMPUTED_VALUE"""),"Will work for 3 years or more")</f>
        <v>Will work for 3 years or more</v>
      </c>
      <c r="H477" s="1" t="str">
        <f ca="1">IFERROR(__xludf.DUMMYFUNCTION("""COMPUTED_VALUE"""),"Yes")</f>
        <v>Yes</v>
      </c>
      <c r="I477" s="1" t="str">
        <f ca="1">IFERROR(__xludf.DUMMYFUNCTION("""COMPUTED_VALUE"""),"Will work for them")</f>
        <v>Will work for them</v>
      </c>
      <c r="J477" s="1">
        <f ca="1">IFERROR(__xludf.DUMMYFUNCTION("""COMPUTED_VALUE"""),8)</f>
        <v>8</v>
      </c>
      <c r="K477" s="1" t="str">
        <f ca="1">IFERROR(__xludf.DUMMYFUNCTION("""COMPUTED_VALUE"""),"Hybrid Working Environment with more than 15 days a month at office")</f>
        <v>Hybrid Working Environment with more than 15 days a month at office</v>
      </c>
      <c r="L477" s="1" t="str">
        <f ca="1">IFERROR(__xludf.DUMMYFUNCTION("""COMPUTED_VALUE"""),"Employer who rewards learning and enables that environment")</f>
        <v>Employer who rewards learning and enables that environment</v>
      </c>
      <c r="M47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477"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77" s="1" t="str">
        <f ca="1">IFERROR(__xludf.DUMMYFUNCTION("""COMPUTED_VALUE"""),"Manager who explains what is expected, sets a goal and helps achieve it")</f>
        <v>Manager who explains what is expected, sets a goal and helps achieve it</v>
      </c>
      <c r="P477" s="1" t="str">
        <f ca="1">IFERROR(__xludf.DUMMYFUNCTION("""COMPUTED_VALUE"""),"Work with 2 to 3 people in my team")</f>
        <v>Work with 2 to 3 people in my team</v>
      </c>
      <c r="Q477" s="1"/>
    </row>
    <row r="478" spans="1:17" ht="13.2" x14ac:dyDescent="0.25">
      <c r="A478" s="2">
        <f ca="1">IFERROR(__xludf.DUMMYFUNCTION("""COMPUTED_VALUE"""),45021.5058153009)</f>
        <v>45021.505815300901</v>
      </c>
      <c r="B478" s="1" t="str">
        <f ca="1">IFERROR(__xludf.DUMMYFUNCTION("""COMPUTED_VALUE"""),"India")</f>
        <v>India</v>
      </c>
      <c r="C478" s="1">
        <f ca="1">IFERROR(__xludf.DUMMYFUNCTION("""COMPUTED_VALUE"""),600014)</f>
        <v>600014</v>
      </c>
      <c r="D478" s="3" t="str">
        <f ca="1">IFERROR(__xludf.DUMMYFUNCTION("""COMPUTED_VALUE"""),"Male")</f>
        <v>Male</v>
      </c>
      <c r="E478" s="1" t="str">
        <f ca="1">IFERROR(__xludf.DUMMYFUNCTION("""COMPUTED_VALUE"""),"My Parents")</f>
        <v>My Parents</v>
      </c>
      <c r="F478" s="1" t="str">
        <f ca="1">IFERROR(__xludf.DUMMYFUNCTION("""COMPUTED_VALUE"""),"Yes, I will earn and do that")</f>
        <v>Yes, I will earn and do that</v>
      </c>
      <c r="G478" s="1" t="str">
        <f ca="1">IFERROR(__xludf.DUMMYFUNCTION("""COMPUTED_VALUE"""),"This will be hard to do, but if it is the right company I would try")</f>
        <v>This will be hard to do, but if it is the right company I would try</v>
      </c>
      <c r="H478" s="1" t="str">
        <f ca="1">IFERROR(__xludf.DUMMYFUNCTION("""COMPUTED_VALUE"""),"Yes")</f>
        <v>Yes</v>
      </c>
      <c r="I478" s="1" t="str">
        <f ca="1">IFERROR(__xludf.DUMMYFUNCTION("""COMPUTED_VALUE"""),"Will work for them")</f>
        <v>Will work for them</v>
      </c>
      <c r="J478" s="1">
        <f ca="1">IFERROR(__xludf.DUMMYFUNCTION("""COMPUTED_VALUE"""),7)</f>
        <v>7</v>
      </c>
      <c r="K478" s="1" t="str">
        <f ca="1">IFERROR(__xludf.DUMMYFUNCTION("""COMPUTED_VALUE"""),"Fully Remote with Options to travel as and when needed")</f>
        <v>Fully Remote with Options to travel as and when needed</v>
      </c>
      <c r="L478" s="1" t="str">
        <f ca="1">IFERROR(__xludf.DUMMYFUNCTION("""COMPUTED_VALUE"""),"Employer who pushes your limits and doesn't enables learning environment and never rewards you")</f>
        <v>Employer who pushes your limits and doesn't enables learning environment and never rewards you</v>
      </c>
      <c r="M47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7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478" s="1" t="str">
        <f ca="1">IFERROR(__xludf.DUMMYFUNCTION("""COMPUTED_VALUE"""),"Manager who sets unrealistic targets")</f>
        <v>Manager who sets unrealistic targets</v>
      </c>
      <c r="P478" s="1" t="str">
        <f ca="1">IFERROR(__xludf.DUMMYFUNCTION("""COMPUTED_VALUE"""),"Work with 2 to 3 people in my team")</f>
        <v>Work with 2 to 3 people in my team</v>
      </c>
      <c r="Q478" s="1"/>
    </row>
    <row r="479" spans="1:17" ht="13.2" x14ac:dyDescent="0.25">
      <c r="A479" s="2">
        <f ca="1">IFERROR(__xludf.DUMMYFUNCTION("""COMPUTED_VALUE"""),45021.5093094676)</f>
        <v>45021.509309467598</v>
      </c>
      <c r="B479" s="1" t="str">
        <f ca="1">IFERROR(__xludf.DUMMYFUNCTION("""COMPUTED_VALUE"""),"India")</f>
        <v>India</v>
      </c>
      <c r="C479" s="1">
        <f ca="1">IFERROR(__xludf.DUMMYFUNCTION("""COMPUTED_VALUE"""),560064)</f>
        <v>560064</v>
      </c>
      <c r="D479" s="3" t="str">
        <f ca="1">IFERROR(__xludf.DUMMYFUNCTION("""COMPUTED_VALUE"""),"Male")</f>
        <v>Male</v>
      </c>
      <c r="E479" s="1" t="str">
        <f ca="1">IFERROR(__xludf.DUMMYFUNCTION("""COMPUTED_VALUE"""),"My Parents")</f>
        <v>My Parents</v>
      </c>
      <c r="F479" s="1" t="str">
        <f ca="1">IFERROR(__xludf.DUMMYFUNCTION("""COMPUTED_VALUE"""),"Yes, I will earn and do that")</f>
        <v>Yes, I will earn and do that</v>
      </c>
      <c r="G479" s="1" t="str">
        <f ca="1">IFERROR(__xludf.DUMMYFUNCTION("""COMPUTED_VALUE"""),"This will be hard to do, but if it is the right company I would try")</f>
        <v>This will be hard to do, but if it is the right company I would try</v>
      </c>
      <c r="H479" s="1" t="str">
        <f ca="1">IFERROR(__xludf.DUMMYFUNCTION("""COMPUTED_VALUE"""),"No")</f>
        <v>No</v>
      </c>
      <c r="I479" s="1" t="str">
        <f ca="1">IFERROR(__xludf.DUMMYFUNCTION("""COMPUTED_VALUE"""),"Will work for them")</f>
        <v>Will work for them</v>
      </c>
      <c r="J479" s="1">
        <f ca="1">IFERROR(__xludf.DUMMYFUNCTION("""COMPUTED_VALUE"""),8)</f>
        <v>8</v>
      </c>
      <c r="K479" s="1" t="str">
        <f ca="1">IFERROR(__xludf.DUMMYFUNCTION("""COMPUTED_VALUE"""),"Hybrid Working Environment with more than 15 days a month at office")</f>
        <v>Hybrid Working Environment with more than 15 days a month at office</v>
      </c>
      <c r="L479" s="1" t="str">
        <f ca="1">IFERROR(__xludf.DUMMYFUNCTION("""COMPUTED_VALUE"""),"Employer who pushes your limits by enabling an learning environment, and rewards you at the end")</f>
        <v>Employer who pushes your limits by enabling an learning environment, and rewards you at the end</v>
      </c>
      <c r="M47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79"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79" s="1" t="str">
        <f ca="1">IFERROR(__xludf.DUMMYFUNCTION("""COMPUTED_VALUE"""),"Manager who sets targets and expects me to achieve it")</f>
        <v>Manager who sets targets and expects me to achieve it</v>
      </c>
      <c r="P479" s="1" t="str">
        <f ca="1">IFERROR(__xludf.DUMMYFUNCTION("""COMPUTED_VALUE"""),"Work alone, Work with 2 to 3 people in my team, Work with 5 to 6 people in my team")</f>
        <v>Work alone, Work with 2 to 3 people in my team, Work with 5 to 6 people in my team</v>
      </c>
      <c r="Q479" s="1"/>
    </row>
    <row r="480" spans="1:17" ht="13.2" x14ac:dyDescent="0.25">
      <c r="A480" s="2">
        <f ca="1">IFERROR(__xludf.DUMMYFUNCTION("""COMPUTED_VALUE"""),45021.509843368)</f>
        <v>45021.509843368003</v>
      </c>
      <c r="B480" s="1" t="str">
        <f ca="1">IFERROR(__xludf.DUMMYFUNCTION("""COMPUTED_VALUE"""),"India")</f>
        <v>India</v>
      </c>
      <c r="C480" s="1">
        <f ca="1">IFERROR(__xludf.DUMMYFUNCTION("""COMPUTED_VALUE"""),516003)</f>
        <v>516003</v>
      </c>
      <c r="D480" s="3" t="str">
        <f ca="1">IFERROR(__xludf.DUMMYFUNCTION("""COMPUTED_VALUE"""),"Male")</f>
        <v>Male</v>
      </c>
      <c r="E480" s="1" t="str">
        <f ca="1">IFERROR(__xludf.DUMMYFUNCTION("""COMPUTED_VALUE"""),"Influencers who had successful careers")</f>
        <v>Influencers who had successful careers</v>
      </c>
      <c r="F480" s="1" t="str">
        <f ca="1">IFERROR(__xludf.DUMMYFUNCTION("""COMPUTED_VALUE"""),"Yes, I will earn and do that")</f>
        <v>Yes, I will earn and do that</v>
      </c>
      <c r="G480" s="1" t="str">
        <f ca="1">IFERROR(__xludf.DUMMYFUNCTION("""COMPUTED_VALUE"""),"Will work for 3 years or more")</f>
        <v>Will work for 3 years or more</v>
      </c>
      <c r="H480" s="1" t="str">
        <f ca="1">IFERROR(__xludf.DUMMYFUNCTION("""COMPUTED_VALUE"""),"Yes")</f>
        <v>Yes</v>
      </c>
      <c r="I480" s="1" t="str">
        <f ca="1">IFERROR(__xludf.DUMMYFUNCTION("""COMPUTED_VALUE"""),"Will work for them")</f>
        <v>Will work for them</v>
      </c>
      <c r="J480" s="1">
        <f ca="1">IFERROR(__xludf.DUMMYFUNCTION("""COMPUTED_VALUE"""),2)</f>
        <v>2</v>
      </c>
      <c r="K480" s="1" t="str">
        <f ca="1">IFERROR(__xludf.DUMMYFUNCTION("""COMPUTED_VALUE"""),"Every Day Office Environment")</f>
        <v>Every Day Office Environment</v>
      </c>
      <c r="L480" s="1" t="str">
        <f ca="1">IFERROR(__xludf.DUMMYFUNCTION("""COMPUTED_VALUE"""),"Employer who appreciates learning and enables that environment")</f>
        <v>Employer who appreciates learning and enables that environment</v>
      </c>
      <c r="M48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8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480" s="1" t="str">
        <f ca="1">IFERROR(__xludf.DUMMYFUNCTION("""COMPUTED_VALUE"""),"Manager who sets goal and helps me achieve it")</f>
        <v>Manager who sets goal and helps me achieve it</v>
      </c>
      <c r="P480" s="1" t="str">
        <f ca="1">IFERROR(__xludf.DUMMYFUNCTION("""COMPUTED_VALUE"""),"Work with 2 to 3 people in my team")</f>
        <v>Work with 2 to 3 people in my team</v>
      </c>
      <c r="Q480" s="1"/>
    </row>
    <row r="481" spans="1:17" ht="13.2" x14ac:dyDescent="0.25">
      <c r="A481" s="2">
        <f ca="1">IFERROR(__xludf.DUMMYFUNCTION("""COMPUTED_VALUE"""),45021.5109430902)</f>
        <v>45021.510943090201</v>
      </c>
      <c r="B481" s="1" t="str">
        <f ca="1">IFERROR(__xludf.DUMMYFUNCTION("""COMPUTED_VALUE"""),"India")</f>
        <v>India</v>
      </c>
      <c r="C481" s="1">
        <f ca="1">IFERROR(__xludf.DUMMYFUNCTION("""COMPUTED_VALUE"""),500070)</f>
        <v>500070</v>
      </c>
      <c r="D481" s="3" t="str">
        <f ca="1">IFERROR(__xludf.DUMMYFUNCTION("""COMPUTED_VALUE"""),"Female")</f>
        <v>Female</v>
      </c>
      <c r="E481" s="1" t="str">
        <f ca="1">IFERROR(__xludf.DUMMYFUNCTION("""COMPUTED_VALUE"""),"My Parents")</f>
        <v>My Parents</v>
      </c>
      <c r="F481" s="1" t="str">
        <f ca="1">IFERROR(__xludf.DUMMYFUNCTION("""COMPUTED_VALUE"""),"Yes, I will earn and do that")</f>
        <v>Yes, I will earn and do that</v>
      </c>
      <c r="G481" s="1" t="str">
        <f ca="1">IFERROR(__xludf.DUMMYFUNCTION("""COMPUTED_VALUE"""),"This will be hard to do, but if it is the right company I would try")</f>
        <v>This will be hard to do, but if it is the right company I would try</v>
      </c>
      <c r="H481" s="1" t="str">
        <f ca="1">IFERROR(__xludf.DUMMYFUNCTION("""COMPUTED_VALUE"""),"No")</f>
        <v>No</v>
      </c>
      <c r="I481" s="1" t="str">
        <f ca="1">IFERROR(__xludf.DUMMYFUNCTION("""COMPUTED_VALUE"""),"Will NOT work for them")</f>
        <v>Will NOT work for them</v>
      </c>
      <c r="J481" s="1">
        <f ca="1">IFERROR(__xludf.DUMMYFUNCTION("""COMPUTED_VALUE"""),5)</f>
        <v>5</v>
      </c>
      <c r="K481" s="1" t="str">
        <f ca="1">IFERROR(__xludf.DUMMYFUNCTION("""COMPUTED_VALUE"""),"Fully Remote with Options to travel as and when needed")</f>
        <v>Fully Remote with Options to travel as and when needed</v>
      </c>
      <c r="L481" s="1" t="str">
        <f ca="1">IFERROR(__xludf.DUMMYFUNCTION("""COMPUTED_VALUE"""),"Employer who appreciates learning and enables that environment")</f>
        <v>Employer who appreciates learning and enables that environment</v>
      </c>
      <c r="M4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81"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481" s="1" t="str">
        <f ca="1">IFERROR(__xludf.DUMMYFUNCTION("""COMPUTED_VALUE"""),"Manager who explains what is expected, sets a goal and helps achieve it")</f>
        <v>Manager who explains what is expected, sets a goal and helps achieve it</v>
      </c>
      <c r="P481" s="1" t="str">
        <f ca="1">IFERROR(__xludf.DUMMYFUNCTION("""COMPUTED_VALUE"""),"Work with 2 to 3 people in my team, Work with 5 to 6 people in my team")</f>
        <v>Work with 2 to 3 people in my team, Work with 5 to 6 people in my team</v>
      </c>
      <c r="Q481" s="1"/>
    </row>
    <row r="482" spans="1:17" ht="13.2" x14ac:dyDescent="0.25">
      <c r="A482" s="2">
        <f ca="1">IFERROR(__xludf.DUMMYFUNCTION("""COMPUTED_VALUE"""),45021.5132451157)</f>
        <v>45021.513245115697</v>
      </c>
      <c r="B482" s="1" t="str">
        <f ca="1">IFERROR(__xludf.DUMMYFUNCTION("""COMPUTED_VALUE"""),"India")</f>
        <v>India</v>
      </c>
      <c r="C482" s="1">
        <f ca="1">IFERROR(__xludf.DUMMYFUNCTION("""COMPUTED_VALUE"""),400067)</f>
        <v>400067</v>
      </c>
      <c r="D482" s="3" t="str">
        <f ca="1">IFERROR(__xludf.DUMMYFUNCTION("""COMPUTED_VALUE"""),"Male")</f>
        <v>Male</v>
      </c>
      <c r="E482" s="1" t="str">
        <f ca="1">IFERROR(__xludf.DUMMYFUNCTION("""COMPUTED_VALUE"""),"My Parents")</f>
        <v>My Parents</v>
      </c>
      <c r="F482" s="1" t="str">
        <f ca="1">IFERROR(__xludf.DUMMYFUNCTION("""COMPUTED_VALUE"""),"No I would not be pursuing Higher Education outside of India")</f>
        <v>No I would not be pursuing Higher Education outside of India</v>
      </c>
      <c r="G482" s="1" t="str">
        <f ca="1">IFERROR(__xludf.DUMMYFUNCTION("""COMPUTED_VALUE"""),"This will be hard to do, but if it is the right company I would try")</f>
        <v>This will be hard to do, but if it is the right company I would try</v>
      </c>
      <c r="H482" s="1" t="str">
        <f ca="1">IFERROR(__xludf.DUMMYFUNCTION("""COMPUTED_VALUE"""),"No")</f>
        <v>No</v>
      </c>
      <c r="I482" s="1" t="str">
        <f ca="1">IFERROR(__xludf.DUMMYFUNCTION("""COMPUTED_VALUE"""),"Will NOT work for them")</f>
        <v>Will NOT work for them</v>
      </c>
      <c r="J482" s="1">
        <f ca="1">IFERROR(__xludf.DUMMYFUNCTION("""COMPUTED_VALUE"""),10)</f>
        <v>10</v>
      </c>
      <c r="K482" s="1" t="str">
        <f ca="1">IFERROR(__xludf.DUMMYFUNCTION("""COMPUTED_VALUE"""),"Hybrid Working Environment with more than 15 days a month at office")</f>
        <v>Hybrid Working Environment with more than 15 days a month at office</v>
      </c>
      <c r="L482" s="1" t="str">
        <f ca="1">IFERROR(__xludf.DUMMYFUNCTION("""COMPUTED_VALUE"""),"Employer who rewards learning and enables that environment")</f>
        <v>Employer who rewards learning and enables that environment</v>
      </c>
      <c r="M48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82" s="1" t="str">
        <f ca="1">IFERROR(__xludf.DUMMYFUNCTION("""COMPUTED_VALUE"""),"Look deeply into Data and generate insights, Work as a freelancer and do my thing my way, Entrepreneur or Start Up, Manufacturing / Oil and Gas/ Construction / Hard Physical Work related")</f>
        <v>Look deeply into Data and generate insights, Work as a freelancer and do my thing my way, Entrepreneur or Start Up, Manufacturing / Oil and Gas/ Construction / Hard Physical Work related</v>
      </c>
      <c r="O482" s="1" t="str">
        <f ca="1">IFERROR(__xludf.DUMMYFUNCTION("""COMPUTED_VALUE"""),"Manager who explains what is expected, sets a goal and helps achieve it")</f>
        <v>Manager who explains what is expected, sets a goal and helps achieve it</v>
      </c>
      <c r="P482" s="1" t="str">
        <f ca="1">IFERROR(__xludf.DUMMYFUNCTION("""COMPUTED_VALUE"""),"Work with 7 to 10 or more people in my team, Work with more than 10 people in my team")</f>
        <v>Work with 7 to 10 or more people in my team, Work with more than 10 people in my team</v>
      </c>
      <c r="Q482" s="1"/>
    </row>
    <row r="483" spans="1:17" ht="13.2" x14ac:dyDescent="0.25">
      <c r="A483" s="2">
        <f ca="1">IFERROR(__xludf.DUMMYFUNCTION("""COMPUTED_VALUE"""),45021.5150029282)</f>
        <v>45021.515002928201</v>
      </c>
      <c r="B483" s="1" t="str">
        <f ca="1">IFERROR(__xludf.DUMMYFUNCTION("""COMPUTED_VALUE"""),"India")</f>
        <v>India</v>
      </c>
      <c r="C483" s="1">
        <f ca="1">IFERROR(__xludf.DUMMYFUNCTION("""COMPUTED_VALUE"""),50090)</f>
        <v>50090</v>
      </c>
      <c r="D483" s="3" t="str">
        <f ca="1">IFERROR(__xludf.DUMMYFUNCTION("""COMPUTED_VALUE"""),"Female")</f>
        <v>Female</v>
      </c>
      <c r="E483" s="1" t="str">
        <f ca="1">IFERROR(__xludf.DUMMYFUNCTION("""COMPUTED_VALUE"""),"People from my circle, but not family members")</f>
        <v>People from my circle, but not family members</v>
      </c>
      <c r="F483" s="1" t="str">
        <f ca="1">IFERROR(__xludf.DUMMYFUNCTION("""COMPUTED_VALUE"""),"Yes, I will earn and do that")</f>
        <v>Yes, I will earn and do that</v>
      </c>
      <c r="G483" s="1" t="str">
        <f ca="1">IFERROR(__xludf.DUMMYFUNCTION("""COMPUTED_VALUE"""),"This will be hard to do, but if it is the right company I would try")</f>
        <v>This will be hard to do, but if it is the right company I would try</v>
      </c>
      <c r="H483" s="1" t="str">
        <f ca="1">IFERROR(__xludf.DUMMYFUNCTION("""COMPUTED_VALUE"""),"Yes")</f>
        <v>Yes</v>
      </c>
      <c r="I483" s="1" t="str">
        <f ca="1">IFERROR(__xludf.DUMMYFUNCTION("""COMPUTED_VALUE"""),"Will work for them")</f>
        <v>Will work for them</v>
      </c>
      <c r="J483" s="1">
        <f ca="1">IFERROR(__xludf.DUMMYFUNCTION("""COMPUTED_VALUE"""),7)</f>
        <v>7</v>
      </c>
      <c r="K483" s="1" t="str">
        <f ca="1">IFERROR(__xludf.DUMMYFUNCTION("""COMPUTED_VALUE"""),"Hybrid Working Environment with less than 3 days a month at office")</f>
        <v>Hybrid Working Environment with less than 3 days a month at office</v>
      </c>
      <c r="L483" s="1" t="str">
        <f ca="1">IFERROR(__xludf.DUMMYFUNCTION("""COMPUTED_VALUE"""),"Employer who pushes your limits by enabling an learning environment, and rewards you at the end")</f>
        <v>Employer who pushes your limits by enabling an learning environment, and rewards you at the end</v>
      </c>
      <c r="M4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8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83" s="1" t="str">
        <f ca="1">IFERROR(__xludf.DUMMYFUNCTION("""COMPUTED_VALUE"""),"Manager who sets targets and expects me to achieve it")</f>
        <v>Manager who sets targets and expects me to achieve it</v>
      </c>
      <c r="P483" s="1" t="str">
        <f ca="1">IFERROR(__xludf.DUMMYFUNCTION("""COMPUTED_VALUE"""),"Work with 5 to 6 people in my team")</f>
        <v>Work with 5 to 6 people in my team</v>
      </c>
      <c r="Q483" s="1"/>
    </row>
    <row r="484" spans="1:17" ht="13.2" x14ac:dyDescent="0.25">
      <c r="A484" s="2">
        <f ca="1">IFERROR(__xludf.DUMMYFUNCTION("""COMPUTED_VALUE"""),45021.5174107407)</f>
        <v>45021.5174107407</v>
      </c>
      <c r="B484" s="1" t="str">
        <f ca="1">IFERROR(__xludf.DUMMYFUNCTION("""COMPUTED_VALUE"""),"India")</f>
        <v>India</v>
      </c>
      <c r="C484" s="1">
        <f ca="1">IFERROR(__xludf.DUMMYFUNCTION("""COMPUTED_VALUE"""),500045)</f>
        <v>500045</v>
      </c>
      <c r="D484" s="3" t="str">
        <f ca="1">IFERROR(__xludf.DUMMYFUNCTION("""COMPUTED_VALUE"""),"Female")</f>
        <v>Female</v>
      </c>
      <c r="E484" s="1" t="str">
        <f ca="1">IFERROR(__xludf.DUMMYFUNCTION("""COMPUTED_VALUE"""),"Influencers who had successful careers")</f>
        <v>Influencers who had successful careers</v>
      </c>
      <c r="F484" s="1" t="str">
        <f ca="1">IFERROR(__xludf.DUMMYFUNCTION("""COMPUTED_VALUE"""),"No, But if someone could bare the cost I will")</f>
        <v>No, But if someone could bare the cost I will</v>
      </c>
      <c r="G484" s="1" t="str">
        <f ca="1">IFERROR(__xludf.DUMMYFUNCTION("""COMPUTED_VALUE"""),"This will be hard to do, but if it is the right company I would try")</f>
        <v>This will be hard to do, but if it is the right company I would try</v>
      </c>
      <c r="H484" s="1" t="str">
        <f ca="1">IFERROR(__xludf.DUMMYFUNCTION("""COMPUTED_VALUE"""),"Yes")</f>
        <v>Yes</v>
      </c>
      <c r="I484" s="1" t="str">
        <f ca="1">IFERROR(__xludf.DUMMYFUNCTION("""COMPUTED_VALUE"""),"Will NOT work for them")</f>
        <v>Will NOT work for them</v>
      </c>
      <c r="J484" s="1">
        <f ca="1">IFERROR(__xludf.DUMMYFUNCTION("""COMPUTED_VALUE"""),6)</f>
        <v>6</v>
      </c>
      <c r="K484" s="1" t="str">
        <f ca="1">IFERROR(__xludf.DUMMYFUNCTION("""COMPUTED_VALUE"""),"Fully Remote with Options to travel as and when needed")</f>
        <v>Fully Remote with Options to travel as and when needed</v>
      </c>
      <c r="L484" s="1" t="str">
        <f ca="1">IFERROR(__xludf.DUMMYFUNCTION("""COMPUTED_VALUE"""),"Employer who appreciates learning and enables that environment")</f>
        <v>Employer who appreciates learning and enables that environment</v>
      </c>
      <c r="M484" s="1" t="str">
        <f ca="1">IFERROR(__xludf.DUMMYFUNCTION("""COMPUTED_VALUE"""),"Self Paced Learning Portals of the Company, Instructor or Expert Learning Programs, Manager Teaching you")</f>
        <v>Self Paced Learning Portals of the Company, Instructor or Expert Learning Programs, Manager Teaching you</v>
      </c>
      <c r="N484"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484" s="1" t="str">
        <f ca="1">IFERROR(__xludf.DUMMYFUNCTION("""COMPUTED_VALUE"""),"Manager who sets goal and helps me achieve it")</f>
        <v>Manager who sets goal and helps me achieve it</v>
      </c>
      <c r="P48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484" s="1"/>
    </row>
    <row r="485" spans="1:17" ht="13.2" x14ac:dyDescent="0.25">
      <c r="A485" s="2">
        <f ca="1">IFERROR(__xludf.DUMMYFUNCTION("""COMPUTED_VALUE"""),45021.5186577429)</f>
        <v>45021.518657742898</v>
      </c>
      <c r="B485" s="1" t="str">
        <f ca="1">IFERROR(__xludf.DUMMYFUNCTION("""COMPUTED_VALUE"""),"India")</f>
        <v>India</v>
      </c>
      <c r="C485" s="1">
        <f ca="1">IFERROR(__xludf.DUMMYFUNCTION("""COMPUTED_VALUE"""),400037)</f>
        <v>400037</v>
      </c>
      <c r="D485" s="3" t="str">
        <f ca="1">IFERROR(__xludf.DUMMYFUNCTION("""COMPUTED_VALUE"""),"Male")</f>
        <v>Male</v>
      </c>
      <c r="E485" s="1" t="str">
        <f ca="1">IFERROR(__xludf.DUMMYFUNCTION("""COMPUTED_VALUE"""),"Influencers who had successful careers")</f>
        <v>Influencers who had successful careers</v>
      </c>
      <c r="F485" s="1" t="str">
        <f ca="1">IFERROR(__xludf.DUMMYFUNCTION("""COMPUTED_VALUE"""),"No, But if someone could bare the cost I will")</f>
        <v>No, But if someone could bare the cost I will</v>
      </c>
      <c r="G485" s="1" t="str">
        <f ca="1">IFERROR(__xludf.DUMMYFUNCTION("""COMPUTED_VALUE"""),"No way")</f>
        <v>No way</v>
      </c>
      <c r="H485" s="1" t="str">
        <f ca="1">IFERROR(__xludf.DUMMYFUNCTION("""COMPUTED_VALUE"""),"No")</f>
        <v>No</v>
      </c>
      <c r="I485" s="1" t="str">
        <f ca="1">IFERROR(__xludf.DUMMYFUNCTION("""COMPUTED_VALUE"""),"Will NOT work for them")</f>
        <v>Will NOT work for them</v>
      </c>
      <c r="J485" s="1">
        <f ca="1">IFERROR(__xludf.DUMMYFUNCTION("""COMPUTED_VALUE"""),3)</f>
        <v>3</v>
      </c>
      <c r="K485" s="1" t="str">
        <f ca="1">IFERROR(__xludf.DUMMYFUNCTION("""COMPUTED_VALUE"""),"Fully Remote with Options to travel as and when needed")</f>
        <v>Fully Remote with Options to travel as and when needed</v>
      </c>
      <c r="L485" s="1" t="str">
        <f ca="1">IFERROR(__xludf.DUMMYFUNCTION("""COMPUTED_VALUE"""),"Employer who pushes your limits by enabling an learning environment, and rewards you at the end")</f>
        <v>Employer who pushes your limits by enabling an learning environment, and rewards you at the end</v>
      </c>
      <c r="M4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85"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485" s="1" t="str">
        <f ca="1">IFERROR(__xludf.DUMMYFUNCTION("""COMPUTED_VALUE"""),"Manager who explains what is expected, sets a goal and helps achieve it")</f>
        <v>Manager who explains what is expected, sets a goal and helps achieve it</v>
      </c>
      <c r="P485" s="1" t="str">
        <f ca="1">IFERROR(__xludf.DUMMYFUNCTION("""COMPUTED_VALUE"""),"Work with 2 to 3 people in my team, Work with 5 to 6 people in my team, Work with more than 10 people in my team")</f>
        <v>Work with 2 to 3 people in my team, Work with 5 to 6 people in my team, Work with more than 10 people in my team</v>
      </c>
      <c r="Q485" s="1"/>
    </row>
    <row r="486" spans="1:17" ht="13.2" x14ac:dyDescent="0.25">
      <c r="A486" s="2">
        <f ca="1">IFERROR(__xludf.DUMMYFUNCTION("""COMPUTED_VALUE"""),45021.5186981481)</f>
        <v>45021.518698148102</v>
      </c>
      <c r="B486" s="1" t="str">
        <f ca="1">IFERROR(__xludf.DUMMYFUNCTION("""COMPUTED_VALUE"""),"India")</f>
        <v>India</v>
      </c>
      <c r="C486" s="1">
        <f ca="1">IFERROR(__xludf.DUMMYFUNCTION("""COMPUTED_VALUE"""),500052)</f>
        <v>500052</v>
      </c>
      <c r="D486" s="3" t="str">
        <f ca="1">IFERROR(__xludf.DUMMYFUNCTION("""COMPUTED_VALUE"""),"Female")</f>
        <v>Female</v>
      </c>
      <c r="E486" s="1" t="str">
        <f ca="1">IFERROR(__xludf.DUMMYFUNCTION("""COMPUTED_VALUE"""),"My Parents")</f>
        <v>My Parents</v>
      </c>
      <c r="F486" s="1" t="str">
        <f ca="1">IFERROR(__xludf.DUMMYFUNCTION("""COMPUTED_VALUE"""),"No I would not be pursuing Higher Education outside of India")</f>
        <v>No I would not be pursuing Higher Education outside of India</v>
      </c>
      <c r="G486" s="1" t="str">
        <f ca="1">IFERROR(__xludf.DUMMYFUNCTION("""COMPUTED_VALUE"""),"Will work for 3 years or more")</f>
        <v>Will work for 3 years or more</v>
      </c>
      <c r="H486" s="1" t="str">
        <f ca="1">IFERROR(__xludf.DUMMYFUNCTION("""COMPUTED_VALUE"""),"No")</f>
        <v>No</v>
      </c>
      <c r="I486" s="1" t="str">
        <f ca="1">IFERROR(__xludf.DUMMYFUNCTION("""COMPUTED_VALUE"""),"Will NOT work for them")</f>
        <v>Will NOT work for them</v>
      </c>
      <c r="J486" s="1">
        <f ca="1">IFERROR(__xludf.DUMMYFUNCTION("""COMPUTED_VALUE"""),1)</f>
        <v>1</v>
      </c>
      <c r="K486" s="1" t="str">
        <f ca="1">IFERROR(__xludf.DUMMYFUNCTION("""COMPUTED_VALUE"""),"Fully Remote with Options to travel as and when needed")</f>
        <v>Fully Remote with Options to travel as and when needed</v>
      </c>
      <c r="L486" s="1" t="str">
        <f ca="1">IFERROR(__xludf.DUMMYFUNCTION("""COMPUTED_VALUE"""),"Employer who pushes your limits by enabling an learning environment, and rewards you at the end")</f>
        <v>Employer who pushes your limits by enabling an learning environment, and rewards you at the end</v>
      </c>
      <c r="M486" s="1" t="str">
        <f ca="1">IFERROR(__xludf.DUMMYFUNCTION("""COMPUTED_VALUE"""),"Instructor or Expert Learning Programs, Learning by observing others, Manager Teaching you")</f>
        <v>Instructor or Expert Learning Programs, Learning by observing others, Manager Teaching you</v>
      </c>
      <c r="N486"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486" s="1" t="str">
        <f ca="1">IFERROR(__xludf.DUMMYFUNCTION("""COMPUTED_VALUE"""),"Manager who sets targets and expects me to achieve it")</f>
        <v>Manager who sets targets and expects me to achieve it</v>
      </c>
      <c r="P486" s="1" t="str">
        <f ca="1">IFERROR(__xludf.DUMMYFUNCTION("""COMPUTED_VALUE"""),"Work with 5 to 6 people in my team")</f>
        <v>Work with 5 to 6 people in my team</v>
      </c>
      <c r="Q486" s="1"/>
    </row>
    <row r="487" spans="1:17" ht="13.2" x14ac:dyDescent="0.25">
      <c r="A487" s="2">
        <f ca="1">IFERROR(__xludf.DUMMYFUNCTION("""COMPUTED_VALUE"""),45021.5199579051)</f>
        <v>45021.519957905097</v>
      </c>
      <c r="B487" s="1" t="str">
        <f ca="1">IFERROR(__xludf.DUMMYFUNCTION("""COMPUTED_VALUE"""),"India")</f>
        <v>India</v>
      </c>
      <c r="C487" s="1">
        <f ca="1">IFERROR(__xludf.DUMMYFUNCTION("""COMPUTED_VALUE"""),500090)</f>
        <v>500090</v>
      </c>
      <c r="D487" s="3" t="str">
        <f ca="1">IFERROR(__xludf.DUMMYFUNCTION("""COMPUTED_VALUE"""),"Female")</f>
        <v>Female</v>
      </c>
      <c r="E487" s="1" t="str">
        <f ca="1">IFERROR(__xludf.DUMMYFUNCTION("""COMPUTED_VALUE"""),"People who have changed the world for better")</f>
        <v>People who have changed the world for better</v>
      </c>
      <c r="F487" s="1" t="str">
        <f ca="1">IFERROR(__xludf.DUMMYFUNCTION("""COMPUTED_VALUE"""),"No, But if someone could bare the cost I will")</f>
        <v>No, But if someone could bare the cost I will</v>
      </c>
      <c r="G487" s="1" t="str">
        <f ca="1">IFERROR(__xludf.DUMMYFUNCTION("""COMPUTED_VALUE"""),"This will be hard to do, but if it is the right company I would try")</f>
        <v>This will be hard to do, but if it is the right company I would try</v>
      </c>
      <c r="H487" s="1" t="str">
        <f ca="1">IFERROR(__xludf.DUMMYFUNCTION("""COMPUTED_VALUE"""),"No")</f>
        <v>No</v>
      </c>
      <c r="I487" s="1" t="str">
        <f ca="1">IFERROR(__xludf.DUMMYFUNCTION("""COMPUTED_VALUE"""),"Will NOT work for them")</f>
        <v>Will NOT work for them</v>
      </c>
      <c r="J487" s="1">
        <f ca="1">IFERROR(__xludf.DUMMYFUNCTION("""COMPUTED_VALUE"""),1)</f>
        <v>1</v>
      </c>
      <c r="K487" s="1" t="str">
        <f ca="1">IFERROR(__xludf.DUMMYFUNCTION("""COMPUTED_VALUE"""),"Hybrid Working Environment with more than 15 days a month at office")</f>
        <v>Hybrid Working Environment with more than 15 days a month at office</v>
      </c>
      <c r="L487" s="1" t="str">
        <f ca="1">IFERROR(__xludf.DUMMYFUNCTION("""COMPUTED_VALUE"""),"Employer who pushes your limits by enabling an learning environment, and rewards you at the end")</f>
        <v>Employer who pushes your limits by enabling an learning environment, and rewards you at the end</v>
      </c>
      <c r="M48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87"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487" s="1" t="str">
        <f ca="1">IFERROR(__xludf.DUMMYFUNCTION("""COMPUTED_VALUE"""),"Manager who explains what is expected, sets a goal and helps achieve it")</f>
        <v>Manager who explains what is expected, sets a goal and helps achieve it</v>
      </c>
      <c r="P487" s="1" t="str">
        <f ca="1">IFERROR(__xludf.DUMMYFUNCTION("""COMPUTED_VALUE"""),"Work with 5 to 6 people in my team")</f>
        <v>Work with 5 to 6 people in my team</v>
      </c>
      <c r="Q487" s="1"/>
    </row>
    <row r="488" spans="1:17" ht="13.2" x14ac:dyDescent="0.25">
      <c r="A488" s="2">
        <f ca="1">IFERROR(__xludf.DUMMYFUNCTION("""COMPUTED_VALUE"""),45021.5216522222)</f>
        <v>45021.521652222204</v>
      </c>
      <c r="B488" s="1" t="str">
        <f ca="1">IFERROR(__xludf.DUMMYFUNCTION("""COMPUTED_VALUE"""),"India")</f>
        <v>India</v>
      </c>
      <c r="C488" s="1">
        <f ca="1">IFERROR(__xludf.DUMMYFUNCTION("""COMPUTED_VALUE"""),400077)</f>
        <v>400077</v>
      </c>
      <c r="D488" s="3" t="str">
        <f ca="1">IFERROR(__xludf.DUMMYFUNCTION("""COMPUTED_VALUE"""),"Male")</f>
        <v>Male</v>
      </c>
      <c r="E488" s="1" t="str">
        <f ca="1">IFERROR(__xludf.DUMMYFUNCTION("""COMPUTED_VALUE"""),"My Parents")</f>
        <v>My Parents</v>
      </c>
      <c r="F488" s="1" t="str">
        <f ca="1">IFERROR(__xludf.DUMMYFUNCTION("""COMPUTED_VALUE"""),"No I would not be pursuing Higher Education outside of India")</f>
        <v>No I would not be pursuing Higher Education outside of India</v>
      </c>
      <c r="G488" s="1" t="str">
        <f ca="1">IFERROR(__xludf.DUMMYFUNCTION("""COMPUTED_VALUE"""),"This will be hard to do, but if it is the right company I would try")</f>
        <v>This will be hard to do, but if it is the right company I would try</v>
      </c>
      <c r="H488" s="1" t="str">
        <f ca="1">IFERROR(__xludf.DUMMYFUNCTION("""COMPUTED_VALUE"""),"No")</f>
        <v>No</v>
      </c>
      <c r="I488" s="1" t="str">
        <f ca="1">IFERROR(__xludf.DUMMYFUNCTION("""COMPUTED_VALUE"""),"Will NOT work for them")</f>
        <v>Will NOT work for them</v>
      </c>
      <c r="J488" s="1">
        <f ca="1">IFERROR(__xludf.DUMMYFUNCTION("""COMPUTED_VALUE"""),5)</f>
        <v>5</v>
      </c>
      <c r="K488" s="1" t="str">
        <f ca="1">IFERROR(__xludf.DUMMYFUNCTION("""COMPUTED_VALUE"""),"Every Day Office Environment")</f>
        <v>Every Day Office Environment</v>
      </c>
      <c r="L488" s="1" t="str">
        <f ca="1">IFERROR(__xludf.DUMMYFUNCTION("""COMPUTED_VALUE"""),"Employer who pushes your limits by enabling an learning environment, and rewards you at the end")</f>
        <v>Employer who pushes your limits by enabling an learning environment, and rewards you at the end</v>
      </c>
      <c r="M48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88" s="1" t="str">
        <f ca="1">IFERROR(__xludf.DUMMYFUNCTION("""COMPUTED_VALUE"""),"Manager who sets goal and helps me achieve it")</f>
        <v>Manager who sets goal and helps me achieve it</v>
      </c>
      <c r="P488" s="1" t="str">
        <f ca="1">IFERROR(__xludf.DUMMYFUNCTION("""COMPUTED_VALUE"""),"Work with 2 to 3 people in my team")</f>
        <v>Work with 2 to 3 people in my team</v>
      </c>
      <c r="Q488" s="1"/>
    </row>
    <row r="489" spans="1:17" ht="13.2" x14ac:dyDescent="0.25">
      <c r="A489" s="2">
        <f ca="1">IFERROR(__xludf.DUMMYFUNCTION("""COMPUTED_VALUE"""),45021.522170787)</f>
        <v>45021.522170787001</v>
      </c>
      <c r="B489" s="1" t="str">
        <f ca="1">IFERROR(__xludf.DUMMYFUNCTION("""COMPUTED_VALUE"""),"India")</f>
        <v>India</v>
      </c>
      <c r="C489" s="1">
        <f ca="1">IFERROR(__xludf.DUMMYFUNCTION("""COMPUTED_VALUE"""),600123)</f>
        <v>600123</v>
      </c>
      <c r="D489" s="3" t="str">
        <f ca="1">IFERROR(__xludf.DUMMYFUNCTION("""COMPUTED_VALUE"""),"Male")</f>
        <v>Male</v>
      </c>
      <c r="E489" s="1" t="str">
        <f ca="1">IFERROR(__xludf.DUMMYFUNCTION("""COMPUTED_VALUE"""),"People from my circle, but not family members")</f>
        <v>People from my circle, but not family members</v>
      </c>
      <c r="F489" s="1" t="str">
        <f ca="1">IFERROR(__xludf.DUMMYFUNCTION("""COMPUTED_VALUE"""),"No I would not be pursuing Higher Education outside of India")</f>
        <v>No I would not be pursuing Higher Education outside of India</v>
      </c>
      <c r="G489" s="1" t="str">
        <f ca="1">IFERROR(__xludf.DUMMYFUNCTION("""COMPUTED_VALUE"""),"Will work for 3 years or more")</f>
        <v>Will work for 3 years or more</v>
      </c>
      <c r="H489" s="1" t="str">
        <f ca="1">IFERROR(__xludf.DUMMYFUNCTION("""COMPUTED_VALUE"""),"Yes")</f>
        <v>Yes</v>
      </c>
      <c r="I489" s="1" t="str">
        <f ca="1">IFERROR(__xludf.DUMMYFUNCTION("""COMPUTED_VALUE"""),"Will work for them")</f>
        <v>Will work for them</v>
      </c>
      <c r="J489" s="1">
        <f ca="1">IFERROR(__xludf.DUMMYFUNCTION("""COMPUTED_VALUE"""),7)</f>
        <v>7</v>
      </c>
      <c r="K489" s="1" t="str">
        <f ca="1">IFERROR(__xludf.DUMMYFUNCTION("""COMPUTED_VALUE"""),"Every Day Office Environment")</f>
        <v>Every Day Office Environment</v>
      </c>
      <c r="L489" s="1" t="str">
        <f ca="1">IFERROR(__xludf.DUMMYFUNCTION("""COMPUTED_VALUE"""),"Employer who pushes your limits by enabling an learning environment, and rewards you at the end")</f>
        <v>Employer who pushes your limits by enabling an learning environment, and rewards you at the end</v>
      </c>
      <c r="M48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89" s="1" t="str">
        <f ca="1">IFERROR(__xludf.DUMMYFUNCTION("""COMPUTED_VALUE"""),"Build and develop a Team, Work as a freelancer and do my thing my way, Entrepreneur or Start Up, I Want to sell things/Sales")</f>
        <v>Build and develop a Team, Work as a freelancer and do my thing my way, Entrepreneur or Start Up, I Want to sell things/Sales</v>
      </c>
      <c r="O489" s="1" t="str">
        <f ca="1">IFERROR(__xludf.DUMMYFUNCTION("""COMPUTED_VALUE"""),"Manager who sets targets and expects me to achieve it")</f>
        <v>Manager who sets targets and expects me to achieve it</v>
      </c>
      <c r="P489" s="1" t="str">
        <f ca="1">IFERROR(__xludf.DUMMYFUNCTION("""COMPUTED_VALUE"""),"Work alone")</f>
        <v>Work alone</v>
      </c>
      <c r="Q489" s="1"/>
    </row>
    <row r="490" spans="1:17" ht="13.2" x14ac:dyDescent="0.25">
      <c r="A490" s="2">
        <f ca="1">IFERROR(__xludf.DUMMYFUNCTION("""COMPUTED_VALUE"""),45021.5238048263)</f>
        <v>45021.523804826298</v>
      </c>
      <c r="B490" s="1" t="str">
        <f ca="1">IFERROR(__xludf.DUMMYFUNCTION("""COMPUTED_VALUE"""),"India")</f>
        <v>India</v>
      </c>
      <c r="C490" s="1">
        <f ca="1">IFERROR(__xludf.DUMMYFUNCTION("""COMPUTED_VALUE"""),500070)</f>
        <v>500070</v>
      </c>
      <c r="D490" s="3" t="str">
        <f ca="1">IFERROR(__xludf.DUMMYFUNCTION("""COMPUTED_VALUE"""),"Female")</f>
        <v>Female</v>
      </c>
      <c r="E490" s="1" t="str">
        <f ca="1">IFERROR(__xludf.DUMMYFUNCTION("""COMPUTED_VALUE"""),"Influencers who had successful careers")</f>
        <v>Influencers who had successful careers</v>
      </c>
      <c r="F490" s="1" t="str">
        <f ca="1">IFERROR(__xludf.DUMMYFUNCTION("""COMPUTED_VALUE"""),"No I would not be pursuing Higher Education outside of India")</f>
        <v>No I would not be pursuing Higher Education outside of India</v>
      </c>
      <c r="G490" s="1" t="str">
        <f ca="1">IFERROR(__xludf.DUMMYFUNCTION("""COMPUTED_VALUE"""),"This will be hard to do, but if it is the right company I would try")</f>
        <v>This will be hard to do, but if it is the right company I would try</v>
      </c>
      <c r="H490" s="1" t="str">
        <f ca="1">IFERROR(__xludf.DUMMYFUNCTION("""COMPUTED_VALUE"""),"Yes")</f>
        <v>Yes</v>
      </c>
      <c r="I490" s="1" t="str">
        <f ca="1">IFERROR(__xludf.DUMMYFUNCTION("""COMPUTED_VALUE"""),"Will work for them")</f>
        <v>Will work for them</v>
      </c>
      <c r="J490" s="1">
        <f ca="1">IFERROR(__xludf.DUMMYFUNCTION("""COMPUTED_VALUE"""),9)</f>
        <v>9</v>
      </c>
      <c r="K490" s="1" t="str">
        <f ca="1">IFERROR(__xludf.DUMMYFUNCTION("""COMPUTED_VALUE"""),"Fully Remote with No option to visit offices")</f>
        <v>Fully Remote with No option to visit offices</v>
      </c>
      <c r="L490" s="1" t="str">
        <f ca="1">IFERROR(__xludf.DUMMYFUNCTION("""COMPUTED_VALUE"""),"Employer who rewards learning and enables that environment")</f>
        <v>Employer who rewards learning and enables that environment</v>
      </c>
      <c r="M49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90"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490" s="1" t="str">
        <f ca="1">IFERROR(__xludf.DUMMYFUNCTION("""COMPUTED_VALUE"""),"Manager who clearly describes what she/he needs")</f>
        <v>Manager who clearly describes what she/he needs</v>
      </c>
      <c r="P490" s="1" t="str">
        <f ca="1">IFERROR(__xludf.DUMMYFUNCTION("""COMPUTED_VALUE"""),"Work with 5 to 6 people in my team")</f>
        <v>Work with 5 to 6 people in my team</v>
      </c>
      <c r="Q490" s="1"/>
    </row>
    <row r="491" spans="1:17" ht="13.2" x14ac:dyDescent="0.25">
      <c r="A491" s="2">
        <f ca="1">IFERROR(__xludf.DUMMYFUNCTION("""COMPUTED_VALUE"""),45021.5240334953)</f>
        <v>45021.524033495298</v>
      </c>
      <c r="B491" s="1" t="str">
        <f ca="1">IFERROR(__xludf.DUMMYFUNCTION("""COMPUTED_VALUE"""),"India")</f>
        <v>India</v>
      </c>
      <c r="C491" s="1">
        <f ca="1">IFERROR(__xludf.DUMMYFUNCTION("""COMPUTED_VALUE"""),580031)</f>
        <v>580031</v>
      </c>
      <c r="D491" s="3" t="str">
        <f ca="1">IFERROR(__xludf.DUMMYFUNCTION("""COMPUTED_VALUE"""),"Male")</f>
        <v>Male</v>
      </c>
      <c r="E491" s="1" t="str">
        <f ca="1">IFERROR(__xludf.DUMMYFUNCTION("""COMPUTED_VALUE"""),"My Parents")</f>
        <v>My Parents</v>
      </c>
      <c r="F491" s="1" t="str">
        <f ca="1">IFERROR(__xludf.DUMMYFUNCTION("""COMPUTED_VALUE"""),"No I would not be pursuing Higher Education outside of India")</f>
        <v>No I would not be pursuing Higher Education outside of India</v>
      </c>
      <c r="G491" s="1" t="str">
        <f ca="1">IFERROR(__xludf.DUMMYFUNCTION("""COMPUTED_VALUE"""),"This will be hard to do, but if it is the right company I would try")</f>
        <v>This will be hard to do, but if it is the right company I would try</v>
      </c>
      <c r="H491" s="1" t="str">
        <f ca="1">IFERROR(__xludf.DUMMYFUNCTION("""COMPUTED_VALUE"""),"Yes")</f>
        <v>Yes</v>
      </c>
      <c r="I491" s="1" t="str">
        <f ca="1">IFERROR(__xludf.DUMMYFUNCTION("""COMPUTED_VALUE"""),"Will work for them")</f>
        <v>Will work for them</v>
      </c>
      <c r="J491" s="1">
        <f ca="1">IFERROR(__xludf.DUMMYFUNCTION("""COMPUTED_VALUE"""),5)</f>
        <v>5</v>
      </c>
      <c r="K491" s="1" t="str">
        <f ca="1">IFERROR(__xludf.DUMMYFUNCTION("""COMPUTED_VALUE"""),"Hybrid Working Environment with less than 3 days a month at office")</f>
        <v>Hybrid Working Environment with less than 3 days a month at office</v>
      </c>
      <c r="L491" s="1" t="str">
        <f ca="1">IFERROR(__xludf.DUMMYFUNCTION("""COMPUTED_VALUE"""),"Employer who pushes your limits by enabling an learning environment, and rewards you at the end")</f>
        <v>Employer who pushes your limits by enabling an learning environment, and rewards you at the end</v>
      </c>
      <c r="M4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91" s="1" t="str">
        <f ca="1">IFERROR(__xludf.DUMMYFUNCTION("""COMPUTED_VALUE"""),"Teaching in any of the institutes/colleges/online or offline, Manage and drive End-to-End Projects or Products, Design and Develop amazing software, Work as a freelancer and do my thing my way")</f>
        <v>Teaching in any of the institutes/colleges/online or offline, Manage and drive End-to-End Projects or Products, Design and Develop amazing software, Work as a freelancer and do my thing my way</v>
      </c>
      <c r="O491" s="1" t="str">
        <f ca="1">IFERROR(__xludf.DUMMYFUNCTION("""COMPUTED_VALUE"""),"Manager who explains what is expected, sets a goal and helps achieve it")</f>
        <v>Manager who explains what is expected, sets a goal and helps achieve it</v>
      </c>
      <c r="P491" s="1" t="str">
        <f ca="1">IFERROR(__xludf.DUMMYFUNCTION("""COMPUTED_VALUE"""),"Work with 2 to 3 people in my team")</f>
        <v>Work with 2 to 3 people in my team</v>
      </c>
      <c r="Q491" s="1"/>
    </row>
    <row r="492" spans="1:17" ht="13.2" x14ac:dyDescent="0.25">
      <c r="A492" s="2">
        <f ca="1">IFERROR(__xludf.DUMMYFUNCTION("""COMPUTED_VALUE"""),45021.5275958333)</f>
        <v>45021.5275958333</v>
      </c>
      <c r="B492" s="1" t="str">
        <f ca="1">IFERROR(__xludf.DUMMYFUNCTION("""COMPUTED_VALUE"""),"India")</f>
        <v>India</v>
      </c>
      <c r="C492" s="1">
        <f ca="1">IFERROR(__xludf.DUMMYFUNCTION("""COMPUTED_VALUE"""),400067)</f>
        <v>400067</v>
      </c>
      <c r="D492" s="3" t="str">
        <f ca="1">IFERROR(__xludf.DUMMYFUNCTION("""COMPUTED_VALUE"""),"Female")</f>
        <v>Female</v>
      </c>
      <c r="E492" s="1" t="str">
        <f ca="1">IFERROR(__xludf.DUMMYFUNCTION("""COMPUTED_VALUE"""),"My Parents")</f>
        <v>My Parents</v>
      </c>
      <c r="F492" s="1" t="str">
        <f ca="1">IFERROR(__xludf.DUMMYFUNCTION("""COMPUTED_VALUE"""),"No I would not be pursuing Higher Education outside of India")</f>
        <v>No I would not be pursuing Higher Education outside of India</v>
      </c>
      <c r="G492" s="1" t="str">
        <f ca="1">IFERROR(__xludf.DUMMYFUNCTION("""COMPUTED_VALUE"""),"This will be hard to do, but if it is the right company I would try")</f>
        <v>This will be hard to do, but if it is the right company I would try</v>
      </c>
      <c r="H492" s="1" t="str">
        <f ca="1">IFERROR(__xludf.DUMMYFUNCTION("""COMPUTED_VALUE"""),"No")</f>
        <v>No</v>
      </c>
      <c r="I492" s="1" t="str">
        <f ca="1">IFERROR(__xludf.DUMMYFUNCTION("""COMPUTED_VALUE"""),"Will NOT work for them")</f>
        <v>Will NOT work for them</v>
      </c>
      <c r="J492" s="1">
        <f ca="1">IFERROR(__xludf.DUMMYFUNCTION("""COMPUTED_VALUE"""),7)</f>
        <v>7</v>
      </c>
      <c r="K492" s="1" t="str">
        <f ca="1">IFERROR(__xludf.DUMMYFUNCTION("""COMPUTED_VALUE"""),"Hybrid Working Environment with less than 3 days a month at office")</f>
        <v>Hybrid Working Environment with less than 3 days a month at office</v>
      </c>
      <c r="L492" s="1" t="str">
        <f ca="1">IFERROR(__xludf.DUMMYFUNCTION("""COMPUTED_VALUE"""),"Employer who pushes your limits by enabling an learning environment, and rewards you at the end")</f>
        <v>Employer who pushes your limits by enabling an learning environment, and rewards you at the end</v>
      </c>
      <c r="M4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92"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492" s="1" t="str">
        <f ca="1">IFERROR(__xludf.DUMMYFUNCTION("""COMPUTED_VALUE"""),"Manager who explains what is expected, sets a goal and helps achieve it")</f>
        <v>Manager who explains what is expected, sets a goal and helps achieve it</v>
      </c>
      <c r="P492" s="1" t="str">
        <f ca="1">IFERROR(__xludf.DUMMYFUNCTION("""COMPUTED_VALUE"""),"Work with 7 to 10 or more people in my team, Work with more than 10 people in my team")</f>
        <v>Work with 7 to 10 or more people in my team, Work with more than 10 people in my team</v>
      </c>
      <c r="Q492" s="1"/>
    </row>
    <row r="493" spans="1:17" ht="13.2" x14ac:dyDescent="0.25">
      <c r="A493" s="2">
        <f ca="1">IFERROR(__xludf.DUMMYFUNCTION("""COMPUTED_VALUE"""),45021.5285830787)</f>
        <v>45021.528583078703</v>
      </c>
      <c r="B493" s="1" t="str">
        <f ca="1">IFERROR(__xludf.DUMMYFUNCTION("""COMPUTED_VALUE"""),"India")</f>
        <v>India</v>
      </c>
      <c r="C493" s="1">
        <f ca="1">IFERROR(__xludf.DUMMYFUNCTION("""COMPUTED_VALUE"""),560018)</f>
        <v>560018</v>
      </c>
      <c r="D493" s="3" t="str">
        <f ca="1">IFERROR(__xludf.DUMMYFUNCTION("""COMPUTED_VALUE"""),"Female")</f>
        <v>Female</v>
      </c>
      <c r="E493" s="1" t="str">
        <f ca="1">IFERROR(__xludf.DUMMYFUNCTION("""COMPUTED_VALUE"""),"My Parents")</f>
        <v>My Parents</v>
      </c>
      <c r="F493" s="1" t="str">
        <f ca="1">IFERROR(__xludf.DUMMYFUNCTION("""COMPUTED_VALUE"""),"No, But if someone could bare the cost I will")</f>
        <v>No, But if someone could bare the cost I will</v>
      </c>
      <c r="G493" s="1" t="str">
        <f ca="1">IFERROR(__xludf.DUMMYFUNCTION("""COMPUTED_VALUE"""),"This will be hard to do, but if it is the right company I would try")</f>
        <v>This will be hard to do, but if it is the right company I would try</v>
      </c>
      <c r="H493" s="1" t="str">
        <f ca="1">IFERROR(__xludf.DUMMYFUNCTION("""COMPUTED_VALUE"""),"No")</f>
        <v>No</v>
      </c>
      <c r="I493" s="1" t="str">
        <f ca="1">IFERROR(__xludf.DUMMYFUNCTION("""COMPUTED_VALUE"""),"Will work for them")</f>
        <v>Will work for them</v>
      </c>
      <c r="J493" s="1">
        <f ca="1">IFERROR(__xludf.DUMMYFUNCTION("""COMPUTED_VALUE"""),7)</f>
        <v>7</v>
      </c>
      <c r="K493" s="1" t="str">
        <f ca="1">IFERROR(__xludf.DUMMYFUNCTION("""COMPUTED_VALUE"""),"Hybrid Working Environment with more than 15 days a month at office")</f>
        <v>Hybrid Working Environment with more than 15 days a month at office</v>
      </c>
      <c r="L493" s="1" t="str">
        <f ca="1">IFERROR(__xludf.DUMMYFUNCTION("""COMPUTED_VALUE"""),"Employer who pushes your limits by enabling an learning environment, and rewards you at the end")</f>
        <v>Employer who pushes your limits by enabling an learning environment, and rewards you at the end</v>
      </c>
      <c r="M4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9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93" s="1" t="str">
        <f ca="1">IFERROR(__xludf.DUMMYFUNCTION("""COMPUTED_VALUE"""),"Manager who sets targets and expects me to achieve it")</f>
        <v>Manager who sets targets and expects me to achieve it</v>
      </c>
      <c r="P493" s="1" t="str">
        <f ca="1">IFERROR(__xludf.DUMMYFUNCTION("""COMPUTED_VALUE"""),"Work with 7 to 10 or more people in my team")</f>
        <v>Work with 7 to 10 or more people in my team</v>
      </c>
      <c r="Q493" s="1"/>
    </row>
    <row r="494" spans="1:17" ht="13.2" x14ac:dyDescent="0.25">
      <c r="A494" s="2">
        <f ca="1">IFERROR(__xludf.DUMMYFUNCTION("""COMPUTED_VALUE"""),45021.533145949)</f>
        <v>45021.533145948997</v>
      </c>
      <c r="B494" s="1" t="str">
        <f ca="1">IFERROR(__xludf.DUMMYFUNCTION("""COMPUTED_VALUE"""),"India")</f>
        <v>India</v>
      </c>
      <c r="C494" s="1">
        <f ca="1">IFERROR(__xludf.DUMMYFUNCTION("""COMPUTED_VALUE"""),641011)</f>
        <v>641011</v>
      </c>
      <c r="D494" s="3" t="str">
        <f ca="1">IFERROR(__xludf.DUMMYFUNCTION("""COMPUTED_VALUE"""),"Male")</f>
        <v>Male</v>
      </c>
      <c r="E494" s="1" t="str">
        <f ca="1">IFERROR(__xludf.DUMMYFUNCTION("""COMPUTED_VALUE"""),"My Parents")</f>
        <v>My Parents</v>
      </c>
      <c r="F494" s="1" t="str">
        <f ca="1">IFERROR(__xludf.DUMMYFUNCTION("""COMPUTED_VALUE"""),"No, But if someone could bare the cost I will")</f>
        <v>No, But if someone could bare the cost I will</v>
      </c>
      <c r="G494" s="1" t="str">
        <f ca="1">IFERROR(__xludf.DUMMYFUNCTION("""COMPUTED_VALUE"""),"Will work for 3 years or more")</f>
        <v>Will work for 3 years or more</v>
      </c>
      <c r="H494" s="1" t="str">
        <f ca="1">IFERROR(__xludf.DUMMYFUNCTION("""COMPUTED_VALUE"""),"Yes")</f>
        <v>Yes</v>
      </c>
      <c r="I494" s="1" t="str">
        <f ca="1">IFERROR(__xludf.DUMMYFUNCTION("""COMPUTED_VALUE"""),"Will work for them")</f>
        <v>Will work for them</v>
      </c>
      <c r="J494" s="1">
        <f ca="1">IFERROR(__xludf.DUMMYFUNCTION("""COMPUTED_VALUE"""),7)</f>
        <v>7</v>
      </c>
      <c r="K494" s="1" t="str">
        <f ca="1">IFERROR(__xludf.DUMMYFUNCTION("""COMPUTED_VALUE"""),"Hybrid Working Environment with less than 3 days a month at office")</f>
        <v>Hybrid Working Environment with less than 3 days a month at office</v>
      </c>
      <c r="L494" s="1" t="str">
        <f ca="1">IFERROR(__xludf.DUMMYFUNCTION("""COMPUTED_VALUE"""),"Employer who appreciates learning and enables that environment")</f>
        <v>Employer who appreciates learning and enables that environment</v>
      </c>
      <c r="M494"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49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494" s="1" t="str">
        <f ca="1">IFERROR(__xludf.DUMMYFUNCTION("""COMPUTED_VALUE"""),"Manager who clearly describes what she/he needs")</f>
        <v>Manager who clearly describes what she/he needs</v>
      </c>
      <c r="P494" s="1" t="str">
        <f ca="1">IFERROR(__xludf.DUMMYFUNCTION("""COMPUTED_VALUE"""),"Work with 2 to 3 people in my team")</f>
        <v>Work with 2 to 3 people in my team</v>
      </c>
      <c r="Q494" s="1"/>
    </row>
    <row r="495" spans="1:17" ht="13.2" x14ac:dyDescent="0.25">
      <c r="A495" s="2">
        <f ca="1">IFERROR(__xludf.DUMMYFUNCTION("""COMPUTED_VALUE"""),45021.5339742013)</f>
        <v>45021.533974201302</v>
      </c>
      <c r="B495" s="1" t="str">
        <f ca="1">IFERROR(__xludf.DUMMYFUNCTION("""COMPUTED_VALUE"""),"India")</f>
        <v>India</v>
      </c>
      <c r="C495" s="1">
        <f ca="1">IFERROR(__xludf.DUMMYFUNCTION("""COMPUTED_VALUE"""),500085)</f>
        <v>500085</v>
      </c>
      <c r="D495" s="3" t="str">
        <f ca="1">IFERROR(__xludf.DUMMYFUNCTION("""COMPUTED_VALUE"""),"Female")</f>
        <v>Female</v>
      </c>
      <c r="E495" s="1" t="str">
        <f ca="1">IFERROR(__xludf.DUMMYFUNCTION("""COMPUTED_VALUE"""),"My Parents")</f>
        <v>My Parents</v>
      </c>
      <c r="F495" s="1" t="str">
        <f ca="1">IFERROR(__xludf.DUMMYFUNCTION("""COMPUTED_VALUE"""),"Yes, I will earn and do that")</f>
        <v>Yes, I will earn and do that</v>
      </c>
      <c r="G495" s="1" t="str">
        <f ca="1">IFERROR(__xludf.DUMMYFUNCTION("""COMPUTED_VALUE"""),"This will be hard to do, but if it is the right company I would try")</f>
        <v>This will be hard to do, but if it is the right company I would try</v>
      </c>
      <c r="H495" s="1" t="str">
        <f ca="1">IFERROR(__xludf.DUMMYFUNCTION("""COMPUTED_VALUE"""),"No")</f>
        <v>No</v>
      </c>
      <c r="I495" s="1" t="str">
        <f ca="1">IFERROR(__xludf.DUMMYFUNCTION("""COMPUTED_VALUE"""),"Will NOT work for them")</f>
        <v>Will NOT work for them</v>
      </c>
      <c r="J495" s="1">
        <f ca="1">IFERROR(__xludf.DUMMYFUNCTION("""COMPUTED_VALUE"""),1)</f>
        <v>1</v>
      </c>
      <c r="K495" s="1" t="str">
        <f ca="1">IFERROR(__xludf.DUMMYFUNCTION("""COMPUTED_VALUE"""),"Fully Remote with Options to travel as and when needed")</f>
        <v>Fully Remote with Options to travel as and when needed</v>
      </c>
      <c r="L495" s="1" t="str">
        <f ca="1">IFERROR(__xludf.DUMMYFUNCTION("""COMPUTED_VALUE"""),"Employer who appreciates learning and enables that environment")</f>
        <v>Employer who appreciates learning and enables that environment</v>
      </c>
      <c r="M495" s="1" t="str">
        <f ca="1">IFERROR(__xludf.DUMMYFUNCTION("""COMPUTED_VALUE"""),"Self Paced Learning Portals of the Company, Instructor or Expert Learning Programs, Manager Teaching you")</f>
        <v>Self Paced Learning Portals of the Company, Instructor or Expert Learning Programs, Manager Teaching you</v>
      </c>
      <c r="N49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495" s="1" t="str">
        <f ca="1">IFERROR(__xludf.DUMMYFUNCTION("""COMPUTED_VALUE"""),"Manager who sets goal and helps me achieve it")</f>
        <v>Manager who sets goal and helps me achieve it</v>
      </c>
      <c r="P495" s="1" t="str">
        <f ca="1">IFERROR(__xludf.DUMMYFUNCTION("""COMPUTED_VALUE"""),"Work with 2 to 3 people in my team")</f>
        <v>Work with 2 to 3 people in my team</v>
      </c>
      <c r="Q495" s="1"/>
    </row>
    <row r="496" spans="1:17" ht="13.2" x14ac:dyDescent="0.25">
      <c r="A496" s="2">
        <f ca="1">IFERROR(__xludf.DUMMYFUNCTION("""COMPUTED_VALUE"""),45021.5366809606)</f>
        <v>45021.536680960598</v>
      </c>
      <c r="B496" s="1" t="str">
        <f ca="1">IFERROR(__xludf.DUMMYFUNCTION("""COMPUTED_VALUE"""),"India")</f>
        <v>India</v>
      </c>
      <c r="C496" s="1">
        <f ca="1">IFERROR(__xludf.DUMMYFUNCTION("""COMPUTED_VALUE"""),121012)</f>
        <v>121012</v>
      </c>
      <c r="D496" s="3" t="str">
        <f ca="1">IFERROR(__xludf.DUMMYFUNCTION("""COMPUTED_VALUE"""),"Female")</f>
        <v>Female</v>
      </c>
      <c r="E496" s="1" t="str">
        <f ca="1">IFERROR(__xludf.DUMMYFUNCTION("""COMPUTED_VALUE"""),"Influencers who had successful careers")</f>
        <v>Influencers who had successful careers</v>
      </c>
      <c r="F496" s="1" t="str">
        <f ca="1">IFERROR(__xludf.DUMMYFUNCTION("""COMPUTED_VALUE"""),"Yes, I will earn and do that")</f>
        <v>Yes, I will earn and do that</v>
      </c>
      <c r="G496" s="1" t="str">
        <f ca="1">IFERROR(__xludf.DUMMYFUNCTION("""COMPUTED_VALUE"""),"This will be hard to do, but if it is the right company I would try")</f>
        <v>This will be hard to do, but if it is the right company I would try</v>
      </c>
      <c r="H496" s="1" t="str">
        <f ca="1">IFERROR(__xludf.DUMMYFUNCTION("""COMPUTED_VALUE"""),"No")</f>
        <v>No</v>
      </c>
      <c r="I496" s="1" t="str">
        <f ca="1">IFERROR(__xludf.DUMMYFUNCTION("""COMPUTED_VALUE"""),"Will NOT work for them")</f>
        <v>Will NOT work for them</v>
      </c>
      <c r="J496" s="1">
        <f ca="1">IFERROR(__xludf.DUMMYFUNCTION("""COMPUTED_VALUE"""),3)</f>
        <v>3</v>
      </c>
      <c r="K496" s="1" t="str">
        <f ca="1">IFERROR(__xludf.DUMMYFUNCTION("""COMPUTED_VALUE"""),"Hybrid Working Environment with more than 15 days a month at office")</f>
        <v>Hybrid Working Environment with more than 15 days a month at office</v>
      </c>
      <c r="L496" s="1" t="str">
        <f ca="1">IFERROR(__xludf.DUMMYFUNCTION("""COMPUTED_VALUE"""),"Employer who pushes your limits by enabling an learning environment, and rewards you at the end")</f>
        <v>Employer who pushes your limits by enabling an learning environment, and rewards you at the end</v>
      </c>
      <c r="M49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496" s="1" t="str">
        <f ca="1">IFERROR(__xludf.DUMMYFUNCTION("""COMPUTED_VALUE"""),"Manager who explains what is expected, sets a goal and helps achieve it")</f>
        <v>Manager who explains what is expected, sets a goal and helps achieve it</v>
      </c>
      <c r="P496" s="1" t="str">
        <f ca="1">IFERROR(__xludf.DUMMYFUNCTION("""COMPUTED_VALUE"""),"Work with 5 to 6 people in my team")</f>
        <v>Work with 5 to 6 people in my team</v>
      </c>
      <c r="Q496" s="1"/>
    </row>
    <row r="497" spans="1:17" ht="13.2" x14ac:dyDescent="0.25">
      <c r="A497" s="2">
        <f ca="1">IFERROR(__xludf.DUMMYFUNCTION("""COMPUTED_VALUE"""),45021.5373294444)</f>
        <v>45021.5373294444</v>
      </c>
      <c r="B497" s="1" t="str">
        <f ca="1">IFERROR(__xludf.DUMMYFUNCTION("""COMPUTED_VALUE"""),"India")</f>
        <v>India</v>
      </c>
      <c r="C497" s="1">
        <f ca="1">IFERROR(__xludf.DUMMYFUNCTION("""COMPUTED_VALUE"""),400097)</f>
        <v>400097</v>
      </c>
      <c r="D497" s="3" t="str">
        <f ca="1">IFERROR(__xludf.DUMMYFUNCTION("""COMPUTED_VALUE"""),"Male")</f>
        <v>Male</v>
      </c>
      <c r="E497" s="1" t="str">
        <f ca="1">IFERROR(__xludf.DUMMYFUNCTION("""COMPUTED_VALUE"""),"My Parents")</f>
        <v>My Parents</v>
      </c>
      <c r="F497" s="1" t="str">
        <f ca="1">IFERROR(__xludf.DUMMYFUNCTION("""COMPUTED_VALUE"""),"No, But if someone could bare the cost I will")</f>
        <v>No, But if someone could bare the cost I will</v>
      </c>
      <c r="G497" s="1" t="str">
        <f ca="1">IFERROR(__xludf.DUMMYFUNCTION("""COMPUTED_VALUE"""),"Will work for 3 years or more")</f>
        <v>Will work for 3 years or more</v>
      </c>
      <c r="H497" s="1" t="str">
        <f ca="1">IFERROR(__xludf.DUMMYFUNCTION("""COMPUTED_VALUE"""),"Yes")</f>
        <v>Yes</v>
      </c>
      <c r="I497" s="1" t="str">
        <f ca="1">IFERROR(__xludf.DUMMYFUNCTION("""COMPUTED_VALUE"""),"Will NOT work for them")</f>
        <v>Will NOT work for them</v>
      </c>
      <c r="J497" s="1">
        <f ca="1">IFERROR(__xludf.DUMMYFUNCTION("""COMPUTED_VALUE"""),8)</f>
        <v>8</v>
      </c>
      <c r="K497" s="1" t="str">
        <f ca="1">IFERROR(__xludf.DUMMYFUNCTION("""COMPUTED_VALUE"""),"Fully Remote with Options to travel as and when needed")</f>
        <v>Fully Remote with Options to travel as and when needed</v>
      </c>
      <c r="L497" s="1" t="str">
        <f ca="1">IFERROR(__xludf.DUMMYFUNCTION("""COMPUTED_VALUE"""),"Employer who pushes your limits by enabling an learning environment, and rewards you at the end")</f>
        <v>Employer who pushes your limits by enabling an learning environment, and rewards you at the end</v>
      </c>
      <c r="M49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97"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497" s="1" t="str">
        <f ca="1">IFERROR(__xludf.DUMMYFUNCTION("""COMPUTED_VALUE"""),"Manager who explains what is expected, sets a goal and helps achieve it")</f>
        <v>Manager who explains what is expected, sets a goal and helps achieve it</v>
      </c>
      <c r="P497"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497" s="1"/>
    </row>
    <row r="498" spans="1:17" ht="13.2" x14ac:dyDescent="0.25">
      <c r="A498" s="2">
        <f ca="1">IFERROR(__xludf.DUMMYFUNCTION("""COMPUTED_VALUE"""),45021.5405184259)</f>
        <v>45021.5405184259</v>
      </c>
      <c r="B498" s="1" t="str">
        <f ca="1">IFERROR(__xludf.DUMMYFUNCTION("""COMPUTED_VALUE"""),"India")</f>
        <v>India</v>
      </c>
      <c r="C498" s="1">
        <f ca="1">IFERROR(__xludf.DUMMYFUNCTION("""COMPUTED_VALUE"""),201306)</f>
        <v>201306</v>
      </c>
      <c r="D498" s="3" t="str">
        <f ca="1">IFERROR(__xludf.DUMMYFUNCTION("""COMPUTED_VALUE"""),"Male")</f>
        <v>Male</v>
      </c>
      <c r="E498" s="1" t="str">
        <f ca="1">IFERROR(__xludf.DUMMYFUNCTION("""COMPUTED_VALUE"""),"My Parents")</f>
        <v>My Parents</v>
      </c>
      <c r="F498" s="1" t="str">
        <f ca="1">IFERROR(__xludf.DUMMYFUNCTION("""COMPUTED_VALUE"""),"No I would not be pursuing Higher Education outside of India")</f>
        <v>No I would not be pursuing Higher Education outside of India</v>
      </c>
      <c r="G498" s="1" t="str">
        <f ca="1">IFERROR(__xludf.DUMMYFUNCTION("""COMPUTED_VALUE"""),"This will be hard to do, but if it is the right company I would try")</f>
        <v>This will be hard to do, but if it is the right company I would try</v>
      </c>
      <c r="H498" s="1" t="str">
        <f ca="1">IFERROR(__xludf.DUMMYFUNCTION("""COMPUTED_VALUE"""),"No")</f>
        <v>No</v>
      </c>
      <c r="I498" s="1" t="str">
        <f ca="1">IFERROR(__xludf.DUMMYFUNCTION("""COMPUTED_VALUE"""),"Will NOT work for them")</f>
        <v>Will NOT work for them</v>
      </c>
      <c r="J498" s="1">
        <f ca="1">IFERROR(__xludf.DUMMYFUNCTION("""COMPUTED_VALUE"""),5)</f>
        <v>5</v>
      </c>
      <c r="K498" s="1" t="str">
        <f ca="1">IFERROR(__xludf.DUMMYFUNCTION("""COMPUTED_VALUE"""),"Fully Remote with Options to travel as and when needed")</f>
        <v>Fully Remote with Options to travel as and when needed</v>
      </c>
      <c r="L498" s="1" t="str">
        <f ca="1">IFERROR(__xludf.DUMMYFUNCTION("""COMPUTED_VALUE"""),"Employer who appreciates learning and enables that environment")</f>
        <v>Employer who appreciates learning and enables that environment</v>
      </c>
      <c r="M498"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49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498" s="1" t="str">
        <f ca="1">IFERROR(__xludf.DUMMYFUNCTION("""COMPUTED_VALUE"""),"Manager who clearly describes what she/he needs")</f>
        <v>Manager who clearly describes what she/he needs</v>
      </c>
      <c r="P498" s="1" t="str">
        <f ca="1">IFERROR(__xludf.DUMMYFUNCTION("""COMPUTED_VALUE"""),"Work alone")</f>
        <v>Work alone</v>
      </c>
      <c r="Q498" s="1"/>
    </row>
    <row r="499" spans="1:17" ht="13.2" x14ac:dyDescent="0.25">
      <c r="A499" s="2">
        <f ca="1">IFERROR(__xludf.DUMMYFUNCTION("""COMPUTED_VALUE"""),45021.5412948842)</f>
        <v>45021.541294884199</v>
      </c>
      <c r="B499" s="1" t="str">
        <f ca="1">IFERROR(__xludf.DUMMYFUNCTION("""COMPUTED_VALUE"""),"India")</f>
        <v>India</v>
      </c>
      <c r="C499" s="1">
        <f ca="1">IFERROR(__xludf.DUMMYFUNCTION("""COMPUTED_VALUE"""),501023)</f>
        <v>501023</v>
      </c>
      <c r="D499" s="3" t="str">
        <f ca="1">IFERROR(__xludf.DUMMYFUNCTION("""COMPUTED_VALUE"""),"Female")</f>
        <v>Female</v>
      </c>
      <c r="E499" s="1" t="str">
        <f ca="1">IFERROR(__xludf.DUMMYFUNCTION("""COMPUTED_VALUE"""),"People who have changed the world for better")</f>
        <v>People who have changed the world for better</v>
      </c>
      <c r="F499" s="1" t="str">
        <f ca="1">IFERROR(__xludf.DUMMYFUNCTION("""COMPUTED_VALUE"""),"Yes, I will earn and do that")</f>
        <v>Yes, I will earn and do that</v>
      </c>
      <c r="G499" s="1" t="str">
        <f ca="1">IFERROR(__xludf.DUMMYFUNCTION("""COMPUTED_VALUE"""),"Will work for 3 years or more")</f>
        <v>Will work for 3 years or more</v>
      </c>
      <c r="H499" s="1" t="str">
        <f ca="1">IFERROR(__xludf.DUMMYFUNCTION("""COMPUTED_VALUE"""),"No")</f>
        <v>No</v>
      </c>
      <c r="I499" s="1" t="str">
        <f ca="1">IFERROR(__xludf.DUMMYFUNCTION("""COMPUTED_VALUE"""),"Will NOT work for them")</f>
        <v>Will NOT work for them</v>
      </c>
      <c r="J499" s="1">
        <f ca="1">IFERROR(__xludf.DUMMYFUNCTION("""COMPUTED_VALUE"""),7)</f>
        <v>7</v>
      </c>
      <c r="K499" s="1" t="str">
        <f ca="1">IFERROR(__xludf.DUMMYFUNCTION("""COMPUTED_VALUE"""),"Hybrid Working Environment with more than 15 days a month at office")</f>
        <v>Hybrid Working Environment with more than 15 days a month at office</v>
      </c>
      <c r="L499" s="1" t="str">
        <f ca="1">IFERROR(__xludf.DUMMYFUNCTION("""COMPUTED_VALUE"""),"Employer who pushes your limits by enabling an learning environment, and rewards you at the end")</f>
        <v>Employer who pushes your limits by enabling an learning environment, and rewards you at the end</v>
      </c>
      <c r="M49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99" s="1" t="str">
        <f ca="1">IFERROR(__xludf.DUMMYFUNCTION("""COMPUTED_VALUE"""),"Design and Creative strategy in any company, Design and Develop amazing software, Work in a BPO setup for some well known client, Become a content Creator in some platform")</f>
        <v>Design and Creative strategy in any company, Design and Develop amazing software, Work in a BPO setup for some well known client, Become a content Creator in some platform</v>
      </c>
      <c r="O499" s="1" t="str">
        <f ca="1">IFERROR(__xludf.DUMMYFUNCTION("""COMPUTED_VALUE"""),"Manager who sets goal and helps me achieve it")</f>
        <v>Manager who sets goal and helps me achieve it</v>
      </c>
      <c r="P499" s="1" t="str">
        <f ca="1">IFERROR(__xludf.DUMMYFUNCTION("""COMPUTED_VALUE"""),"Work with 5 to 6 people in my team")</f>
        <v>Work with 5 to 6 people in my team</v>
      </c>
      <c r="Q499" s="1"/>
    </row>
    <row r="500" spans="1:17" ht="13.2" x14ac:dyDescent="0.25">
      <c r="A500" s="2">
        <f ca="1">IFERROR(__xludf.DUMMYFUNCTION("""COMPUTED_VALUE"""),45021.5425700115)</f>
        <v>45021.542570011501</v>
      </c>
      <c r="B500" s="1" t="str">
        <f ca="1">IFERROR(__xludf.DUMMYFUNCTION("""COMPUTED_VALUE"""),"India")</f>
        <v>India</v>
      </c>
      <c r="C500" s="1">
        <f ca="1">IFERROR(__xludf.DUMMYFUNCTION("""COMPUTED_VALUE"""),400067)</f>
        <v>400067</v>
      </c>
      <c r="D500" s="3" t="str">
        <f ca="1">IFERROR(__xludf.DUMMYFUNCTION("""COMPUTED_VALUE"""),"Male")</f>
        <v>Male</v>
      </c>
      <c r="E500" s="1" t="str">
        <f ca="1">IFERROR(__xludf.DUMMYFUNCTION("""COMPUTED_VALUE"""),"Influencers who had successful careers")</f>
        <v>Influencers who had successful careers</v>
      </c>
      <c r="F500" s="1" t="str">
        <f ca="1">IFERROR(__xludf.DUMMYFUNCTION("""COMPUTED_VALUE"""),"No I would not be pursuing Higher Education outside of India")</f>
        <v>No I would not be pursuing Higher Education outside of India</v>
      </c>
      <c r="G500" s="1" t="str">
        <f ca="1">IFERROR(__xludf.DUMMYFUNCTION("""COMPUTED_VALUE"""),"This will be hard to do, but if it is the right company I would try")</f>
        <v>This will be hard to do, but if it is the right company I would try</v>
      </c>
      <c r="H500" s="1" t="str">
        <f ca="1">IFERROR(__xludf.DUMMYFUNCTION("""COMPUTED_VALUE"""),"No")</f>
        <v>No</v>
      </c>
      <c r="I500" s="1" t="str">
        <f ca="1">IFERROR(__xludf.DUMMYFUNCTION("""COMPUTED_VALUE"""),"Will NOT work for them")</f>
        <v>Will NOT work for them</v>
      </c>
      <c r="J500" s="1">
        <f ca="1">IFERROR(__xludf.DUMMYFUNCTION("""COMPUTED_VALUE"""),7)</f>
        <v>7</v>
      </c>
      <c r="K500" s="1" t="str">
        <f ca="1">IFERROR(__xludf.DUMMYFUNCTION("""COMPUTED_VALUE"""),"Hybrid Working Environment with more than 15 days a month at office")</f>
        <v>Hybrid Working Environment with more than 15 days a month at office</v>
      </c>
      <c r="L500" s="1" t="str">
        <f ca="1">IFERROR(__xludf.DUMMYFUNCTION("""COMPUTED_VALUE"""),"Employer who pushes your limits by enabling an learning environment, and rewards you at the end")</f>
        <v>Employer who pushes your limits by enabling an learning environment, and rewards you at the end</v>
      </c>
      <c r="M500" s="1" t="str">
        <f ca="1">IFERROR(__xludf.DUMMYFUNCTION("""COMPUTED_VALUE"""),"Learning by observing others, Self Purchased Course from External Platforms, Manager Teaching you")</f>
        <v>Learning by observing others, Self Purchased Course from External Platforms, Manager Teaching you</v>
      </c>
      <c r="N500" s="1" t="str">
        <f ca="1">IFERROR(__xludf.DUMMYFUNCTION("""COMPUTED_VALUE"""),"Teaching in any of the institutes/colleges/online or offline, Design and Develop amazing software, Work as a freelancer and do my thing my way, Entrepreneur or Start Up")</f>
        <v>Teaching in any of the institutes/colleges/online or offline, Design and Develop amazing software, Work as a freelancer and do my thing my way, Entrepreneur or Start Up</v>
      </c>
      <c r="O500" s="1" t="str">
        <f ca="1">IFERROR(__xludf.DUMMYFUNCTION("""COMPUTED_VALUE"""),"Manager who explains what is expected, sets a goal and helps achieve it")</f>
        <v>Manager who explains what is expected, sets a goal and helps achieve it</v>
      </c>
      <c r="P500" s="1" t="str">
        <f ca="1">IFERROR(__xludf.DUMMYFUNCTION("""COMPUTED_VALUE"""),"Work with 7 to 10 or more people in my team")</f>
        <v>Work with 7 to 10 or more people in my team</v>
      </c>
      <c r="Q500" s="1"/>
    </row>
    <row r="501" spans="1:17" ht="13.2" x14ac:dyDescent="0.25">
      <c r="A501" s="2">
        <f ca="1">IFERROR(__xludf.DUMMYFUNCTION("""COMPUTED_VALUE"""),45021.5449826736)</f>
        <v>45021.5449826736</v>
      </c>
      <c r="B501" s="1" t="str">
        <f ca="1">IFERROR(__xludf.DUMMYFUNCTION("""COMPUTED_VALUE"""),"India")</f>
        <v>India</v>
      </c>
      <c r="C501" s="1">
        <f ca="1">IFERROR(__xludf.DUMMYFUNCTION("""COMPUTED_VALUE"""),500090)</f>
        <v>500090</v>
      </c>
      <c r="D501" s="3" t="str">
        <f ca="1">IFERROR(__xludf.DUMMYFUNCTION("""COMPUTED_VALUE"""),"Female")</f>
        <v>Female</v>
      </c>
      <c r="E501" s="1" t="str">
        <f ca="1">IFERROR(__xludf.DUMMYFUNCTION("""COMPUTED_VALUE"""),"Influencers who had successful careers")</f>
        <v>Influencers who had successful careers</v>
      </c>
      <c r="F501" s="1" t="str">
        <f ca="1">IFERROR(__xludf.DUMMYFUNCTION("""COMPUTED_VALUE"""),"Yes, I will earn and do that")</f>
        <v>Yes, I will earn and do that</v>
      </c>
      <c r="G501" s="1" t="str">
        <f ca="1">IFERROR(__xludf.DUMMYFUNCTION("""COMPUTED_VALUE"""),"Will work for 3 years or more")</f>
        <v>Will work for 3 years or more</v>
      </c>
      <c r="H501" s="1" t="str">
        <f ca="1">IFERROR(__xludf.DUMMYFUNCTION("""COMPUTED_VALUE"""),"No")</f>
        <v>No</v>
      </c>
      <c r="I501" s="1" t="str">
        <f ca="1">IFERROR(__xludf.DUMMYFUNCTION("""COMPUTED_VALUE"""),"Will NOT work for them")</f>
        <v>Will NOT work for them</v>
      </c>
      <c r="J501" s="1">
        <f ca="1">IFERROR(__xludf.DUMMYFUNCTION("""COMPUTED_VALUE"""),4)</f>
        <v>4</v>
      </c>
      <c r="K501" s="1" t="str">
        <f ca="1">IFERROR(__xludf.DUMMYFUNCTION("""COMPUTED_VALUE"""),"Every Day Office Environment")</f>
        <v>Every Day Office Environment</v>
      </c>
      <c r="L501" s="1" t="str">
        <f ca="1">IFERROR(__xludf.DUMMYFUNCTION("""COMPUTED_VALUE"""),"Employer who pushes your limits by enabling an learning environment, and rewards you at the end")</f>
        <v>Employer who pushes your limits by enabling an learning environment, and rewards you at the end</v>
      </c>
      <c r="M501" s="1" t="str">
        <f ca="1">IFERROR(__xludf.DUMMYFUNCTION("""COMPUTED_VALUE"""),"Instructor or Expert Learning Programs, Learning by observing others, Manager Teaching you")</f>
        <v>Instructor or Expert Learning Programs, Learning by observing others, Manager Teaching you</v>
      </c>
      <c r="N501"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501" s="1" t="str">
        <f ca="1">IFERROR(__xludf.DUMMYFUNCTION("""COMPUTED_VALUE"""),"Manager who explains what is expected, sets a goal and helps achieve it")</f>
        <v>Manager who explains what is expected, sets a goal and helps achieve it</v>
      </c>
      <c r="P501" s="1" t="str">
        <f ca="1">IFERROR(__xludf.DUMMYFUNCTION("""COMPUTED_VALUE"""),"Work with more than 10 people in my team")</f>
        <v>Work with more than 10 people in my team</v>
      </c>
      <c r="Q501" s="1"/>
    </row>
    <row r="502" spans="1:17" ht="13.2" x14ac:dyDescent="0.25">
      <c r="A502" s="2">
        <f ca="1">IFERROR(__xludf.DUMMYFUNCTION("""COMPUTED_VALUE"""),45021.5467826273)</f>
        <v>45021.546782627302</v>
      </c>
      <c r="B502" s="1" t="str">
        <f ca="1">IFERROR(__xludf.DUMMYFUNCTION("""COMPUTED_VALUE"""),"India")</f>
        <v>India</v>
      </c>
      <c r="C502" s="1">
        <f ca="1">IFERROR(__xludf.DUMMYFUNCTION("""COMPUTED_VALUE"""),500048)</f>
        <v>500048</v>
      </c>
      <c r="D502" s="3" t="str">
        <f ca="1">IFERROR(__xludf.DUMMYFUNCTION("""COMPUTED_VALUE"""),"Female")</f>
        <v>Female</v>
      </c>
      <c r="E502" s="1" t="str">
        <f ca="1">IFERROR(__xludf.DUMMYFUNCTION("""COMPUTED_VALUE"""),"My Parents")</f>
        <v>My Parents</v>
      </c>
      <c r="F502" s="1" t="str">
        <f ca="1">IFERROR(__xludf.DUMMYFUNCTION("""COMPUTED_VALUE"""),"Yes, I will earn and do that")</f>
        <v>Yes, I will earn and do that</v>
      </c>
      <c r="G502" s="1" t="str">
        <f ca="1">IFERROR(__xludf.DUMMYFUNCTION("""COMPUTED_VALUE"""),"This will be hard to do, but if it is the right company I would try")</f>
        <v>This will be hard to do, but if it is the right company I would try</v>
      </c>
      <c r="H502" s="1" t="str">
        <f ca="1">IFERROR(__xludf.DUMMYFUNCTION("""COMPUTED_VALUE"""),"No")</f>
        <v>No</v>
      </c>
      <c r="I502" s="1" t="str">
        <f ca="1">IFERROR(__xludf.DUMMYFUNCTION("""COMPUTED_VALUE"""),"Will NOT work for them")</f>
        <v>Will NOT work for them</v>
      </c>
      <c r="J502" s="1">
        <f ca="1">IFERROR(__xludf.DUMMYFUNCTION("""COMPUTED_VALUE"""),7)</f>
        <v>7</v>
      </c>
      <c r="K502" s="1" t="str">
        <f ca="1">IFERROR(__xludf.DUMMYFUNCTION("""COMPUTED_VALUE"""),"Fully Remote with Options to travel as and when needed")</f>
        <v>Fully Remote with Options to travel as and when needed</v>
      </c>
      <c r="L502" s="1" t="str">
        <f ca="1">IFERROR(__xludf.DUMMYFUNCTION("""COMPUTED_VALUE"""),"Employer who pushes your limits by enabling an learning environment, and rewards you at the end")</f>
        <v>Employer who pushes your limits by enabling an learning environment, and rewards you at the end</v>
      </c>
      <c r="M502" s="1" t="str">
        <f ca="1">IFERROR(__xludf.DUMMYFUNCTION("""COMPUTED_VALUE"""),"Instructor or Expert Learning Programs, Learning by observing others, Manager Teaching you")</f>
        <v>Instructor or Expert Learning Programs, Learning by observing others, Manager Teaching you</v>
      </c>
      <c r="N502"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502" s="1" t="str">
        <f ca="1">IFERROR(__xludf.DUMMYFUNCTION("""COMPUTED_VALUE"""),"Manager who explains what is expected, sets a goal and helps achieve it")</f>
        <v>Manager who explains what is expected, sets a goal and helps achieve it</v>
      </c>
      <c r="P502" s="1" t="str">
        <f ca="1">IFERROR(__xludf.DUMMYFUNCTION("""COMPUTED_VALUE"""),"Work with 2 to 3 people in my team, Work with 5 to 6 people in my team")</f>
        <v>Work with 2 to 3 people in my team, Work with 5 to 6 people in my team</v>
      </c>
      <c r="Q502" s="1"/>
    </row>
    <row r="503" spans="1:17" ht="13.2" x14ac:dyDescent="0.25">
      <c r="A503" s="2">
        <f ca="1">IFERROR(__xludf.DUMMYFUNCTION("""COMPUTED_VALUE"""),45021.5468664814)</f>
        <v>45021.546866481403</v>
      </c>
      <c r="B503" s="1" t="str">
        <f ca="1">IFERROR(__xludf.DUMMYFUNCTION("""COMPUTED_VALUE"""),"India")</f>
        <v>India</v>
      </c>
      <c r="C503" s="1">
        <f ca="1">IFERROR(__xludf.DUMMYFUNCTION("""COMPUTED_VALUE"""),110077)</f>
        <v>110077</v>
      </c>
      <c r="D503" s="3" t="str">
        <f ca="1">IFERROR(__xludf.DUMMYFUNCTION("""COMPUTED_VALUE"""),"Female")</f>
        <v>Female</v>
      </c>
      <c r="E503" s="1" t="str">
        <f ca="1">IFERROR(__xludf.DUMMYFUNCTION("""COMPUTED_VALUE"""),"My Parents")</f>
        <v>My Parents</v>
      </c>
      <c r="F503" s="1" t="str">
        <f ca="1">IFERROR(__xludf.DUMMYFUNCTION("""COMPUTED_VALUE"""),"No I would not be pursuing Higher Education outside of India")</f>
        <v>No I would not be pursuing Higher Education outside of India</v>
      </c>
      <c r="G503" s="1" t="str">
        <f ca="1">IFERROR(__xludf.DUMMYFUNCTION("""COMPUTED_VALUE"""),"Will work for 3 years or more")</f>
        <v>Will work for 3 years or more</v>
      </c>
      <c r="H503" s="1" t="str">
        <f ca="1">IFERROR(__xludf.DUMMYFUNCTION("""COMPUTED_VALUE"""),"Yes")</f>
        <v>Yes</v>
      </c>
      <c r="I503" s="1" t="str">
        <f ca="1">IFERROR(__xludf.DUMMYFUNCTION("""COMPUTED_VALUE"""),"Will NOT work for them")</f>
        <v>Will NOT work for them</v>
      </c>
      <c r="J503" s="1">
        <f ca="1">IFERROR(__xludf.DUMMYFUNCTION("""COMPUTED_VALUE"""),5)</f>
        <v>5</v>
      </c>
      <c r="K503" s="1" t="str">
        <f ca="1">IFERROR(__xludf.DUMMYFUNCTION("""COMPUTED_VALUE"""),"Every Day Office Environment")</f>
        <v>Every Day Office Environment</v>
      </c>
      <c r="L503" s="1" t="str">
        <f ca="1">IFERROR(__xludf.DUMMYFUNCTION("""COMPUTED_VALUE"""),"Employer who appreciates learning and enables that environment")</f>
        <v>Employer who appreciates learning and enables that environment</v>
      </c>
      <c r="M50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0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03" s="1" t="str">
        <f ca="1">IFERROR(__xludf.DUMMYFUNCTION("""COMPUTED_VALUE"""),"Manager who sets goal and helps me achieve it")</f>
        <v>Manager who sets goal and helps me achieve it</v>
      </c>
      <c r="P503" s="1" t="str">
        <f ca="1">IFERROR(__xludf.DUMMYFUNCTION("""COMPUTED_VALUE"""),"Work with 2 to 3 people in my team")</f>
        <v>Work with 2 to 3 people in my team</v>
      </c>
      <c r="Q503" s="1"/>
    </row>
    <row r="504" spans="1:17" ht="13.2" x14ac:dyDescent="0.25">
      <c r="A504" s="2">
        <f ca="1">IFERROR(__xludf.DUMMYFUNCTION("""COMPUTED_VALUE"""),45021.5502395833)</f>
        <v>45021.550239583303</v>
      </c>
      <c r="B504" s="1" t="str">
        <f ca="1">IFERROR(__xludf.DUMMYFUNCTION("""COMPUTED_VALUE"""),"India")</f>
        <v>India</v>
      </c>
      <c r="C504" s="1">
        <f ca="1">IFERROR(__xludf.DUMMYFUNCTION("""COMPUTED_VALUE"""),209305)</f>
        <v>209305</v>
      </c>
      <c r="D504" s="3" t="str">
        <f ca="1">IFERROR(__xludf.DUMMYFUNCTION("""COMPUTED_VALUE"""),"Male")</f>
        <v>Male</v>
      </c>
      <c r="E504" s="1" t="str">
        <f ca="1">IFERROR(__xludf.DUMMYFUNCTION("""COMPUTED_VALUE"""),"Social Media like LinkedIn")</f>
        <v>Social Media like LinkedIn</v>
      </c>
      <c r="F504" s="1" t="str">
        <f ca="1">IFERROR(__xludf.DUMMYFUNCTION("""COMPUTED_VALUE"""),"Yes, I will earn and do that")</f>
        <v>Yes, I will earn and do that</v>
      </c>
      <c r="G504" s="1" t="str">
        <f ca="1">IFERROR(__xludf.DUMMYFUNCTION("""COMPUTED_VALUE"""),"This will be hard to do, but if it is the right company I would try")</f>
        <v>This will be hard to do, but if it is the right company I would try</v>
      </c>
      <c r="H504" s="1" t="str">
        <f ca="1">IFERROR(__xludf.DUMMYFUNCTION("""COMPUTED_VALUE"""),"Yes")</f>
        <v>Yes</v>
      </c>
      <c r="I504" s="1" t="str">
        <f ca="1">IFERROR(__xludf.DUMMYFUNCTION("""COMPUTED_VALUE"""),"Will work for them")</f>
        <v>Will work for them</v>
      </c>
      <c r="J504" s="1">
        <f ca="1">IFERROR(__xludf.DUMMYFUNCTION("""COMPUTED_VALUE"""),9)</f>
        <v>9</v>
      </c>
      <c r="K504" s="1" t="str">
        <f ca="1">IFERROR(__xludf.DUMMYFUNCTION("""COMPUTED_VALUE"""),"Fully Remote with Options to travel as and when needed")</f>
        <v>Fully Remote with Options to travel as and when needed</v>
      </c>
      <c r="L504" s="1" t="str">
        <f ca="1">IFERROR(__xludf.DUMMYFUNCTION("""COMPUTED_VALUE"""),"Employer who pushes your limits by enabling an learning environment, and rewards you at the end")</f>
        <v>Employer who pushes your limits by enabling an learning environment, and rewards you at the end</v>
      </c>
      <c r="M504"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04" s="1" t="str">
        <f ca="1">IFERROR(__xludf.DUMMYFUNCTION("""COMPUTED_VALUE"""),"Build and develop a Team, Design and Develop amazing software, Look deeply into Data and generate insights, Work as a freelancer and do my thing my way")</f>
        <v>Build and develop a Team, Design and Develop amazing software, Look deeply into Data and generate insights, Work as a freelancer and do my thing my way</v>
      </c>
      <c r="O504" s="1" t="str">
        <f ca="1">IFERROR(__xludf.DUMMYFUNCTION("""COMPUTED_VALUE"""),"Manager who sets targets and expects me to achieve it")</f>
        <v>Manager who sets targets and expects me to achieve it</v>
      </c>
      <c r="P50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504" s="1"/>
    </row>
    <row r="505" spans="1:17" ht="13.2" x14ac:dyDescent="0.25">
      <c r="A505" s="2">
        <f ca="1">IFERROR(__xludf.DUMMYFUNCTION("""COMPUTED_VALUE"""),45021.5505609953)</f>
        <v>45021.550560995303</v>
      </c>
      <c r="B505" s="1" t="str">
        <f ca="1">IFERROR(__xludf.DUMMYFUNCTION("""COMPUTED_VALUE"""),"India")</f>
        <v>India</v>
      </c>
      <c r="C505" s="1">
        <f ca="1">IFERROR(__xludf.DUMMYFUNCTION("""COMPUTED_VALUE"""),400067)</f>
        <v>400067</v>
      </c>
      <c r="D505" s="3" t="str">
        <f ca="1">IFERROR(__xludf.DUMMYFUNCTION("""COMPUTED_VALUE"""),"Male")</f>
        <v>Male</v>
      </c>
      <c r="E505" s="1" t="str">
        <f ca="1">IFERROR(__xludf.DUMMYFUNCTION("""COMPUTED_VALUE"""),"People who have changed the world for better")</f>
        <v>People who have changed the world for better</v>
      </c>
      <c r="F505" s="1" t="str">
        <f ca="1">IFERROR(__xludf.DUMMYFUNCTION("""COMPUTED_VALUE"""),"Yes, I will earn and do that")</f>
        <v>Yes, I will earn and do that</v>
      </c>
      <c r="G505" s="1" t="str">
        <f ca="1">IFERROR(__xludf.DUMMYFUNCTION("""COMPUTED_VALUE"""),"This will be hard to do, but if it is the right company I would try")</f>
        <v>This will be hard to do, but if it is the right company I would try</v>
      </c>
      <c r="H505" s="1" t="str">
        <f ca="1">IFERROR(__xludf.DUMMYFUNCTION("""COMPUTED_VALUE"""),"No")</f>
        <v>No</v>
      </c>
      <c r="I505" s="1" t="str">
        <f ca="1">IFERROR(__xludf.DUMMYFUNCTION("""COMPUTED_VALUE"""),"Will NOT work for them")</f>
        <v>Will NOT work for them</v>
      </c>
      <c r="J505" s="1">
        <f ca="1">IFERROR(__xludf.DUMMYFUNCTION("""COMPUTED_VALUE"""),3)</f>
        <v>3</v>
      </c>
      <c r="K505" s="1" t="str">
        <f ca="1">IFERROR(__xludf.DUMMYFUNCTION("""COMPUTED_VALUE"""),"Fully Remote with Options to travel as and when needed")</f>
        <v>Fully Remote with Options to travel as and when needed</v>
      </c>
      <c r="L505" s="1" t="str">
        <f ca="1">IFERROR(__xludf.DUMMYFUNCTION("""COMPUTED_VALUE"""),"Employer who rewards learning and enables that environment")</f>
        <v>Employer who rewards learning and enables that environment</v>
      </c>
      <c r="M50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0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505" s="1" t="str">
        <f ca="1">IFERROR(__xludf.DUMMYFUNCTION("""COMPUTED_VALUE"""),"Manager who sets goal and helps me achieve it")</f>
        <v>Manager who sets goal and helps me achieve it</v>
      </c>
      <c r="P505" s="1" t="str">
        <f ca="1">IFERROR(__xludf.DUMMYFUNCTION("""COMPUTED_VALUE"""),"Work with 5 to 6 people in my team")</f>
        <v>Work with 5 to 6 people in my team</v>
      </c>
      <c r="Q505" s="1"/>
    </row>
    <row r="506" spans="1:17" ht="13.2" x14ac:dyDescent="0.25">
      <c r="A506" s="2">
        <f ca="1">IFERROR(__xludf.DUMMYFUNCTION("""COMPUTED_VALUE"""),45021.5517604398)</f>
        <v>45021.551760439797</v>
      </c>
      <c r="B506" s="1" t="str">
        <f ca="1">IFERROR(__xludf.DUMMYFUNCTION("""COMPUTED_VALUE"""),"India")</f>
        <v>India</v>
      </c>
      <c r="C506" s="1">
        <f ca="1">IFERROR(__xludf.DUMMYFUNCTION("""COMPUTED_VALUE"""),249407)</f>
        <v>249407</v>
      </c>
      <c r="D506" s="3" t="str">
        <f ca="1">IFERROR(__xludf.DUMMYFUNCTION("""COMPUTED_VALUE"""),"Male")</f>
        <v>Male</v>
      </c>
      <c r="E506" s="1" t="str">
        <f ca="1">IFERROR(__xludf.DUMMYFUNCTION("""COMPUTED_VALUE"""),"People who have changed the world for better")</f>
        <v>People who have changed the world for better</v>
      </c>
      <c r="F506" s="1" t="str">
        <f ca="1">IFERROR(__xludf.DUMMYFUNCTION("""COMPUTED_VALUE"""),"No, But if someone could bare the cost I will")</f>
        <v>No, But if someone could bare the cost I will</v>
      </c>
      <c r="G506" s="1" t="str">
        <f ca="1">IFERROR(__xludf.DUMMYFUNCTION("""COMPUTED_VALUE"""),"This will be hard to do, but if it is the right company I would try")</f>
        <v>This will be hard to do, but if it is the right company I would try</v>
      </c>
      <c r="H506" s="1" t="str">
        <f ca="1">IFERROR(__xludf.DUMMYFUNCTION("""COMPUTED_VALUE"""),"No")</f>
        <v>No</v>
      </c>
      <c r="I506" s="1" t="str">
        <f ca="1">IFERROR(__xludf.DUMMYFUNCTION("""COMPUTED_VALUE"""),"Will NOT work for them")</f>
        <v>Will NOT work for them</v>
      </c>
      <c r="J506" s="1">
        <f ca="1">IFERROR(__xludf.DUMMYFUNCTION("""COMPUTED_VALUE"""),1)</f>
        <v>1</v>
      </c>
      <c r="K506" s="1" t="str">
        <f ca="1">IFERROR(__xludf.DUMMYFUNCTION("""COMPUTED_VALUE"""),"Fully Remote with Options to travel as and when needed")</f>
        <v>Fully Remote with Options to travel as and when needed</v>
      </c>
      <c r="L506" s="1" t="str">
        <f ca="1">IFERROR(__xludf.DUMMYFUNCTION("""COMPUTED_VALUE"""),"Employer who pushes your limits by enabling an learning environment, and rewards you at the end")</f>
        <v>Employer who pushes your limits by enabling an learning environment, and rewards you at the end</v>
      </c>
      <c r="M50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06" s="1" t="str">
        <f ca="1">IFERROR(__xludf.DUMMYFUNCTION("""COMPUTED_VALUE"""),"Design and Creative strategy in any company, Teaching in any of the institutes/colleges/online or offline, Manage and drive End-to-End Projects or Products, Entrepreneur or Start Up")</f>
        <v>Design and Creative strategy in any company, Teaching in any of the institutes/colleges/online or offline, Manage and drive End-to-End Projects or Products, Entrepreneur or Start Up</v>
      </c>
      <c r="O506" s="1" t="str">
        <f ca="1">IFERROR(__xludf.DUMMYFUNCTION("""COMPUTED_VALUE"""),"Manager who sets targets and expects me to achieve it")</f>
        <v>Manager who sets targets and expects me to achieve it</v>
      </c>
      <c r="P506" s="1" t="str">
        <f ca="1">IFERROR(__xludf.DUMMYFUNCTION("""COMPUTED_VALUE"""),"Work with more than 10 people in my team")</f>
        <v>Work with more than 10 people in my team</v>
      </c>
      <c r="Q506" s="1"/>
    </row>
    <row r="507" spans="1:17" ht="13.2" x14ac:dyDescent="0.25">
      <c r="A507" s="2">
        <f ca="1">IFERROR(__xludf.DUMMYFUNCTION("""COMPUTED_VALUE"""),45021.5536518981)</f>
        <v>45021.553651898103</v>
      </c>
      <c r="B507" s="1" t="str">
        <f ca="1">IFERROR(__xludf.DUMMYFUNCTION("""COMPUTED_VALUE"""),"India")</f>
        <v>India</v>
      </c>
      <c r="C507" s="1">
        <f ca="1">IFERROR(__xludf.DUMMYFUNCTION("""COMPUTED_VALUE"""),500060)</f>
        <v>500060</v>
      </c>
      <c r="D507" s="3" t="str">
        <f ca="1">IFERROR(__xludf.DUMMYFUNCTION("""COMPUTED_VALUE"""),"Male")</f>
        <v>Male</v>
      </c>
      <c r="E507" s="1" t="str">
        <f ca="1">IFERROR(__xludf.DUMMYFUNCTION("""COMPUTED_VALUE"""),"Influencers who had successful careers")</f>
        <v>Influencers who had successful careers</v>
      </c>
      <c r="F507" s="1" t="str">
        <f ca="1">IFERROR(__xludf.DUMMYFUNCTION("""COMPUTED_VALUE"""),"Yes, I will earn and do that")</f>
        <v>Yes, I will earn and do that</v>
      </c>
      <c r="G507" s="1" t="str">
        <f ca="1">IFERROR(__xludf.DUMMYFUNCTION("""COMPUTED_VALUE"""),"Will work for 3 years or more")</f>
        <v>Will work for 3 years or more</v>
      </c>
      <c r="H507" s="1" t="str">
        <f ca="1">IFERROR(__xludf.DUMMYFUNCTION("""COMPUTED_VALUE"""),"No")</f>
        <v>No</v>
      </c>
      <c r="I507" s="1" t="str">
        <f ca="1">IFERROR(__xludf.DUMMYFUNCTION("""COMPUTED_VALUE"""),"Will NOT work for them")</f>
        <v>Will NOT work for them</v>
      </c>
      <c r="J507" s="1">
        <f ca="1">IFERROR(__xludf.DUMMYFUNCTION("""COMPUTED_VALUE"""),5)</f>
        <v>5</v>
      </c>
      <c r="K507" s="1" t="str">
        <f ca="1">IFERROR(__xludf.DUMMYFUNCTION("""COMPUTED_VALUE"""),"Hybrid Working Environment with less than 3 days a month at office")</f>
        <v>Hybrid Working Environment with less than 3 days a month at office</v>
      </c>
      <c r="L507" s="1" t="str">
        <f ca="1">IFERROR(__xludf.DUMMYFUNCTION("""COMPUTED_VALUE"""),"Employer who pushes your limits by enabling an learning environment, and rewards you at the end")</f>
        <v>Employer who pushes your limits by enabling an learning environment, and rewards you at the end</v>
      </c>
      <c r="M5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07"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507" s="1" t="str">
        <f ca="1">IFERROR(__xludf.DUMMYFUNCTION("""COMPUTED_VALUE"""),"Manager who explains what is expected, sets a goal and helps achieve it")</f>
        <v>Manager who explains what is expected, sets a goal and helps achieve it</v>
      </c>
      <c r="P50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07" s="1"/>
    </row>
    <row r="508" spans="1:17" ht="13.2" x14ac:dyDescent="0.25">
      <c r="A508" s="2">
        <f ca="1">IFERROR(__xludf.DUMMYFUNCTION("""COMPUTED_VALUE"""),45021.5548445486)</f>
        <v>45021.554844548598</v>
      </c>
      <c r="B508" s="1" t="str">
        <f ca="1">IFERROR(__xludf.DUMMYFUNCTION("""COMPUTED_VALUE"""),"India")</f>
        <v>India</v>
      </c>
      <c r="C508" s="1">
        <f ca="1">IFERROR(__xludf.DUMMYFUNCTION("""COMPUTED_VALUE"""),500019)</f>
        <v>500019</v>
      </c>
      <c r="D508" s="3" t="str">
        <f ca="1">IFERROR(__xludf.DUMMYFUNCTION("""COMPUTED_VALUE"""),"Female")</f>
        <v>Female</v>
      </c>
      <c r="E508" s="1" t="str">
        <f ca="1">IFERROR(__xludf.DUMMYFUNCTION("""COMPUTED_VALUE"""),"My Parents")</f>
        <v>My Parents</v>
      </c>
      <c r="F508" s="1" t="str">
        <f ca="1">IFERROR(__xludf.DUMMYFUNCTION("""COMPUTED_VALUE"""),"Yes, I will earn and do that")</f>
        <v>Yes, I will earn and do that</v>
      </c>
      <c r="G508" s="1" t="str">
        <f ca="1">IFERROR(__xludf.DUMMYFUNCTION("""COMPUTED_VALUE"""),"This will be hard to do, but if it is the right company I would try")</f>
        <v>This will be hard to do, but if it is the right company I would try</v>
      </c>
      <c r="H508" s="1" t="str">
        <f ca="1">IFERROR(__xludf.DUMMYFUNCTION("""COMPUTED_VALUE"""),"No")</f>
        <v>No</v>
      </c>
      <c r="I508" s="1" t="str">
        <f ca="1">IFERROR(__xludf.DUMMYFUNCTION("""COMPUTED_VALUE"""),"Will NOT work for them")</f>
        <v>Will NOT work for them</v>
      </c>
      <c r="J508" s="1">
        <f ca="1">IFERROR(__xludf.DUMMYFUNCTION("""COMPUTED_VALUE"""),5)</f>
        <v>5</v>
      </c>
      <c r="K508" s="1" t="str">
        <f ca="1">IFERROR(__xludf.DUMMYFUNCTION("""COMPUTED_VALUE"""),"Hybrid Working Environment with more than 15 days a month at office")</f>
        <v>Hybrid Working Environment with more than 15 days a month at office</v>
      </c>
      <c r="L508" s="1" t="str">
        <f ca="1">IFERROR(__xludf.DUMMYFUNCTION("""COMPUTED_VALUE"""),"Employer who appreciates learning and enables that environment")</f>
        <v>Employer who appreciates learning and enables that environment</v>
      </c>
      <c r="M50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08"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508" s="1" t="str">
        <f ca="1">IFERROR(__xludf.DUMMYFUNCTION("""COMPUTED_VALUE"""),"Manager who explains what is expected, sets a goal and helps achieve it")</f>
        <v>Manager who explains what is expected, sets a goal and helps achieve it</v>
      </c>
      <c r="P508" s="1" t="str">
        <f ca="1">IFERROR(__xludf.DUMMYFUNCTION("""COMPUTED_VALUE"""),"Work alone, Work with 2 to 3 people in my team, Work with 5 to 6 people in my team")</f>
        <v>Work alone, Work with 2 to 3 people in my team, Work with 5 to 6 people in my team</v>
      </c>
      <c r="Q508" s="1"/>
    </row>
    <row r="509" spans="1:17" ht="13.2" x14ac:dyDescent="0.25">
      <c r="A509" s="2">
        <f ca="1">IFERROR(__xludf.DUMMYFUNCTION("""COMPUTED_VALUE"""),45021.5572697453)</f>
        <v>45021.557269745303</v>
      </c>
      <c r="B509" s="1" t="str">
        <f ca="1">IFERROR(__xludf.DUMMYFUNCTION("""COMPUTED_VALUE"""),"India")</f>
        <v>India</v>
      </c>
      <c r="C509" s="1">
        <f ca="1">IFERROR(__xludf.DUMMYFUNCTION("""COMPUTED_VALUE"""),509375)</f>
        <v>509375</v>
      </c>
      <c r="D509" s="3" t="str">
        <f ca="1">IFERROR(__xludf.DUMMYFUNCTION("""COMPUTED_VALUE"""),"Female")</f>
        <v>Female</v>
      </c>
      <c r="E509" s="1" t="str">
        <f ca="1">IFERROR(__xludf.DUMMYFUNCTION("""COMPUTED_VALUE"""),"Influencers who had successful careers")</f>
        <v>Influencers who had successful careers</v>
      </c>
      <c r="F509" s="1" t="str">
        <f ca="1">IFERROR(__xludf.DUMMYFUNCTION("""COMPUTED_VALUE"""),"No I would not be pursuing Higher Education outside of India")</f>
        <v>No I would not be pursuing Higher Education outside of India</v>
      </c>
      <c r="G509" s="1" t="str">
        <f ca="1">IFERROR(__xludf.DUMMYFUNCTION("""COMPUTED_VALUE"""),"This will be hard to do, but if it is the right company I would try")</f>
        <v>This will be hard to do, but if it is the right company I would try</v>
      </c>
      <c r="H509" s="1" t="str">
        <f ca="1">IFERROR(__xludf.DUMMYFUNCTION("""COMPUTED_VALUE"""),"Yes")</f>
        <v>Yes</v>
      </c>
      <c r="I509" s="1" t="str">
        <f ca="1">IFERROR(__xludf.DUMMYFUNCTION("""COMPUTED_VALUE"""),"Will NOT work for them")</f>
        <v>Will NOT work for them</v>
      </c>
      <c r="J509" s="1">
        <f ca="1">IFERROR(__xludf.DUMMYFUNCTION("""COMPUTED_VALUE"""),6)</f>
        <v>6</v>
      </c>
      <c r="K509" s="1" t="str">
        <f ca="1">IFERROR(__xludf.DUMMYFUNCTION("""COMPUTED_VALUE"""),"Fully Remote with Options to travel as and when needed")</f>
        <v>Fully Remote with Options to travel as and when needed</v>
      </c>
      <c r="L509" s="1" t="str">
        <f ca="1">IFERROR(__xludf.DUMMYFUNCTION("""COMPUTED_VALUE"""),"Employer who appreciates learning and enables that environment")</f>
        <v>Employer who appreciates learning and enables that environment</v>
      </c>
      <c r="M50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09"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09" s="1" t="str">
        <f ca="1">IFERROR(__xludf.DUMMYFUNCTION("""COMPUTED_VALUE"""),"Manager who explains what is expected, sets a goal and helps achieve it")</f>
        <v>Manager who explains what is expected, sets a goal and helps achieve it</v>
      </c>
      <c r="P509" s="1" t="str">
        <f ca="1">IFERROR(__xludf.DUMMYFUNCTION("""COMPUTED_VALUE"""),"Work with 5 to 6 people in my team")</f>
        <v>Work with 5 to 6 people in my team</v>
      </c>
      <c r="Q509" s="1"/>
    </row>
    <row r="510" spans="1:17" ht="13.2" x14ac:dyDescent="0.25">
      <c r="A510" s="2">
        <f ca="1">IFERROR(__xludf.DUMMYFUNCTION("""COMPUTED_VALUE"""),45021.5612691087)</f>
        <v>45021.561269108701</v>
      </c>
      <c r="B510" s="1" t="str">
        <f ca="1">IFERROR(__xludf.DUMMYFUNCTION("""COMPUTED_VALUE"""),"India")</f>
        <v>India</v>
      </c>
      <c r="C510" s="1">
        <f ca="1">IFERROR(__xludf.DUMMYFUNCTION("""COMPUTED_VALUE"""),641659)</f>
        <v>641659</v>
      </c>
      <c r="D510" s="3" t="str">
        <f ca="1">IFERROR(__xludf.DUMMYFUNCTION("""COMPUTED_VALUE"""),"Male")</f>
        <v>Male</v>
      </c>
      <c r="E510" s="1" t="str">
        <f ca="1">IFERROR(__xludf.DUMMYFUNCTION("""COMPUTED_VALUE"""),"Social Media like LinkedIn")</f>
        <v>Social Media like LinkedIn</v>
      </c>
      <c r="F510" s="1" t="str">
        <f ca="1">IFERROR(__xludf.DUMMYFUNCTION("""COMPUTED_VALUE"""),"No I would not be pursuing Higher Education outside of India")</f>
        <v>No I would not be pursuing Higher Education outside of India</v>
      </c>
      <c r="G510" s="1" t="str">
        <f ca="1">IFERROR(__xludf.DUMMYFUNCTION("""COMPUTED_VALUE"""),"This will be hard to do, but if it is the right company I would try")</f>
        <v>This will be hard to do, but if it is the right company I would try</v>
      </c>
      <c r="H510" s="1" t="str">
        <f ca="1">IFERROR(__xludf.DUMMYFUNCTION("""COMPUTED_VALUE"""),"No")</f>
        <v>No</v>
      </c>
      <c r="I510" s="1" t="str">
        <f ca="1">IFERROR(__xludf.DUMMYFUNCTION("""COMPUTED_VALUE"""),"Will NOT work for them")</f>
        <v>Will NOT work for them</v>
      </c>
      <c r="J510" s="1">
        <f ca="1">IFERROR(__xludf.DUMMYFUNCTION("""COMPUTED_VALUE"""),7)</f>
        <v>7</v>
      </c>
      <c r="K510" s="1" t="str">
        <f ca="1">IFERROR(__xludf.DUMMYFUNCTION("""COMPUTED_VALUE"""),"Fully Remote with Options to travel as and when needed")</f>
        <v>Fully Remote with Options to travel as and when needed</v>
      </c>
      <c r="L510" s="1" t="str">
        <f ca="1">IFERROR(__xludf.DUMMYFUNCTION("""COMPUTED_VALUE"""),"Employer who pushes your limits by enabling an learning environment, and rewards you at the end")</f>
        <v>Employer who pushes your limits by enabling an learning environment, and rewards you at the end</v>
      </c>
      <c r="M51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10"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510" s="1" t="str">
        <f ca="1">IFERROR(__xludf.DUMMYFUNCTION("""COMPUTED_VALUE"""),"Manager who explains what is expected, sets a goal and helps achieve it")</f>
        <v>Manager who explains what is expected, sets a goal and helps achieve it</v>
      </c>
      <c r="P510" s="1" t="str">
        <f ca="1">IFERROR(__xludf.DUMMYFUNCTION("""COMPUTED_VALUE"""),"Work with 5 to 6 people in my team, Work with 7 to 10 or more people in my team")</f>
        <v>Work with 5 to 6 people in my team, Work with 7 to 10 or more people in my team</v>
      </c>
      <c r="Q510" s="1"/>
    </row>
    <row r="511" spans="1:17" ht="13.2" x14ac:dyDescent="0.25">
      <c r="A511" s="2">
        <f ca="1">IFERROR(__xludf.DUMMYFUNCTION("""COMPUTED_VALUE"""),45021.5650900115)</f>
        <v>45021.5650900115</v>
      </c>
      <c r="B511" s="1" t="str">
        <f ca="1">IFERROR(__xludf.DUMMYFUNCTION("""COMPUTED_VALUE"""),"India")</f>
        <v>India</v>
      </c>
      <c r="C511" s="1">
        <f ca="1">IFERROR(__xludf.DUMMYFUNCTION("""COMPUTED_VALUE"""),50006)</f>
        <v>50006</v>
      </c>
      <c r="D511" s="3" t="str">
        <f ca="1">IFERROR(__xludf.DUMMYFUNCTION("""COMPUTED_VALUE"""),"Male")</f>
        <v>Male</v>
      </c>
      <c r="E511" s="1" t="str">
        <f ca="1">IFERROR(__xludf.DUMMYFUNCTION("""COMPUTED_VALUE"""),"Social Media like LinkedIn")</f>
        <v>Social Media like LinkedIn</v>
      </c>
      <c r="F511" s="1" t="str">
        <f ca="1">IFERROR(__xludf.DUMMYFUNCTION("""COMPUTED_VALUE"""),"No, But if someone could bare the cost I will")</f>
        <v>No, But if someone could bare the cost I will</v>
      </c>
      <c r="G511" s="1" t="str">
        <f ca="1">IFERROR(__xludf.DUMMYFUNCTION("""COMPUTED_VALUE"""),"Will work for 3 years or more")</f>
        <v>Will work for 3 years or more</v>
      </c>
      <c r="H511" s="1" t="str">
        <f ca="1">IFERROR(__xludf.DUMMYFUNCTION("""COMPUTED_VALUE"""),"Yes")</f>
        <v>Yes</v>
      </c>
      <c r="I511" s="1" t="str">
        <f ca="1">IFERROR(__xludf.DUMMYFUNCTION("""COMPUTED_VALUE"""),"Will work for them")</f>
        <v>Will work for them</v>
      </c>
      <c r="J511" s="1">
        <f ca="1">IFERROR(__xludf.DUMMYFUNCTION("""COMPUTED_VALUE"""),4)</f>
        <v>4</v>
      </c>
      <c r="K511" s="1" t="str">
        <f ca="1">IFERROR(__xludf.DUMMYFUNCTION("""COMPUTED_VALUE"""),"Hybrid Working Environment with less than 3 days a month at office")</f>
        <v>Hybrid Working Environment with less than 3 days a month at office</v>
      </c>
      <c r="L511" s="1" t="str">
        <f ca="1">IFERROR(__xludf.DUMMYFUNCTION("""COMPUTED_VALUE"""),"Employer who rewards learning and enables that environment")</f>
        <v>Employer who rewards learning and enables that environment</v>
      </c>
      <c r="M511" s="1" t="str">
        <f ca="1">IFERROR(__xludf.DUMMYFUNCTION("""COMPUTED_VALUE"""),"Self Paced Learning Portals of the Company, Instructor or Expert Learning Programs, Manager Teaching you")</f>
        <v>Self Paced Learning Portals of the Company, Instructor or Expert Learning Programs, Manager Teaching you</v>
      </c>
      <c r="N51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511" s="1" t="str">
        <f ca="1">IFERROR(__xludf.DUMMYFUNCTION("""COMPUTED_VALUE"""),"Manager who sets targets and expects me to achieve it")</f>
        <v>Manager who sets targets and expects me to achieve it</v>
      </c>
      <c r="P511" s="1" t="str">
        <f ca="1">IFERROR(__xludf.DUMMYFUNCTION("""COMPUTED_VALUE"""),"Work with 5 to 6 people in my team")</f>
        <v>Work with 5 to 6 people in my team</v>
      </c>
      <c r="Q511" s="1"/>
    </row>
    <row r="512" spans="1:17" ht="13.2" x14ac:dyDescent="0.25">
      <c r="A512" s="2">
        <f ca="1">IFERROR(__xludf.DUMMYFUNCTION("""COMPUTED_VALUE"""),45021.5662572338)</f>
        <v>45021.566257233797</v>
      </c>
      <c r="B512" s="1" t="str">
        <f ca="1">IFERROR(__xludf.DUMMYFUNCTION("""COMPUTED_VALUE"""),"India")</f>
        <v>India</v>
      </c>
      <c r="C512" s="1">
        <f ca="1">IFERROR(__xludf.DUMMYFUNCTION("""COMPUTED_VALUE"""),110059)</f>
        <v>110059</v>
      </c>
      <c r="D512" s="3" t="str">
        <f ca="1">IFERROR(__xludf.DUMMYFUNCTION("""COMPUTED_VALUE"""),"Female")</f>
        <v>Female</v>
      </c>
      <c r="E512" s="1" t="str">
        <f ca="1">IFERROR(__xludf.DUMMYFUNCTION("""COMPUTED_VALUE"""),"My Parents")</f>
        <v>My Parents</v>
      </c>
      <c r="F512" s="1" t="str">
        <f ca="1">IFERROR(__xludf.DUMMYFUNCTION("""COMPUTED_VALUE"""),"No I would not be pursuing Higher Education outside of India")</f>
        <v>No I would not be pursuing Higher Education outside of India</v>
      </c>
      <c r="G512" s="1" t="str">
        <f ca="1">IFERROR(__xludf.DUMMYFUNCTION("""COMPUTED_VALUE"""),"Will work for 3 years or more")</f>
        <v>Will work for 3 years or more</v>
      </c>
      <c r="H512" s="1" t="str">
        <f ca="1">IFERROR(__xludf.DUMMYFUNCTION("""COMPUTED_VALUE"""),"Yes")</f>
        <v>Yes</v>
      </c>
      <c r="I512" s="1" t="str">
        <f ca="1">IFERROR(__xludf.DUMMYFUNCTION("""COMPUTED_VALUE"""),"Will NOT work for them")</f>
        <v>Will NOT work for them</v>
      </c>
      <c r="J512" s="1">
        <f ca="1">IFERROR(__xludf.DUMMYFUNCTION("""COMPUTED_VALUE"""),6)</f>
        <v>6</v>
      </c>
      <c r="K512" s="1" t="str">
        <f ca="1">IFERROR(__xludf.DUMMYFUNCTION("""COMPUTED_VALUE"""),"Fully Remote with Options to travel as and when needed")</f>
        <v>Fully Remote with Options to travel as and when needed</v>
      </c>
      <c r="L512" s="1" t="str">
        <f ca="1">IFERROR(__xludf.DUMMYFUNCTION("""COMPUTED_VALUE"""),"Employer who pushes your limits by enabling an learning environment, and rewards you at the end")</f>
        <v>Employer who pushes your limits by enabling an learning environment, and rewards you at the end</v>
      </c>
      <c r="M512"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1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512" s="1" t="str">
        <f ca="1">IFERROR(__xludf.DUMMYFUNCTION("""COMPUTED_VALUE"""),"Manager who explains what is expected, sets a goal and helps achieve it")</f>
        <v>Manager who explains what is expected, sets a goal and helps achieve it</v>
      </c>
      <c r="P512" s="1" t="str">
        <f ca="1">IFERROR(__xludf.DUMMYFUNCTION("""COMPUTED_VALUE"""),"Work with 2 to 3 people in my team")</f>
        <v>Work with 2 to 3 people in my team</v>
      </c>
      <c r="Q512" s="1"/>
    </row>
    <row r="513" spans="1:17" ht="13.2" x14ac:dyDescent="0.25">
      <c r="A513" s="2">
        <f ca="1">IFERROR(__xludf.DUMMYFUNCTION("""COMPUTED_VALUE"""),45021.5675880092)</f>
        <v>45021.567588009202</v>
      </c>
      <c r="B513" s="1" t="str">
        <f ca="1">IFERROR(__xludf.DUMMYFUNCTION("""COMPUTED_VALUE"""),"India")</f>
        <v>India</v>
      </c>
      <c r="C513" s="1">
        <f ca="1">IFERROR(__xludf.DUMMYFUNCTION("""COMPUTED_VALUE"""),201009)</f>
        <v>201009</v>
      </c>
      <c r="D513" s="3" t="str">
        <f ca="1">IFERROR(__xludf.DUMMYFUNCTION("""COMPUTED_VALUE"""),"Male")</f>
        <v>Male</v>
      </c>
      <c r="E513" s="1" t="str">
        <f ca="1">IFERROR(__xludf.DUMMYFUNCTION("""COMPUTED_VALUE"""),"People who have changed the world for better")</f>
        <v>People who have changed the world for better</v>
      </c>
      <c r="F513" s="1" t="str">
        <f ca="1">IFERROR(__xludf.DUMMYFUNCTION("""COMPUTED_VALUE"""),"Yes, I will earn and do that")</f>
        <v>Yes, I will earn and do that</v>
      </c>
      <c r="G513" s="1" t="str">
        <f ca="1">IFERROR(__xludf.DUMMYFUNCTION("""COMPUTED_VALUE"""),"Will work for 3 years or more")</f>
        <v>Will work for 3 years or more</v>
      </c>
      <c r="H513" s="1" t="str">
        <f ca="1">IFERROR(__xludf.DUMMYFUNCTION("""COMPUTED_VALUE"""),"Yes")</f>
        <v>Yes</v>
      </c>
      <c r="I513" s="1" t="str">
        <f ca="1">IFERROR(__xludf.DUMMYFUNCTION("""COMPUTED_VALUE"""),"Will work for them")</f>
        <v>Will work for them</v>
      </c>
      <c r="J513" s="1">
        <f ca="1">IFERROR(__xludf.DUMMYFUNCTION("""COMPUTED_VALUE"""),9)</f>
        <v>9</v>
      </c>
      <c r="K513" s="1" t="str">
        <f ca="1">IFERROR(__xludf.DUMMYFUNCTION("""COMPUTED_VALUE"""),"Hybrid Working Environment with more than 15 days a month at office")</f>
        <v>Hybrid Working Environment with more than 15 days a month at office</v>
      </c>
      <c r="L513" s="1" t="str">
        <f ca="1">IFERROR(__xludf.DUMMYFUNCTION("""COMPUTED_VALUE"""),"Employer who pushes your limits by enabling an learning environment, and rewards you at the end")</f>
        <v>Employer who pushes your limits by enabling an learning environment, and rewards you at the end</v>
      </c>
      <c r="M513"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513"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13" s="1" t="str">
        <f ca="1">IFERROR(__xludf.DUMMYFUNCTION("""COMPUTED_VALUE"""),"Manager who explains what is expected, sets a goal and helps achieve it")</f>
        <v>Manager who explains what is expected, sets a goal and helps achieve it</v>
      </c>
      <c r="P513" s="1" t="str">
        <f ca="1">IFERROR(__xludf.DUMMYFUNCTION("""COMPUTED_VALUE"""),"Work alone, Work with 2 to 3 people in my team, Work with more than 10 people in my team")</f>
        <v>Work alone, Work with 2 to 3 people in my team, Work with more than 10 people in my team</v>
      </c>
      <c r="Q513" s="1"/>
    </row>
    <row r="514" spans="1:17" ht="13.2" x14ac:dyDescent="0.25">
      <c r="A514" s="2">
        <f ca="1">IFERROR(__xludf.DUMMYFUNCTION("""COMPUTED_VALUE"""),45021.5700628935)</f>
        <v>45021.570062893501</v>
      </c>
      <c r="B514" s="1" t="str">
        <f ca="1">IFERROR(__xludf.DUMMYFUNCTION("""COMPUTED_VALUE"""),"India")</f>
        <v>India</v>
      </c>
      <c r="C514" s="1">
        <f ca="1">IFERROR(__xludf.DUMMYFUNCTION("""COMPUTED_VALUE"""),517101)</f>
        <v>517101</v>
      </c>
      <c r="D514" s="3" t="str">
        <f ca="1">IFERROR(__xludf.DUMMYFUNCTION("""COMPUTED_VALUE"""),"Male")</f>
        <v>Male</v>
      </c>
      <c r="E514" s="1" t="str">
        <f ca="1">IFERROR(__xludf.DUMMYFUNCTION("""COMPUTED_VALUE"""),"Social Media like LinkedIn")</f>
        <v>Social Media like LinkedIn</v>
      </c>
      <c r="F514" s="1" t="str">
        <f ca="1">IFERROR(__xludf.DUMMYFUNCTION("""COMPUTED_VALUE"""),"No I would not be pursuing Higher Education outside of India")</f>
        <v>No I would not be pursuing Higher Education outside of India</v>
      </c>
      <c r="G514" s="1" t="str">
        <f ca="1">IFERROR(__xludf.DUMMYFUNCTION("""COMPUTED_VALUE"""),"This will be hard to do, but if it is the right company I would try")</f>
        <v>This will be hard to do, but if it is the right company I would try</v>
      </c>
      <c r="H514" s="1" t="str">
        <f ca="1">IFERROR(__xludf.DUMMYFUNCTION("""COMPUTED_VALUE"""),"No")</f>
        <v>No</v>
      </c>
      <c r="I514" s="1" t="str">
        <f ca="1">IFERROR(__xludf.DUMMYFUNCTION("""COMPUTED_VALUE"""),"Will NOT work for them")</f>
        <v>Will NOT work for them</v>
      </c>
      <c r="J514" s="1">
        <f ca="1">IFERROR(__xludf.DUMMYFUNCTION("""COMPUTED_VALUE"""),2)</f>
        <v>2</v>
      </c>
      <c r="K514" s="1" t="str">
        <f ca="1">IFERROR(__xludf.DUMMYFUNCTION("""COMPUTED_VALUE"""),"Hybrid Working Environment with more than 15 days a month at office")</f>
        <v>Hybrid Working Environment with more than 15 days a month at office</v>
      </c>
      <c r="L514" s="1" t="str">
        <f ca="1">IFERROR(__xludf.DUMMYFUNCTION("""COMPUTED_VALUE"""),"Employer who pushes your limits by enabling an learning environment, and rewards you at the end")</f>
        <v>Employer who pushes your limits by enabling an learning environment, and rewards you at the end</v>
      </c>
      <c r="M5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4"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14" s="1" t="str">
        <f ca="1">IFERROR(__xludf.DUMMYFUNCTION("""COMPUTED_VALUE"""),"Manager who explains what is expected, sets a goal and helps achieve it")</f>
        <v>Manager who explains what is expected, sets a goal and helps achieve it</v>
      </c>
      <c r="P514" s="1" t="str">
        <f ca="1">IFERROR(__xludf.DUMMYFUNCTION("""COMPUTED_VALUE"""),"Work alone, Work with 2 to 3 people in my team, Work with 5 to 6 people in my team")</f>
        <v>Work alone, Work with 2 to 3 people in my team, Work with 5 to 6 people in my team</v>
      </c>
      <c r="Q514" s="1"/>
    </row>
    <row r="515" spans="1:17" ht="13.2" x14ac:dyDescent="0.25">
      <c r="A515" s="2">
        <f ca="1">IFERROR(__xludf.DUMMYFUNCTION("""COMPUTED_VALUE"""),45021.5699186689)</f>
        <v>45021.569918668902</v>
      </c>
      <c r="B515" s="1" t="str">
        <f ca="1">IFERROR(__xludf.DUMMYFUNCTION("""COMPUTED_VALUE"""),"India")</f>
        <v>India</v>
      </c>
      <c r="C515" s="1">
        <f ca="1">IFERROR(__xludf.DUMMYFUNCTION("""COMPUTED_VALUE"""),679101)</f>
        <v>679101</v>
      </c>
      <c r="D515" s="3" t="str">
        <f ca="1">IFERROR(__xludf.DUMMYFUNCTION("""COMPUTED_VALUE"""),"Male")</f>
        <v>Male</v>
      </c>
      <c r="E515" s="1" t="str">
        <f ca="1">IFERROR(__xludf.DUMMYFUNCTION("""COMPUTED_VALUE"""),"People who have changed the world for better")</f>
        <v>People who have changed the world for better</v>
      </c>
      <c r="F515" s="1" t="str">
        <f ca="1">IFERROR(__xludf.DUMMYFUNCTION("""COMPUTED_VALUE"""),"Yes, I will earn and do that")</f>
        <v>Yes, I will earn and do that</v>
      </c>
      <c r="G515" s="1" t="str">
        <f ca="1">IFERROR(__xludf.DUMMYFUNCTION("""COMPUTED_VALUE"""),"This will be hard to do, but if it is the right company I would try")</f>
        <v>This will be hard to do, but if it is the right company I would try</v>
      </c>
      <c r="H515" s="1" t="str">
        <f ca="1">IFERROR(__xludf.DUMMYFUNCTION("""COMPUTED_VALUE"""),"No")</f>
        <v>No</v>
      </c>
      <c r="I515" s="1" t="str">
        <f ca="1">IFERROR(__xludf.DUMMYFUNCTION("""COMPUTED_VALUE"""),"Will NOT work for them")</f>
        <v>Will NOT work for them</v>
      </c>
      <c r="J515" s="1">
        <f ca="1">IFERROR(__xludf.DUMMYFUNCTION("""COMPUTED_VALUE"""),9)</f>
        <v>9</v>
      </c>
      <c r="K515" s="1" t="str">
        <f ca="1">IFERROR(__xludf.DUMMYFUNCTION("""COMPUTED_VALUE"""),"Hybrid Working Environment with more than 15 days a month at office")</f>
        <v>Hybrid Working Environment with more than 15 days a month at office</v>
      </c>
      <c r="L515" s="1" t="str">
        <f ca="1">IFERROR(__xludf.DUMMYFUNCTION("""COMPUTED_VALUE"""),"Employer who pushes your limits by enabling an learning environment, and rewards you at the end")</f>
        <v>Employer who pushes your limits by enabling an learning environment, and rewards you at the end</v>
      </c>
      <c r="M51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15"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515" s="1" t="str">
        <f ca="1">IFERROR(__xludf.DUMMYFUNCTION("""COMPUTED_VALUE"""),"Manager who explains what is expected, sets a goal and helps achieve it")</f>
        <v>Manager who explains what is expected, sets a goal and helps achieve it</v>
      </c>
      <c r="P515" s="1" t="str">
        <f ca="1">IFERROR(__xludf.DUMMYFUNCTION("""COMPUTED_VALUE"""),"Work with 5 to 6 people in my team")</f>
        <v>Work with 5 to 6 people in my team</v>
      </c>
      <c r="Q515" s="1"/>
    </row>
    <row r="516" spans="1:17" ht="13.2" x14ac:dyDescent="0.25">
      <c r="A516" s="2">
        <f ca="1">IFERROR(__xludf.DUMMYFUNCTION("""COMPUTED_VALUE"""),45021.5745660879)</f>
        <v>45021.574566087897</v>
      </c>
      <c r="B516" s="1" t="str">
        <f ca="1">IFERROR(__xludf.DUMMYFUNCTION("""COMPUTED_VALUE"""),"India")</f>
        <v>India</v>
      </c>
      <c r="C516" s="1">
        <f ca="1">IFERROR(__xludf.DUMMYFUNCTION("""COMPUTED_VALUE"""),517501)</f>
        <v>517501</v>
      </c>
      <c r="D516" s="3" t="str">
        <f ca="1">IFERROR(__xludf.DUMMYFUNCTION("""COMPUTED_VALUE"""),"Female")</f>
        <v>Female</v>
      </c>
      <c r="E516" s="1" t="str">
        <f ca="1">IFERROR(__xludf.DUMMYFUNCTION("""COMPUTED_VALUE"""),"People who have changed the world for better")</f>
        <v>People who have changed the world for better</v>
      </c>
      <c r="F516" s="1" t="str">
        <f ca="1">IFERROR(__xludf.DUMMYFUNCTION("""COMPUTED_VALUE"""),"No, But if someone could bare the cost I will")</f>
        <v>No, But if someone could bare the cost I will</v>
      </c>
      <c r="G516" s="1" t="str">
        <f ca="1">IFERROR(__xludf.DUMMYFUNCTION("""COMPUTED_VALUE"""),"This will be hard to do, but if it is the right company I would try")</f>
        <v>This will be hard to do, but if it is the right company I would try</v>
      </c>
      <c r="H516" s="1" t="str">
        <f ca="1">IFERROR(__xludf.DUMMYFUNCTION("""COMPUTED_VALUE"""),"No")</f>
        <v>No</v>
      </c>
      <c r="I516" s="1" t="str">
        <f ca="1">IFERROR(__xludf.DUMMYFUNCTION("""COMPUTED_VALUE"""),"Will NOT work for them")</f>
        <v>Will NOT work for them</v>
      </c>
      <c r="J516" s="1">
        <f ca="1">IFERROR(__xludf.DUMMYFUNCTION("""COMPUTED_VALUE"""),1)</f>
        <v>1</v>
      </c>
      <c r="K516" s="1" t="str">
        <f ca="1">IFERROR(__xludf.DUMMYFUNCTION("""COMPUTED_VALUE"""),"Hybrid Working Environment with less than 3 days a month at office")</f>
        <v>Hybrid Working Environment with less than 3 days a month at office</v>
      </c>
      <c r="L516" s="1" t="str">
        <f ca="1">IFERROR(__xludf.DUMMYFUNCTION("""COMPUTED_VALUE"""),"Employer who pushes your limits by enabling an learning environment, and rewards you at the end")</f>
        <v>Employer who pushes your limits by enabling an learning environment, and rewards you at the end</v>
      </c>
      <c r="M5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16"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516" s="1" t="str">
        <f ca="1">IFERROR(__xludf.DUMMYFUNCTION("""COMPUTED_VALUE"""),"Manager who explains what is expected, sets a goal and helps achieve it")</f>
        <v>Manager who explains what is expected, sets a goal and helps achieve it</v>
      </c>
      <c r="P516" s="1" t="str">
        <f ca="1">IFERROR(__xludf.DUMMYFUNCTION("""COMPUTED_VALUE"""),"Work with 5 to 6 people in my team")</f>
        <v>Work with 5 to 6 people in my team</v>
      </c>
      <c r="Q516" s="1"/>
    </row>
    <row r="517" spans="1:17" ht="13.2" x14ac:dyDescent="0.25">
      <c r="A517" s="2">
        <f ca="1">IFERROR(__xludf.DUMMYFUNCTION("""COMPUTED_VALUE"""),45021.5825291666)</f>
        <v>45021.582529166597</v>
      </c>
      <c r="B517" s="1" t="str">
        <f ca="1">IFERROR(__xludf.DUMMYFUNCTION("""COMPUTED_VALUE"""),"India")</f>
        <v>India</v>
      </c>
      <c r="C517" s="1">
        <f ca="1">IFERROR(__xludf.DUMMYFUNCTION("""COMPUTED_VALUE"""),517501)</f>
        <v>517501</v>
      </c>
      <c r="D517" s="3" t="str">
        <f ca="1">IFERROR(__xludf.DUMMYFUNCTION("""COMPUTED_VALUE"""),"Male")</f>
        <v>Male</v>
      </c>
      <c r="E517" s="1" t="str">
        <f ca="1">IFERROR(__xludf.DUMMYFUNCTION("""COMPUTED_VALUE"""),"My Parents")</f>
        <v>My Parents</v>
      </c>
      <c r="F517" s="1" t="str">
        <f ca="1">IFERROR(__xludf.DUMMYFUNCTION("""COMPUTED_VALUE"""),"No I would not be pursuing Higher Education outside of India")</f>
        <v>No I would not be pursuing Higher Education outside of India</v>
      </c>
      <c r="G517" s="1" t="str">
        <f ca="1">IFERROR(__xludf.DUMMYFUNCTION("""COMPUTED_VALUE"""),"Will work for 3 years or more")</f>
        <v>Will work for 3 years or more</v>
      </c>
      <c r="H517" s="1" t="str">
        <f ca="1">IFERROR(__xludf.DUMMYFUNCTION("""COMPUTED_VALUE"""),"Yes")</f>
        <v>Yes</v>
      </c>
      <c r="I517" s="1" t="str">
        <f ca="1">IFERROR(__xludf.DUMMYFUNCTION("""COMPUTED_VALUE"""),"Will work for them")</f>
        <v>Will work for them</v>
      </c>
      <c r="J517" s="1">
        <f ca="1">IFERROR(__xludf.DUMMYFUNCTION("""COMPUTED_VALUE"""),10)</f>
        <v>10</v>
      </c>
      <c r="K517" s="1" t="str">
        <f ca="1">IFERROR(__xludf.DUMMYFUNCTION("""COMPUTED_VALUE"""),"Every Day Office Environment")</f>
        <v>Every Day Office Environment</v>
      </c>
      <c r="L517" s="1" t="str">
        <f ca="1">IFERROR(__xludf.DUMMYFUNCTION("""COMPUTED_VALUE"""),"Employer who pushes your limits by enabling an learning environment, and rewards you at the end")</f>
        <v>Employer who pushes your limits by enabling an learning environment, and rewards you at the end</v>
      </c>
      <c r="M51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17" s="1" t="str">
        <f ca="1">IFERROR(__xludf.DUMMYFUNCTION("""COMPUTED_VALUE"""),"Manager who sets goal and helps me achieve it")</f>
        <v>Manager who sets goal and helps me achieve it</v>
      </c>
      <c r="P517" s="1" t="str">
        <f ca="1">IFERROR(__xludf.DUMMYFUNCTION("""COMPUTED_VALUE"""),"Work with 5 to 6 people in my team, Work with 7 to 10 or more people in my team")</f>
        <v>Work with 5 to 6 people in my team, Work with 7 to 10 or more people in my team</v>
      </c>
      <c r="Q517" s="1"/>
    </row>
    <row r="518" spans="1:17" ht="13.2" x14ac:dyDescent="0.25">
      <c r="A518" s="2">
        <f ca="1">IFERROR(__xludf.DUMMYFUNCTION("""COMPUTED_VALUE"""),45021.5832041203)</f>
        <v>45021.583204120303</v>
      </c>
      <c r="B518" s="1" t="str">
        <f ca="1">IFERROR(__xludf.DUMMYFUNCTION("""COMPUTED_VALUE"""),"India")</f>
        <v>India</v>
      </c>
      <c r="C518" s="1" t="str">
        <f ca="1">IFERROR(__xludf.DUMMYFUNCTION("""COMPUTED_VALUE"""),"Bts ")</f>
        <v xml:space="preserve">Bts </v>
      </c>
      <c r="D518" s="3" t="str">
        <f ca="1">IFERROR(__xludf.DUMMYFUNCTION("""COMPUTED_VALUE"""),"Female")</f>
        <v>Female</v>
      </c>
      <c r="E518" s="1" t="str">
        <f ca="1">IFERROR(__xludf.DUMMYFUNCTION("""COMPUTED_VALUE"""),"Influencers who had successful careers")</f>
        <v>Influencers who had successful careers</v>
      </c>
      <c r="F518" s="1" t="str">
        <f ca="1">IFERROR(__xludf.DUMMYFUNCTION("""COMPUTED_VALUE"""),"Yes, I will earn and do that")</f>
        <v>Yes, I will earn and do that</v>
      </c>
      <c r="G518" s="1" t="str">
        <f ca="1">IFERROR(__xludf.DUMMYFUNCTION("""COMPUTED_VALUE"""),"This will be hard to do, but if it is the right company I would try")</f>
        <v>This will be hard to do, but if it is the right company I would try</v>
      </c>
      <c r="H518" s="1" t="str">
        <f ca="1">IFERROR(__xludf.DUMMYFUNCTION("""COMPUTED_VALUE"""),"No")</f>
        <v>No</v>
      </c>
      <c r="I518" s="1" t="str">
        <f ca="1">IFERROR(__xludf.DUMMYFUNCTION("""COMPUTED_VALUE"""),"Will work for them")</f>
        <v>Will work for them</v>
      </c>
      <c r="J518" s="1">
        <f ca="1">IFERROR(__xludf.DUMMYFUNCTION("""COMPUTED_VALUE"""),6)</f>
        <v>6</v>
      </c>
      <c r="K518" s="1" t="str">
        <f ca="1">IFERROR(__xludf.DUMMYFUNCTION("""COMPUTED_VALUE"""),"Fully Remote with Options to travel as and when needed")</f>
        <v>Fully Remote with Options to travel as and when needed</v>
      </c>
      <c r="L518" s="1" t="str">
        <f ca="1">IFERROR(__xludf.DUMMYFUNCTION("""COMPUTED_VALUE"""),"Employer who appreciates learning and enables that environment")</f>
        <v>Employer who appreciates learning and enables that environment</v>
      </c>
      <c r="M518" s="1" t="str">
        <f ca="1">IFERROR(__xludf.DUMMYFUNCTION("""COMPUTED_VALUE"""),"Instructor or Expert Learning Programs, Self Purchased Course from External Platforms, Manager Teaching you")</f>
        <v>Instructor or Expert Learning Programs, Self Purchased Course from External Platforms, Manager Teaching you</v>
      </c>
      <c r="N51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18" s="1" t="str">
        <f ca="1">IFERROR(__xludf.DUMMYFUNCTION("""COMPUTED_VALUE"""),"Manager who sets goal and helps me achieve it")</f>
        <v>Manager who sets goal and helps me achieve it</v>
      </c>
      <c r="P518" s="1" t="str">
        <f ca="1">IFERROR(__xludf.DUMMYFUNCTION("""COMPUTED_VALUE"""),"Work with 2 to 3 people in my team, Work with 5 to 6 people in my team")</f>
        <v>Work with 2 to 3 people in my team, Work with 5 to 6 people in my team</v>
      </c>
      <c r="Q518" s="1"/>
    </row>
    <row r="519" spans="1:17" ht="13.2" x14ac:dyDescent="0.25">
      <c r="A519" s="2">
        <f ca="1">IFERROR(__xludf.DUMMYFUNCTION("""COMPUTED_VALUE"""),45021.592912581)</f>
        <v>45021.592912581</v>
      </c>
      <c r="B519" s="1" t="str">
        <f ca="1">IFERROR(__xludf.DUMMYFUNCTION("""COMPUTED_VALUE"""),"India")</f>
        <v>India</v>
      </c>
      <c r="C519" s="1">
        <f ca="1">IFERROR(__xludf.DUMMYFUNCTION("""COMPUTED_VALUE"""),518563)</f>
        <v>518563</v>
      </c>
      <c r="D519" s="3" t="str">
        <f ca="1">IFERROR(__xludf.DUMMYFUNCTION("""COMPUTED_VALUE"""),"Male")</f>
        <v>Male</v>
      </c>
      <c r="E519" s="1" t="str">
        <f ca="1">IFERROR(__xludf.DUMMYFUNCTION("""COMPUTED_VALUE"""),"People from my circle, but not family members")</f>
        <v>People from my circle, but not family members</v>
      </c>
      <c r="F519" s="1" t="str">
        <f ca="1">IFERROR(__xludf.DUMMYFUNCTION("""COMPUTED_VALUE"""),"No I would not be pursuing Higher Education outside of India")</f>
        <v>No I would not be pursuing Higher Education outside of India</v>
      </c>
      <c r="G519" s="1" t="str">
        <f ca="1">IFERROR(__xludf.DUMMYFUNCTION("""COMPUTED_VALUE"""),"This will be hard to do, but if it is the right company I would try")</f>
        <v>This will be hard to do, but if it is the right company I would try</v>
      </c>
      <c r="H519" s="1" t="str">
        <f ca="1">IFERROR(__xludf.DUMMYFUNCTION("""COMPUTED_VALUE"""),"No")</f>
        <v>No</v>
      </c>
      <c r="I519" s="1" t="str">
        <f ca="1">IFERROR(__xludf.DUMMYFUNCTION("""COMPUTED_VALUE"""),"Will NOT work for them")</f>
        <v>Will NOT work for them</v>
      </c>
      <c r="J519" s="1">
        <f ca="1">IFERROR(__xludf.DUMMYFUNCTION("""COMPUTED_VALUE"""),5)</f>
        <v>5</v>
      </c>
      <c r="K519" s="1" t="str">
        <f ca="1">IFERROR(__xludf.DUMMYFUNCTION("""COMPUTED_VALUE"""),"Fully Remote with Options to travel as and when needed")</f>
        <v>Fully Remote with Options to travel as and when needed</v>
      </c>
      <c r="L519" s="1" t="str">
        <f ca="1">IFERROR(__xludf.DUMMYFUNCTION("""COMPUTED_VALUE"""),"Employer who rewards learning and enables that environment")</f>
        <v>Employer who rewards learning and enables that environment</v>
      </c>
      <c r="M5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19" s="1" t="str">
        <f ca="1">IFERROR(__xludf.DUMMYFUNCTION("""COMPUTED_VALUE"""),"Manager who explains what is expected, sets a goal and helps achieve it")</f>
        <v>Manager who explains what is expected, sets a goal and helps achieve it</v>
      </c>
      <c r="P519" s="1" t="str">
        <f ca="1">IFERROR(__xludf.DUMMYFUNCTION("""COMPUTED_VALUE"""),"Work with 2 to 3 people in my team")</f>
        <v>Work with 2 to 3 people in my team</v>
      </c>
      <c r="Q519" s="1"/>
    </row>
    <row r="520" spans="1:17" ht="13.2" x14ac:dyDescent="0.25">
      <c r="A520" s="2">
        <f ca="1">IFERROR(__xludf.DUMMYFUNCTION("""COMPUTED_VALUE"""),45021.5931179051)</f>
        <v>45021.593117905097</v>
      </c>
      <c r="B520" s="1" t="str">
        <f ca="1">IFERROR(__xludf.DUMMYFUNCTION("""COMPUTED_VALUE"""),"India")</f>
        <v>India</v>
      </c>
      <c r="C520" s="1">
        <f ca="1">IFERROR(__xludf.DUMMYFUNCTION("""COMPUTED_VALUE"""),600092)</f>
        <v>600092</v>
      </c>
      <c r="D520" s="3" t="str">
        <f ca="1">IFERROR(__xludf.DUMMYFUNCTION("""COMPUTED_VALUE"""),"Male")</f>
        <v>Male</v>
      </c>
      <c r="E520" s="1" t="str">
        <f ca="1">IFERROR(__xludf.DUMMYFUNCTION("""COMPUTED_VALUE"""),"Influencers who had successful careers")</f>
        <v>Influencers who had successful careers</v>
      </c>
      <c r="F520" s="1" t="str">
        <f ca="1">IFERROR(__xludf.DUMMYFUNCTION("""COMPUTED_VALUE"""),"No, But if someone could bare the cost I will")</f>
        <v>No, But if someone could bare the cost I will</v>
      </c>
      <c r="G520" s="1" t="str">
        <f ca="1">IFERROR(__xludf.DUMMYFUNCTION("""COMPUTED_VALUE"""),"Will work for 3 years or more")</f>
        <v>Will work for 3 years or more</v>
      </c>
      <c r="H520" s="1" t="str">
        <f ca="1">IFERROR(__xludf.DUMMYFUNCTION("""COMPUTED_VALUE"""),"No")</f>
        <v>No</v>
      </c>
      <c r="I520" s="1" t="str">
        <f ca="1">IFERROR(__xludf.DUMMYFUNCTION("""COMPUTED_VALUE"""),"Will NOT work for them")</f>
        <v>Will NOT work for them</v>
      </c>
      <c r="J520" s="1">
        <f ca="1">IFERROR(__xludf.DUMMYFUNCTION("""COMPUTED_VALUE"""),6)</f>
        <v>6</v>
      </c>
      <c r="K520" s="1" t="str">
        <f ca="1">IFERROR(__xludf.DUMMYFUNCTION("""COMPUTED_VALUE"""),"Every Day Office Environment")</f>
        <v>Every Day Office Environment</v>
      </c>
      <c r="L520" s="1" t="str">
        <f ca="1">IFERROR(__xludf.DUMMYFUNCTION("""COMPUTED_VALUE"""),"Employer who appreciates learning and enables that environment")</f>
        <v>Employer who appreciates learning and enables that environment</v>
      </c>
      <c r="M520" s="1" t="str">
        <f ca="1">IFERROR(__xludf.DUMMYFUNCTION("""COMPUTED_VALUE"""),"Self Paced Learning Portals of the Company, Learning by observing others, Manager Teaching you")</f>
        <v>Self Paced Learning Portals of the Company, Learning by observing others, Manager Teaching you</v>
      </c>
      <c r="N520"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20" s="1" t="str">
        <f ca="1">IFERROR(__xludf.DUMMYFUNCTION("""COMPUTED_VALUE"""),"Manager who clearly describes what she/he needs")</f>
        <v>Manager who clearly describes what she/he needs</v>
      </c>
      <c r="P520" s="1" t="str">
        <f ca="1">IFERROR(__xludf.DUMMYFUNCTION("""COMPUTED_VALUE"""),"Work with 7 to 10 or more people in my team")</f>
        <v>Work with 7 to 10 or more people in my team</v>
      </c>
      <c r="Q520" s="1"/>
    </row>
    <row r="521" spans="1:17" ht="13.2" x14ac:dyDescent="0.25">
      <c r="A521" s="2">
        <f ca="1">IFERROR(__xludf.DUMMYFUNCTION("""COMPUTED_VALUE"""),45021.5980847685)</f>
        <v>45021.598084768499</v>
      </c>
      <c r="B521" s="1" t="str">
        <f ca="1">IFERROR(__xludf.DUMMYFUNCTION("""COMPUTED_VALUE"""),"India")</f>
        <v>India</v>
      </c>
      <c r="C521" s="1">
        <f ca="1">IFERROR(__xludf.DUMMYFUNCTION("""COMPUTED_VALUE"""),600056)</f>
        <v>600056</v>
      </c>
      <c r="D521" s="3" t="str">
        <f ca="1">IFERROR(__xludf.DUMMYFUNCTION("""COMPUTED_VALUE"""),"Male")</f>
        <v>Male</v>
      </c>
      <c r="E521" s="1" t="str">
        <f ca="1">IFERROR(__xludf.DUMMYFUNCTION("""COMPUTED_VALUE"""),"My Parents")</f>
        <v>My Parents</v>
      </c>
      <c r="F521" s="1" t="str">
        <f ca="1">IFERROR(__xludf.DUMMYFUNCTION("""COMPUTED_VALUE"""),"No I would not be pursuing Higher Education outside of India")</f>
        <v>No I would not be pursuing Higher Education outside of India</v>
      </c>
      <c r="G521" s="1" t="str">
        <f ca="1">IFERROR(__xludf.DUMMYFUNCTION("""COMPUTED_VALUE"""),"Will work for 3 years or more")</f>
        <v>Will work for 3 years or more</v>
      </c>
      <c r="H521" s="1" t="str">
        <f ca="1">IFERROR(__xludf.DUMMYFUNCTION("""COMPUTED_VALUE"""),"Yes")</f>
        <v>Yes</v>
      </c>
      <c r="I521" s="1" t="str">
        <f ca="1">IFERROR(__xludf.DUMMYFUNCTION("""COMPUTED_VALUE"""),"Will work for them")</f>
        <v>Will work for them</v>
      </c>
      <c r="J521" s="1">
        <f ca="1">IFERROR(__xludf.DUMMYFUNCTION("""COMPUTED_VALUE"""),6)</f>
        <v>6</v>
      </c>
      <c r="K521" s="1" t="str">
        <f ca="1">IFERROR(__xludf.DUMMYFUNCTION("""COMPUTED_VALUE"""),"Hybrid Working Environment with more than 15 days a month at office")</f>
        <v>Hybrid Working Environment with more than 15 days a month at office</v>
      </c>
      <c r="L521" s="1" t="str">
        <f ca="1">IFERROR(__xludf.DUMMYFUNCTION("""COMPUTED_VALUE"""),"Employer who pushes your limits by enabling an learning environment, and rewards you at the end")</f>
        <v>Employer who pushes your limits by enabling an learning environment, and rewards you at the end</v>
      </c>
      <c r="M521" s="1" t="str">
        <f ca="1">IFERROR(__xludf.DUMMYFUNCTION("""COMPUTED_VALUE"""),"Self Paced Learning Portals of the Company, Learning by observing others, Manager Teaching you")</f>
        <v>Self Paced Learning Portals of the Company, Learning by observing others, Manager Teaching you</v>
      </c>
      <c r="N521"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521" s="1" t="str">
        <f ca="1">IFERROR(__xludf.DUMMYFUNCTION("""COMPUTED_VALUE"""),"Manager who sets goal and helps me achieve it")</f>
        <v>Manager who sets goal and helps me achieve it</v>
      </c>
      <c r="P521" s="1" t="str">
        <f ca="1">IFERROR(__xludf.DUMMYFUNCTION("""COMPUTED_VALUE"""),"Work alone")</f>
        <v>Work alone</v>
      </c>
      <c r="Q521" s="1"/>
    </row>
    <row r="522" spans="1:17" ht="13.2" x14ac:dyDescent="0.25">
      <c r="A522" s="2">
        <f ca="1">IFERROR(__xludf.DUMMYFUNCTION("""COMPUTED_VALUE"""),45021.601288449)</f>
        <v>45021.601288448997</v>
      </c>
      <c r="B522" s="1" t="str">
        <f ca="1">IFERROR(__xludf.DUMMYFUNCTION("""COMPUTED_VALUE"""),"India")</f>
        <v>India</v>
      </c>
      <c r="C522" s="1">
        <f ca="1">IFERROR(__xludf.DUMMYFUNCTION("""COMPUTED_VALUE"""),453331)</f>
        <v>453331</v>
      </c>
      <c r="D522" s="3" t="str">
        <f ca="1">IFERROR(__xludf.DUMMYFUNCTION("""COMPUTED_VALUE"""),"Female")</f>
        <v>Female</v>
      </c>
      <c r="E522" s="1" t="str">
        <f ca="1">IFERROR(__xludf.DUMMYFUNCTION("""COMPUTED_VALUE"""),"Social Media like LinkedIn")</f>
        <v>Social Media like LinkedIn</v>
      </c>
      <c r="F522" s="1" t="str">
        <f ca="1">IFERROR(__xludf.DUMMYFUNCTION("""COMPUTED_VALUE"""),"No, But if someone could bare the cost I will")</f>
        <v>No, But if someone could bare the cost I will</v>
      </c>
      <c r="G522" s="1" t="str">
        <f ca="1">IFERROR(__xludf.DUMMYFUNCTION("""COMPUTED_VALUE"""),"No way")</f>
        <v>No way</v>
      </c>
      <c r="H522" s="1" t="str">
        <f ca="1">IFERROR(__xludf.DUMMYFUNCTION("""COMPUTED_VALUE"""),"No")</f>
        <v>No</v>
      </c>
      <c r="I522" s="1" t="str">
        <f ca="1">IFERROR(__xludf.DUMMYFUNCTION("""COMPUTED_VALUE"""),"Will NOT work for them")</f>
        <v>Will NOT work for them</v>
      </c>
      <c r="J522" s="1">
        <f ca="1">IFERROR(__xludf.DUMMYFUNCTION("""COMPUTED_VALUE"""),7)</f>
        <v>7</v>
      </c>
      <c r="K522" s="1" t="str">
        <f ca="1">IFERROR(__xludf.DUMMYFUNCTION("""COMPUTED_VALUE"""),"Fully Remote with Options to travel as and when needed")</f>
        <v>Fully Remote with Options to travel as and when needed</v>
      </c>
      <c r="L522" s="1" t="str">
        <f ca="1">IFERROR(__xludf.DUMMYFUNCTION("""COMPUTED_VALUE"""),"Employer who rewards learning and enables that environment")</f>
        <v>Employer who rewards learning and enables that environment</v>
      </c>
      <c r="M52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2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522" s="1" t="str">
        <f ca="1">IFERROR(__xludf.DUMMYFUNCTION("""COMPUTED_VALUE"""),"Manager who explains what is expected, sets a goal and helps achieve it")</f>
        <v>Manager who explains what is expected, sets a goal and helps achieve it</v>
      </c>
      <c r="P522" s="1" t="str">
        <f ca="1">IFERROR(__xludf.DUMMYFUNCTION("""COMPUTED_VALUE"""),"Work alone, Work with 2 to 3 people in my team")</f>
        <v>Work alone, Work with 2 to 3 people in my team</v>
      </c>
      <c r="Q522" s="1"/>
    </row>
    <row r="523" spans="1:17" ht="13.2" x14ac:dyDescent="0.25">
      <c r="A523" s="2">
        <f ca="1">IFERROR(__xludf.DUMMYFUNCTION("""COMPUTED_VALUE"""),45021.6088619328)</f>
        <v>45021.6088619328</v>
      </c>
      <c r="B523" s="1" t="str">
        <f ca="1">IFERROR(__xludf.DUMMYFUNCTION("""COMPUTED_VALUE"""),"India")</f>
        <v>India</v>
      </c>
      <c r="C523" s="1">
        <f ca="1">IFERROR(__xludf.DUMMYFUNCTION("""COMPUTED_VALUE"""),600127)</f>
        <v>600127</v>
      </c>
      <c r="D523" s="3" t="str">
        <f ca="1">IFERROR(__xludf.DUMMYFUNCTION("""COMPUTED_VALUE"""),"Female")</f>
        <v>Female</v>
      </c>
      <c r="E523" s="1" t="str">
        <f ca="1">IFERROR(__xludf.DUMMYFUNCTION("""COMPUTED_VALUE"""),"People from my circle, but not family members")</f>
        <v>People from my circle, but not family members</v>
      </c>
      <c r="F523" s="1" t="str">
        <f ca="1">IFERROR(__xludf.DUMMYFUNCTION("""COMPUTED_VALUE"""),"No, But if someone could bare the cost I will")</f>
        <v>No, But if someone could bare the cost I will</v>
      </c>
      <c r="G523" s="1" t="str">
        <f ca="1">IFERROR(__xludf.DUMMYFUNCTION("""COMPUTED_VALUE"""),"Will work for 3 years or more")</f>
        <v>Will work for 3 years or more</v>
      </c>
      <c r="H523" s="1" t="str">
        <f ca="1">IFERROR(__xludf.DUMMYFUNCTION("""COMPUTED_VALUE"""),"No")</f>
        <v>No</v>
      </c>
      <c r="I523" s="1" t="str">
        <f ca="1">IFERROR(__xludf.DUMMYFUNCTION("""COMPUTED_VALUE"""),"Will NOT work for them")</f>
        <v>Will NOT work for them</v>
      </c>
      <c r="J523" s="1">
        <f ca="1">IFERROR(__xludf.DUMMYFUNCTION("""COMPUTED_VALUE"""),8)</f>
        <v>8</v>
      </c>
      <c r="K523" s="1" t="str">
        <f ca="1">IFERROR(__xludf.DUMMYFUNCTION("""COMPUTED_VALUE"""),"Hybrid Working Environment with more than 15 days a month at office")</f>
        <v>Hybrid Working Environment with more than 15 days a month at office</v>
      </c>
      <c r="L523" s="1" t="str">
        <f ca="1">IFERROR(__xludf.DUMMYFUNCTION("""COMPUTED_VALUE"""),"Employer who pushes your limits by enabling an learning environment, and rewards you at the end")</f>
        <v>Employer who pushes your limits by enabling an learning environment, and rewards you at the end</v>
      </c>
      <c r="M52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23" s="1" t="str">
        <f ca="1">IFERROR(__xludf.DUMMYFUNCTION("""COMPUTED_VALUE"""),"Manager who explains what is expected, sets a goal and helps achieve it")</f>
        <v>Manager who explains what is expected, sets a goal and helps achieve it</v>
      </c>
      <c r="P523" s="1" t="str">
        <f ca="1">IFERROR(__xludf.DUMMYFUNCTION("""COMPUTED_VALUE"""),"Work with 5 to 6 people in my team")</f>
        <v>Work with 5 to 6 people in my team</v>
      </c>
      <c r="Q523" s="1"/>
    </row>
    <row r="524" spans="1:17" ht="13.2" x14ac:dyDescent="0.25">
      <c r="A524" s="2">
        <f ca="1">IFERROR(__xludf.DUMMYFUNCTION("""COMPUTED_VALUE"""),45021.6133955787)</f>
        <v>45021.613395578701</v>
      </c>
      <c r="B524" s="1" t="str">
        <f ca="1">IFERROR(__xludf.DUMMYFUNCTION("""COMPUTED_VALUE"""),"India")</f>
        <v>India</v>
      </c>
      <c r="C524" s="1">
        <f ca="1">IFERROR(__xludf.DUMMYFUNCTION("""COMPUTED_VALUE"""),560034)</f>
        <v>560034</v>
      </c>
      <c r="D524" s="3" t="str">
        <f ca="1">IFERROR(__xludf.DUMMYFUNCTION("""COMPUTED_VALUE"""),"Male")</f>
        <v>Male</v>
      </c>
      <c r="E524" s="1" t="str">
        <f ca="1">IFERROR(__xludf.DUMMYFUNCTION("""COMPUTED_VALUE"""),"People from my circle, but not family members")</f>
        <v>People from my circle, but not family members</v>
      </c>
      <c r="F524" s="1" t="str">
        <f ca="1">IFERROR(__xludf.DUMMYFUNCTION("""COMPUTED_VALUE"""),"No, But if someone could bare the cost I will")</f>
        <v>No, But if someone could bare the cost I will</v>
      </c>
      <c r="G524" s="1" t="str">
        <f ca="1">IFERROR(__xludf.DUMMYFUNCTION("""COMPUTED_VALUE"""),"This will be hard to do, but if it is the right company I would try")</f>
        <v>This will be hard to do, but if it is the right company I would try</v>
      </c>
      <c r="H524" s="1" t="str">
        <f ca="1">IFERROR(__xludf.DUMMYFUNCTION("""COMPUTED_VALUE"""),"No")</f>
        <v>No</v>
      </c>
      <c r="I524" s="1" t="str">
        <f ca="1">IFERROR(__xludf.DUMMYFUNCTION("""COMPUTED_VALUE"""),"Will work for them")</f>
        <v>Will work for them</v>
      </c>
      <c r="J524" s="1">
        <f ca="1">IFERROR(__xludf.DUMMYFUNCTION("""COMPUTED_VALUE"""),5)</f>
        <v>5</v>
      </c>
      <c r="K524" s="1" t="str">
        <f ca="1">IFERROR(__xludf.DUMMYFUNCTION("""COMPUTED_VALUE"""),"Every Day Office Environment")</f>
        <v>Every Day Office Environment</v>
      </c>
      <c r="L524" s="1" t="str">
        <f ca="1">IFERROR(__xludf.DUMMYFUNCTION("""COMPUTED_VALUE"""),"Employer who pushes your limits by enabling an learning environment, and rewards you at the end")</f>
        <v>Employer who pushes your limits by enabling an learning environment, and rewards you at the end</v>
      </c>
      <c r="M524" s="1" t="str">
        <f ca="1">IFERROR(__xludf.DUMMYFUNCTION("""COMPUTED_VALUE"""),"Self Paced Learning Portals of the Company, Instructor or Expert Learning Programs, Manager Teaching you")</f>
        <v>Self Paced Learning Portals of the Company, Instructor or Expert Learning Programs, Manager Teaching you</v>
      </c>
      <c r="N52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24" s="1" t="str">
        <f ca="1">IFERROR(__xludf.DUMMYFUNCTION("""COMPUTED_VALUE"""),"Manager who explains what is expected, sets a goal and helps achieve it")</f>
        <v>Manager who explains what is expected, sets a goal and helps achieve it</v>
      </c>
      <c r="P524" s="1" t="str">
        <f ca="1">IFERROR(__xludf.DUMMYFUNCTION("""COMPUTED_VALUE"""),"Work with 2 to 3 people in my team")</f>
        <v>Work with 2 to 3 people in my team</v>
      </c>
      <c r="Q524" s="1"/>
    </row>
    <row r="525" spans="1:17" ht="13.2" x14ac:dyDescent="0.25">
      <c r="A525" s="2">
        <f ca="1">IFERROR(__xludf.DUMMYFUNCTION("""COMPUTED_VALUE"""),45021.6146762847)</f>
        <v>45021.614676284698</v>
      </c>
      <c r="B525" s="1" t="str">
        <f ca="1">IFERROR(__xludf.DUMMYFUNCTION("""COMPUTED_VALUE"""),"India")</f>
        <v>India</v>
      </c>
      <c r="C525" s="1">
        <f ca="1">IFERROR(__xludf.DUMMYFUNCTION("""COMPUTED_VALUE"""),470002)</f>
        <v>470002</v>
      </c>
      <c r="D525" s="3" t="str">
        <f ca="1">IFERROR(__xludf.DUMMYFUNCTION("""COMPUTED_VALUE"""),"Male")</f>
        <v>Male</v>
      </c>
      <c r="E525" s="1" t="str">
        <f ca="1">IFERROR(__xludf.DUMMYFUNCTION("""COMPUTED_VALUE"""),"My Parents")</f>
        <v>My Parents</v>
      </c>
      <c r="F525" s="1" t="str">
        <f ca="1">IFERROR(__xludf.DUMMYFUNCTION("""COMPUTED_VALUE"""),"Yes, I will earn and do that")</f>
        <v>Yes, I will earn and do that</v>
      </c>
      <c r="G525" s="1" t="str">
        <f ca="1">IFERROR(__xludf.DUMMYFUNCTION("""COMPUTED_VALUE"""),"This will be hard to do, but if it is the right company I would try")</f>
        <v>This will be hard to do, but if it is the right company I would try</v>
      </c>
      <c r="H525" s="1" t="str">
        <f ca="1">IFERROR(__xludf.DUMMYFUNCTION("""COMPUTED_VALUE"""),"No")</f>
        <v>No</v>
      </c>
      <c r="I525" s="1" t="str">
        <f ca="1">IFERROR(__xludf.DUMMYFUNCTION("""COMPUTED_VALUE"""),"Will NOT work for them")</f>
        <v>Will NOT work for them</v>
      </c>
      <c r="J525" s="1">
        <f ca="1">IFERROR(__xludf.DUMMYFUNCTION("""COMPUTED_VALUE"""),7)</f>
        <v>7</v>
      </c>
      <c r="K525" s="1" t="str">
        <f ca="1">IFERROR(__xludf.DUMMYFUNCTION("""COMPUTED_VALUE"""),"Hybrid Working Environment with more than 15 days a month at office")</f>
        <v>Hybrid Working Environment with more than 15 days a month at office</v>
      </c>
      <c r="L525" s="1" t="str">
        <f ca="1">IFERROR(__xludf.DUMMYFUNCTION("""COMPUTED_VALUE"""),"Employer who pushes your limits by enabling an learning environment, and rewards you at the end")</f>
        <v>Employer who pushes your limits by enabling an learning environment, and rewards you at the end</v>
      </c>
      <c r="M5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2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25" s="1" t="str">
        <f ca="1">IFERROR(__xludf.DUMMYFUNCTION("""COMPUTED_VALUE"""),"Manager who explains what is expected, sets a goal and helps achieve it")</f>
        <v>Manager who explains what is expected, sets a goal and helps achieve it</v>
      </c>
      <c r="P525" s="1" t="str">
        <f ca="1">IFERROR(__xludf.DUMMYFUNCTION("""COMPUTED_VALUE"""),"Work with 2 to 3 people in my team")</f>
        <v>Work with 2 to 3 people in my team</v>
      </c>
      <c r="Q525" s="1"/>
    </row>
    <row r="526" spans="1:17" ht="13.2" x14ac:dyDescent="0.25">
      <c r="A526" s="2">
        <f ca="1">IFERROR(__xludf.DUMMYFUNCTION("""COMPUTED_VALUE"""),45021.6176571759)</f>
        <v>45021.617657175899</v>
      </c>
      <c r="B526" s="1" t="str">
        <f ca="1">IFERROR(__xludf.DUMMYFUNCTION("""COMPUTED_VALUE"""),"India")</f>
        <v>India</v>
      </c>
      <c r="C526" s="1">
        <f ca="1">IFERROR(__xludf.DUMMYFUNCTION("""COMPUTED_VALUE"""),560100)</f>
        <v>560100</v>
      </c>
      <c r="D526" s="3" t="str">
        <f ca="1">IFERROR(__xludf.DUMMYFUNCTION("""COMPUTED_VALUE"""),"Female")</f>
        <v>Female</v>
      </c>
      <c r="E526" s="1" t="str">
        <f ca="1">IFERROR(__xludf.DUMMYFUNCTION("""COMPUTED_VALUE"""),"People from my circle, but not family members")</f>
        <v>People from my circle, but not family members</v>
      </c>
      <c r="F526" s="1" t="str">
        <f ca="1">IFERROR(__xludf.DUMMYFUNCTION("""COMPUTED_VALUE"""),"No, But if someone could bare the cost I will")</f>
        <v>No, But if someone could bare the cost I will</v>
      </c>
      <c r="G526" s="1" t="str">
        <f ca="1">IFERROR(__xludf.DUMMYFUNCTION("""COMPUTED_VALUE"""),"This will be hard to do, but if it is the right company I would try")</f>
        <v>This will be hard to do, but if it is the right company I would try</v>
      </c>
      <c r="H526" s="1" t="str">
        <f ca="1">IFERROR(__xludf.DUMMYFUNCTION("""COMPUTED_VALUE"""),"No")</f>
        <v>No</v>
      </c>
      <c r="I526" s="1" t="str">
        <f ca="1">IFERROR(__xludf.DUMMYFUNCTION("""COMPUTED_VALUE"""),"Will NOT work for them")</f>
        <v>Will NOT work for them</v>
      </c>
      <c r="J526" s="1">
        <f ca="1">IFERROR(__xludf.DUMMYFUNCTION("""COMPUTED_VALUE"""),7)</f>
        <v>7</v>
      </c>
      <c r="K526" s="1" t="str">
        <f ca="1">IFERROR(__xludf.DUMMYFUNCTION("""COMPUTED_VALUE"""),"Every Day Office Environment")</f>
        <v>Every Day Office Environment</v>
      </c>
      <c r="L526" s="1" t="str">
        <f ca="1">IFERROR(__xludf.DUMMYFUNCTION("""COMPUTED_VALUE"""),"Employer who appreciates learning and enables that environment")</f>
        <v>Employer who appreciates learning and enables that environment</v>
      </c>
      <c r="M52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2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26" s="1" t="str">
        <f ca="1">IFERROR(__xludf.DUMMYFUNCTION("""COMPUTED_VALUE"""),"Manager who explains what is expected, sets a goal and helps achieve it")</f>
        <v>Manager who explains what is expected, sets a goal and helps achieve it</v>
      </c>
      <c r="P526" s="1" t="str">
        <f ca="1">IFERROR(__xludf.DUMMYFUNCTION("""COMPUTED_VALUE"""),"Work with 2 to 3 people in my team")</f>
        <v>Work with 2 to 3 people in my team</v>
      </c>
      <c r="Q526" s="1"/>
    </row>
    <row r="527" spans="1:17" ht="13.2" x14ac:dyDescent="0.25">
      <c r="A527" s="2">
        <f ca="1">IFERROR(__xludf.DUMMYFUNCTION("""COMPUTED_VALUE"""),45021.6184615856)</f>
        <v>45021.618461585596</v>
      </c>
      <c r="B527" s="1" t="str">
        <f ca="1">IFERROR(__xludf.DUMMYFUNCTION("""COMPUTED_VALUE"""),"India")</f>
        <v>India</v>
      </c>
      <c r="C527" s="1">
        <f ca="1">IFERROR(__xludf.DUMMYFUNCTION("""COMPUTED_VALUE"""),560078)</f>
        <v>560078</v>
      </c>
      <c r="D527" s="3" t="str">
        <f ca="1">IFERROR(__xludf.DUMMYFUNCTION("""COMPUTED_VALUE"""),"Male")</f>
        <v>Male</v>
      </c>
      <c r="E527" s="1" t="str">
        <f ca="1">IFERROR(__xludf.DUMMYFUNCTION("""COMPUTED_VALUE"""),"Social Media like LinkedIn")</f>
        <v>Social Media like LinkedIn</v>
      </c>
      <c r="F527" s="1" t="str">
        <f ca="1">IFERROR(__xludf.DUMMYFUNCTION("""COMPUTED_VALUE"""),"No, But if someone could bare the cost I will")</f>
        <v>No, But if someone could bare the cost I will</v>
      </c>
      <c r="G527" s="1" t="str">
        <f ca="1">IFERROR(__xludf.DUMMYFUNCTION("""COMPUTED_VALUE"""),"This will be hard to do, but if it is the right company I would try")</f>
        <v>This will be hard to do, but if it is the right company I would try</v>
      </c>
      <c r="H527" s="1" t="str">
        <f ca="1">IFERROR(__xludf.DUMMYFUNCTION("""COMPUTED_VALUE"""),"No")</f>
        <v>No</v>
      </c>
      <c r="I527" s="1" t="str">
        <f ca="1">IFERROR(__xludf.DUMMYFUNCTION("""COMPUTED_VALUE"""),"Will NOT work for them")</f>
        <v>Will NOT work for them</v>
      </c>
      <c r="J527" s="1">
        <f ca="1">IFERROR(__xludf.DUMMYFUNCTION("""COMPUTED_VALUE"""),7)</f>
        <v>7</v>
      </c>
      <c r="K527" s="1" t="str">
        <f ca="1">IFERROR(__xludf.DUMMYFUNCTION("""COMPUTED_VALUE"""),"Hybrid Working Environment with less than 3 days a month at office")</f>
        <v>Hybrid Working Environment with less than 3 days a month at office</v>
      </c>
      <c r="L527" s="1" t="str">
        <f ca="1">IFERROR(__xludf.DUMMYFUNCTION("""COMPUTED_VALUE"""),"Employer who pushes your limits by enabling an learning environment, and rewards you at the end")</f>
        <v>Employer who pushes your limits by enabling an learning environment, and rewards you at the end</v>
      </c>
      <c r="M52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2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527" s="1" t="str">
        <f ca="1">IFERROR(__xludf.DUMMYFUNCTION("""COMPUTED_VALUE"""),"Manager who explains what is expected, sets a goal and helps achieve it")</f>
        <v>Manager who explains what is expected, sets a goal and helps achieve it</v>
      </c>
      <c r="P527" s="1" t="str">
        <f ca="1">IFERROR(__xludf.DUMMYFUNCTION("""COMPUTED_VALUE"""),"Work with 2 to 3 people in my team")</f>
        <v>Work with 2 to 3 people in my team</v>
      </c>
      <c r="Q527" s="1"/>
    </row>
    <row r="528" spans="1:17" ht="13.2" x14ac:dyDescent="0.25">
      <c r="A528" s="2">
        <f ca="1">IFERROR(__xludf.DUMMYFUNCTION("""COMPUTED_VALUE"""),45021.6192261458)</f>
        <v>45021.619226145798</v>
      </c>
      <c r="B528" s="1" t="str">
        <f ca="1">IFERROR(__xludf.DUMMYFUNCTION("""COMPUTED_VALUE"""),"Others")</f>
        <v>Others</v>
      </c>
      <c r="C528" s="1">
        <f ca="1">IFERROR(__xludf.DUMMYFUNCTION("""COMPUTED_VALUE"""),122001)</f>
        <v>122001</v>
      </c>
      <c r="D528" s="3" t="str">
        <f ca="1">IFERROR(__xludf.DUMMYFUNCTION("""COMPUTED_VALUE"""),"Male")</f>
        <v>Male</v>
      </c>
      <c r="E528" s="1" t="str">
        <f ca="1">IFERROR(__xludf.DUMMYFUNCTION("""COMPUTED_VALUE"""),"People who have changed the world for better")</f>
        <v>People who have changed the world for better</v>
      </c>
      <c r="F528" s="1" t="str">
        <f ca="1">IFERROR(__xludf.DUMMYFUNCTION("""COMPUTED_VALUE"""),"No, But if someone could bare the cost I will")</f>
        <v>No, But if someone could bare the cost I will</v>
      </c>
      <c r="G528" s="1" t="str">
        <f ca="1">IFERROR(__xludf.DUMMYFUNCTION("""COMPUTED_VALUE"""),"This will be hard to do, but if it is the right company I would try")</f>
        <v>This will be hard to do, but if it is the right company I would try</v>
      </c>
      <c r="H528" s="1" t="str">
        <f ca="1">IFERROR(__xludf.DUMMYFUNCTION("""COMPUTED_VALUE"""),"No")</f>
        <v>No</v>
      </c>
      <c r="I528" s="1" t="str">
        <f ca="1">IFERROR(__xludf.DUMMYFUNCTION("""COMPUTED_VALUE"""),"Will NOT work for them")</f>
        <v>Will NOT work for them</v>
      </c>
      <c r="J528" s="1">
        <f ca="1">IFERROR(__xludf.DUMMYFUNCTION("""COMPUTED_VALUE"""),8)</f>
        <v>8</v>
      </c>
      <c r="K528" s="1" t="str">
        <f ca="1">IFERROR(__xludf.DUMMYFUNCTION("""COMPUTED_VALUE"""),"Fully Remote with Options to travel as and when needed")</f>
        <v>Fully Remote with Options to travel as and when needed</v>
      </c>
      <c r="L528" s="1" t="str">
        <f ca="1">IFERROR(__xludf.DUMMYFUNCTION("""COMPUTED_VALUE"""),"Employer who pushes your limits by enabling an learning environment, and rewards you at the end")</f>
        <v>Employer who pushes your limits by enabling an learning environment, and rewards you at the end</v>
      </c>
      <c r="M528"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28"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528" s="1" t="str">
        <f ca="1">IFERROR(__xludf.DUMMYFUNCTION("""COMPUTED_VALUE"""),"Manager who explains what is expected, sets a goal and helps achieve it")</f>
        <v>Manager who explains what is expected, sets a goal and helps achieve it</v>
      </c>
      <c r="P528" s="1" t="str">
        <f ca="1">IFERROR(__xludf.DUMMYFUNCTION("""COMPUTED_VALUE"""),"Work alone")</f>
        <v>Work alone</v>
      </c>
      <c r="Q528" s="1"/>
    </row>
    <row r="529" spans="1:17" ht="13.2" x14ac:dyDescent="0.25">
      <c r="A529" s="2">
        <f ca="1">IFERROR(__xludf.DUMMYFUNCTION("""COMPUTED_VALUE"""),45021.6237193171)</f>
        <v>45021.623719317096</v>
      </c>
      <c r="B529" s="1" t="str">
        <f ca="1">IFERROR(__xludf.DUMMYFUNCTION("""COMPUTED_VALUE"""),"India")</f>
        <v>India</v>
      </c>
      <c r="C529" s="1">
        <f ca="1">IFERROR(__xludf.DUMMYFUNCTION("""COMPUTED_VALUE"""),400053)</f>
        <v>400053</v>
      </c>
      <c r="D529" s="3" t="str">
        <f ca="1">IFERROR(__xludf.DUMMYFUNCTION("""COMPUTED_VALUE"""),"Male")</f>
        <v>Male</v>
      </c>
      <c r="E529" s="1" t="str">
        <f ca="1">IFERROR(__xludf.DUMMYFUNCTION("""COMPUTED_VALUE"""),"My Parents")</f>
        <v>My Parents</v>
      </c>
      <c r="F529" s="1" t="str">
        <f ca="1">IFERROR(__xludf.DUMMYFUNCTION("""COMPUTED_VALUE"""),"No I would not be pursuing Higher Education outside of India")</f>
        <v>No I would not be pursuing Higher Education outside of India</v>
      </c>
      <c r="G529" s="1" t="str">
        <f ca="1">IFERROR(__xludf.DUMMYFUNCTION("""COMPUTED_VALUE"""),"This will be hard to do, but if it is the right company I would try")</f>
        <v>This will be hard to do, but if it is the right company I would try</v>
      </c>
      <c r="H529" s="1" t="str">
        <f ca="1">IFERROR(__xludf.DUMMYFUNCTION("""COMPUTED_VALUE"""),"No")</f>
        <v>No</v>
      </c>
      <c r="I529" s="1" t="str">
        <f ca="1">IFERROR(__xludf.DUMMYFUNCTION("""COMPUTED_VALUE"""),"Will NOT work for them")</f>
        <v>Will NOT work for them</v>
      </c>
      <c r="J529" s="1">
        <f ca="1">IFERROR(__xludf.DUMMYFUNCTION("""COMPUTED_VALUE"""),5)</f>
        <v>5</v>
      </c>
      <c r="K529" s="1" t="str">
        <f ca="1">IFERROR(__xludf.DUMMYFUNCTION("""COMPUTED_VALUE"""),"Hybrid Working Environment with more than 15 days a month at office")</f>
        <v>Hybrid Working Environment with more than 15 days a month at office</v>
      </c>
      <c r="L529" s="1" t="str">
        <f ca="1">IFERROR(__xludf.DUMMYFUNCTION("""COMPUTED_VALUE"""),"Employer who pushes your limits by enabling an learning environment, and rewards you at the end")</f>
        <v>Employer who pushes your limits by enabling an learning environment, and rewards you at the end</v>
      </c>
      <c r="M529" s="1" t="str">
        <f ca="1">IFERROR(__xludf.DUMMYFUNCTION("""COMPUTED_VALUE"""),"Instructor or Expert Learning Programs, Learning by observing others, Manager Teaching you")</f>
        <v>Instructor or Expert Learning Programs, Learning by observing others, Manager Teaching you</v>
      </c>
      <c r="N52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529" s="1" t="str">
        <f ca="1">IFERROR(__xludf.DUMMYFUNCTION("""COMPUTED_VALUE"""),"Manager who explains what is expected, sets a goal and helps achieve it")</f>
        <v>Manager who explains what is expected, sets a goal and helps achieve it</v>
      </c>
      <c r="P529" s="1" t="str">
        <f ca="1">IFERROR(__xludf.DUMMYFUNCTION("""COMPUTED_VALUE"""),"Work with 5 to 6 people in my team")</f>
        <v>Work with 5 to 6 people in my team</v>
      </c>
      <c r="Q529" s="1"/>
    </row>
    <row r="530" spans="1:17" ht="13.2" x14ac:dyDescent="0.25">
      <c r="A530" s="2">
        <f ca="1">IFERROR(__xludf.DUMMYFUNCTION("""COMPUTED_VALUE"""),45021.6308313426)</f>
        <v>45021.630831342598</v>
      </c>
      <c r="B530" s="1" t="str">
        <f ca="1">IFERROR(__xludf.DUMMYFUNCTION("""COMPUTED_VALUE"""),"India")</f>
        <v>India</v>
      </c>
      <c r="C530" s="1">
        <f ca="1">IFERROR(__xludf.DUMMYFUNCTION("""COMPUTED_VALUE"""),517502)</f>
        <v>517502</v>
      </c>
      <c r="D530" s="3" t="str">
        <f ca="1">IFERROR(__xludf.DUMMYFUNCTION("""COMPUTED_VALUE"""),"Male")</f>
        <v>Male</v>
      </c>
      <c r="E530" s="1" t="str">
        <f ca="1">IFERROR(__xludf.DUMMYFUNCTION("""COMPUTED_VALUE"""),"My Parents")</f>
        <v>My Parents</v>
      </c>
      <c r="F530" s="1" t="str">
        <f ca="1">IFERROR(__xludf.DUMMYFUNCTION("""COMPUTED_VALUE"""),"No I would not be pursuing Higher Education outside of India")</f>
        <v>No I would not be pursuing Higher Education outside of India</v>
      </c>
      <c r="G530" s="1" t="str">
        <f ca="1">IFERROR(__xludf.DUMMYFUNCTION("""COMPUTED_VALUE"""),"This will be hard to do, but if it is the right company I would try")</f>
        <v>This will be hard to do, but if it is the right company I would try</v>
      </c>
      <c r="H530" s="1" t="str">
        <f ca="1">IFERROR(__xludf.DUMMYFUNCTION("""COMPUTED_VALUE"""),"Yes")</f>
        <v>Yes</v>
      </c>
      <c r="I530" s="1" t="str">
        <f ca="1">IFERROR(__xludf.DUMMYFUNCTION("""COMPUTED_VALUE"""),"Will work for them")</f>
        <v>Will work for them</v>
      </c>
      <c r="J530" s="1">
        <f ca="1">IFERROR(__xludf.DUMMYFUNCTION("""COMPUTED_VALUE"""),3)</f>
        <v>3</v>
      </c>
      <c r="K530" s="1" t="str">
        <f ca="1">IFERROR(__xludf.DUMMYFUNCTION("""COMPUTED_VALUE"""),"Every Day Office Environment")</f>
        <v>Every Day Office Environment</v>
      </c>
      <c r="L530" s="1" t="str">
        <f ca="1">IFERROR(__xludf.DUMMYFUNCTION("""COMPUTED_VALUE"""),"Employer who pushes your limits and doesn't enables learning environment and never rewards you")</f>
        <v>Employer who pushes your limits and doesn't enables learning environment and never rewards you</v>
      </c>
      <c r="M530"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530"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530" s="1" t="str">
        <f ca="1">IFERROR(__xludf.DUMMYFUNCTION("""COMPUTED_VALUE"""),"Manager who explains what is expected, sets a goal and helps achieve it")</f>
        <v>Manager who explains what is expected, sets a goal and helps achieve it</v>
      </c>
      <c r="P530" s="1" t="str">
        <f ca="1">IFERROR(__xludf.DUMMYFUNCTION("""COMPUTED_VALUE"""),"Work with 7 to 10 or more people in my team")</f>
        <v>Work with 7 to 10 or more people in my team</v>
      </c>
      <c r="Q530" s="1"/>
    </row>
    <row r="531" spans="1:17" ht="13.2" x14ac:dyDescent="0.25">
      <c r="A531" s="2">
        <f ca="1">IFERROR(__xludf.DUMMYFUNCTION("""COMPUTED_VALUE"""),45021.6385231712)</f>
        <v>45021.638523171197</v>
      </c>
      <c r="B531" s="1" t="str">
        <f ca="1">IFERROR(__xludf.DUMMYFUNCTION("""COMPUTED_VALUE"""),"India")</f>
        <v>India</v>
      </c>
      <c r="C531" s="1">
        <f ca="1">IFERROR(__xludf.DUMMYFUNCTION("""COMPUTED_VALUE"""),452013)</f>
        <v>452013</v>
      </c>
      <c r="D531" s="3" t="str">
        <f ca="1">IFERROR(__xludf.DUMMYFUNCTION("""COMPUTED_VALUE"""),"Male")</f>
        <v>Male</v>
      </c>
      <c r="E531" s="1" t="str">
        <f ca="1">IFERROR(__xludf.DUMMYFUNCTION("""COMPUTED_VALUE"""),"My Parents")</f>
        <v>My Parents</v>
      </c>
      <c r="F531" s="1" t="str">
        <f ca="1">IFERROR(__xludf.DUMMYFUNCTION("""COMPUTED_VALUE"""),"Yes, I will earn and do that")</f>
        <v>Yes, I will earn and do that</v>
      </c>
      <c r="G531" s="1" t="str">
        <f ca="1">IFERROR(__xludf.DUMMYFUNCTION("""COMPUTED_VALUE"""),"This will be hard to do, but if it is the right company I would try")</f>
        <v>This will be hard to do, but if it is the right company I would try</v>
      </c>
      <c r="H531" s="1" t="str">
        <f ca="1">IFERROR(__xludf.DUMMYFUNCTION("""COMPUTED_VALUE"""),"No")</f>
        <v>No</v>
      </c>
      <c r="I531" s="1" t="str">
        <f ca="1">IFERROR(__xludf.DUMMYFUNCTION("""COMPUTED_VALUE"""),"Will NOT work for them")</f>
        <v>Will NOT work for them</v>
      </c>
      <c r="J531" s="1">
        <f ca="1">IFERROR(__xludf.DUMMYFUNCTION("""COMPUTED_VALUE"""),6)</f>
        <v>6</v>
      </c>
      <c r="K531" s="1" t="str">
        <f ca="1">IFERROR(__xludf.DUMMYFUNCTION("""COMPUTED_VALUE"""),"Every Day Office Environment")</f>
        <v>Every Day Office Environment</v>
      </c>
      <c r="L531" s="1" t="str">
        <f ca="1">IFERROR(__xludf.DUMMYFUNCTION("""COMPUTED_VALUE"""),"Employer who appreciates learning and enables that environment")</f>
        <v>Employer who appreciates learning and enables that environment</v>
      </c>
      <c r="M531" s="1" t="str">
        <f ca="1">IFERROR(__xludf.DUMMYFUNCTION("""COMPUTED_VALUE"""),"Self Paced Learning Portals of the Company, Instructor or Expert Learning Programs, Manager Teaching you")</f>
        <v>Self Paced Learning Portals of the Company, Instructor or Expert Learning Programs, Manager Teaching you</v>
      </c>
      <c r="N531" s="1" t="str">
        <f ca="1">IFERROR(__xludf.DUMMYFUNCTION("""COMPUTED_VALUE"""),"Manage and drive End-to-End Projects or Products, Build and develop a Team, Entrepreneur or Start Up, Manufacturing / Oil and Gas/ Construction / Hard Physical Work related")</f>
        <v>Manage and drive End-to-End Projects or Products, Build and develop a Team, Entrepreneur or Start Up, Manufacturing / Oil and Gas/ Construction / Hard Physical Work related</v>
      </c>
      <c r="O531" s="1" t="str">
        <f ca="1">IFERROR(__xludf.DUMMYFUNCTION("""COMPUTED_VALUE"""),"Manager who explains what is expected, sets a goal and helps achieve it")</f>
        <v>Manager who explains what is expected, sets a goal and helps achieve it</v>
      </c>
      <c r="P53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31" s="1"/>
    </row>
    <row r="532" spans="1:17" ht="13.2" x14ac:dyDescent="0.25">
      <c r="A532" s="2">
        <f ca="1">IFERROR(__xludf.DUMMYFUNCTION("""COMPUTED_VALUE"""),45021.6395241782)</f>
        <v>45021.639524178201</v>
      </c>
      <c r="B532" s="1" t="str">
        <f ca="1">IFERROR(__xludf.DUMMYFUNCTION("""COMPUTED_VALUE"""),"India")</f>
        <v>India</v>
      </c>
      <c r="C532" s="1">
        <f ca="1">IFERROR(__xludf.DUMMYFUNCTION("""COMPUTED_VALUE"""),364001)</f>
        <v>364001</v>
      </c>
      <c r="D532" s="3" t="str">
        <f ca="1">IFERROR(__xludf.DUMMYFUNCTION("""COMPUTED_VALUE"""),"Male")</f>
        <v>Male</v>
      </c>
      <c r="E532" s="1" t="str">
        <f ca="1">IFERROR(__xludf.DUMMYFUNCTION("""COMPUTED_VALUE"""),"People who have changed the world for better")</f>
        <v>People who have changed the world for better</v>
      </c>
      <c r="F532" s="1" t="str">
        <f ca="1">IFERROR(__xludf.DUMMYFUNCTION("""COMPUTED_VALUE"""),"Yes, I will earn and do that")</f>
        <v>Yes, I will earn and do that</v>
      </c>
      <c r="G532" s="1" t="str">
        <f ca="1">IFERROR(__xludf.DUMMYFUNCTION("""COMPUTED_VALUE"""),"No way")</f>
        <v>No way</v>
      </c>
      <c r="H532" s="1" t="str">
        <f ca="1">IFERROR(__xludf.DUMMYFUNCTION("""COMPUTED_VALUE"""),"No")</f>
        <v>No</v>
      </c>
      <c r="I532" s="1" t="str">
        <f ca="1">IFERROR(__xludf.DUMMYFUNCTION("""COMPUTED_VALUE"""),"Will NOT work for them")</f>
        <v>Will NOT work for them</v>
      </c>
      <c r="J532" s="1">
        <f ca="1">IFERROR(__xludf.DUMMYFUNCTION("""COMPUTED_VALUE"""),1)</f>
        <v>1</v>
      </c>
      <c r="K532" s="1" t="str">
        <f ca="1">IFERROR(__xludf.DUMMYFUNCTION("""COMPUTED_VALUE"""),"Fully Remote with Options to travel as and when needed")</f>
        <v>Fully Remote with Options to travel as and when needed</v>
      </c>
      <c r="L532" s="1" t="str">
        <f ca="1">IFERROR(__xludf.DUMMYFUNCTION("""COMPUTED_VALUE"""),"Employer who pushes your limits by enabling an learning environment, and rewards you at the end")</f>
        <v>Employer who pushes your limits by enabling an learning environment, and rewards you at the end</v>
      </c>
      <c r="M53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32"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532" s="1" t="str">
        <f ca="1">IFERROR(__xludf.DUMMYFUNCTION("""COMPUTED_VALUE"""),"Manager who sets goal and helps me achieve it")</f>
        <v>Manager who sets goal and helps me achieve it</v>
      </c>
      <c r="P532" s="1" t="str">
        <f ca="1">IFERROR(__xludf.DUMMYFUNCTION("""COMPUTED_VALUE"""),"Work with 2 to 3 people in my team")</f>
        <v>Work with 2 to 3 people in my team</v>
      </c>
      <c r="Q532" s="1"/>
    </row>
    <row r="533" spans="1:17" ht="13.2" x14ac:dyDescent="0.25">
      <c r="A533" s="2">
        <f ca="1">IFERROR(__xludf.DUMMYFUNCTION("""COMPUTED_VALUE"""),45021.6421212962)</f>
        <v>45021.642121296201</v>
      </c>
      <c r="B533" s="1" t="str">
        <f ca="1">IFERROR(__xludf.DUMMYFUNCTION("""COMPUTED_VALUE"""),"India")</f>
        <v>India</v>
      </c>
      <c r="C533" s="1">
        <f ca="1">IFERROR(__xludf.DUMMYFUNCTION("""COMPUTED_VALUE"""),382340)</f>
        <v>382340</v>
      </c>
      <c r="D533" s="3" t="str">
        <f ca="1">IFERROR(__xludf.DUMMYFUNCTION("""COMPUTED_VALUE"""),"Female")</f>
        <v>Female</v>
      </c>
      <c r="E533" s="1" t="str">
        <f ca="1">IFERROR(__xludf.DUMMYFUNCTION("""COMPUTED_VALUE"""),"Influencers who had successful careers")</f>
        <v>Influencers who had successful careers</v>
      </c>
      <c r="F533" s="1" t="str">
        <f ca="1">IFERROR(__xludf.DUMMYFUNCTION("""COMPUTED_VALUE"""),"Yes, I will earn and do that")</f>
        <v>Yes, I will earn and do that</v>
      </c>
      <c r="G533" s="1" t="str">
        <f ca="1">IFERROR(__xludf.DUMMYFUNCTION("""COMPUTED_VALUE"""),"This will be hard to do, but if it is the right company I would try")</f>
        <v>This will be hard to do, but if it is the right company I would try</v>
      </c>
      <c r="H533" s="1" t="str">
        <f ca="1">IFERROR(__xludf.DUMMYFUNCTION("""COMPUTED_VALUE"""),"No")</f>
        <v>No</v>
      </c>
      <c r="I533" s="1" t="str">
        <f ca="1">IFERROR(__xludf.DUMMYFUNCTION("""COMPUTED_VALUE"""),"Will NOT work for them")</f>
        <v>Will NOT work for them</v>
      </c>
      <c r="J533" s="1">
        <f ca="1">IFERROR(__xludf.DUMMYFUNCTION("""COMPUTED_VALUE"""),5)</f>
        <v>5</v>
      </c>
      <c r="K533" s="1" t="str">
        <f ca="1">IFERROR(__xludf.DUMMYFUNCTION("""COMPUTED_VALUE"""),"Fully Remote with Options to travel as and when needed")</f>
        <v>Fully Remote with Options to travel as and when needed</v>
      </c>
      <c r="L533" s="1" t="str">
        <f ca="1">IFERROR(__xludf.DUMMYFUNCTION("""COMPUTED_VALUE"""),"Employer who appreciates learning and enables that environment")</f>
        <v>Employer who appreciates learning and enables that environment</v>
      </c>
      <c r="M5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3"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33" s="1" t="str">
        <f ca="1">IFERROR(__xludf.DUMMYFUNCTION("""COMPUTED_VALUE"""),"Manager who explains what is expected, sets a goal and helps achieve it")</f>
        <v>Manager who explains what is expected, sets a goal and helps achieve it</v>
      </c>
      <c r="P533" s="1" t="str">
        <f ca="1">IFERROR(__xludf.DUMMYFUNCTION("""COMPUTED_VALUE"""),"Work with more than 10 people in my team")</f>
        <v>Work with more than 10 people in my team</v>
      </c>
      <c r="Q533" s="1"/>
    </row>
    <row r="534" spans="1:17" ht="13.2" x14ac:dyDescent="0.25">
      <c r="A534" s="2">
        <f ca="1">IFERROR(__xludf.DUMMYFUNCTION("""COMPUTED_VALUE"""),45021.644386956)</f>
        <v>45021.644386956003</v>
      </c>
      <c r="B534" s="1" t="str">
        <f ca="1">IFERROR(__xludf.DUMMYFUNCTION("""COMPUTED_VALUE"""),"India")</f>
        <v>India</v>
      </c>
      <c r="C534" s="1">
        <f ca="1">IFERROR(__xludf.DUMMYFUNCTION("""COMPUTED_VALUE"""),831015)</f>
        <v>831015</v>
      </c>
      <c r="D534" s="3" t="str">
        <f ca="1">IFERROR(__xludf.DUMMYFUNCTION("""COMPUTED_VALUE"""),"Female")</f>
        <v>Female</v>
      </c>
      <c r="E534" s="1" t="str">
        <f ca="1">IFERROR(__xludf.DUMMYFUNCTION("""COMPUTED_VALUE"""),"Social Media like LinkedIn")</f>
        <v>Social Media like LinkedIn</v>
      </c>
      <c r="F534" s="1" t="str">
        <f ca="1">IFERROR(__xludf.DUMMYFUNCTION("""COMPUTED_VALUE"""),"No, But if someone could bare the cost I will")</f>
        <v>No, But if someone could bare the cost I will</v>
      </c>
      <c r="G534" s="1" t="str">
        <f ca="1">IFERROR(__xludf.DUMMYFUNCTION("""COMPUTED_VALUE"""),"This will be hard to do, but if it is the right company I would try")</f>
        <v>This will be hard to do, but if it is the right company I would try</v>
      </c>
      <c r="H534" s="1" t="str">
        <f ca="1">IFERROR(__xludf.DUMMYFUNCTION("""COMPUTED_VALUE"""),"No")</f>
        <v>No</v>
      </c>
      <c r="I534" s="1" t="str">
        <f ca="1">IFERROR(__xludf.DUMMYFUNCTION("""COMPUTED_VALUE"""),"Will work for them")</f>
        <v>Will work for them</v>
      </c>
      <c r="J534" s="1">
        <f ca="1">IFERROR(__xludf.DUMMYFUNCTION("""COMPUTED_VALUE"""),9)</f>
        <v>9</v>
      </c>
      <c r="K534" s="1" t="str">
        <f ca="1">IFERROR(__xludf.DUMMYFUNCTION("""COMPUTED_VALUE"""),"Fully Remote with Options to travel as and when needed")</f>
        <v>Fully Remote with Options to travel as and when needed</v>
      </c>
      <c r="L534" s="1" t="str">
        <f ca="1">IFERROR(__xludf.DUMMYFUNCTION("""COMPUTED_VALUE"""),"Employer who rewards learning and enables that environment")</f>
        <v>Employer who rewards learning and enables that environment</v>
      </c>
      <c r="M53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34"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534" s="1" t="str">
        <f ca="1">IFERROR(__xludf.DUMMYFUNCTION("""COMPUTED_VALUE"""),"Manager who clearly describes what she/he needs")</f>
        <v>Manager who clearly describes what she/he needs</v>
      </c>
      <c r="P534" s="1" t="str">
        <f ca="1">IFERROR(__xludf.DUMMYFUNCTION("""COMPUTED_VALUE"""),"Work with 5 to 6 people in my team")</f>
        <v>Work with 5 to 6 people in my team</v>
      </c>
      <c r="Q534" s="1"/>
    </row>
    <row r="535" spans="1:17" ht="13.2" x14ac:dyDescent="0.25">
      <c r="A535" s="2">
        <f ca="1">IFERROR(__xludf.DUMMYFUNCTION("""COMPUTED_VALUE"""),45021.6459387963)</f>
        <v>45021.645938796297</v>
      </c>
      <c r="B535" s="1" t="str">
        <f ca="1">IFERROR(__xludf.DUMMYFUNCTION("""COMPUTED_VALUE"""),"India")</f>
        <v>India</v>
      </c>
      <c r="C535" s="1">
        <f ca="1">IFERROR(__xludf.DUMMYFUNCTION("""COMPUTED_VALUE"""),422003)</f>
        <v>422003</v>
      </c>
      <c r="D535" s="3" t="str">
        <f ca="1">IFERROR(__xludf.DUMMYFUNCTION("""COMPUTED_VALUE"""),"Male")</f>
        <v>Male</v>
      </c>
      <c r="E535" s="1" t="str">
        <f ca="1">IFERROR(__xludf.DUMMYFUNCTION("""COMPUTED_VALUE"""),"People who have changed the world for better")</f>
        <v>People who have changed the world for better</v>
      </c>
      <c r="F535" s="1" t="str">
        <f ca="1">IFERROR(__xludf.DUMMYFUNCTION("""COMPUTED_VALUE"""),"No I would not be pursuing Higher Education outside of India")</f>
        <v>No I would not be pursuing Higher Education outside of India</v>
      </c>
      <c r="G535" s="1" t="str">
        <f ca="1">IFERROR(__xludf.DUMMYFUNCTION("""COMPUTED_VALUE"""),"This will be hard to do, but if it is the right company I would try")</f>
        <v>This will be hard to do, but if it is the right company I would try</v>
      </c>
      <c r="H535" s="1" t="str">
        <f ca="1">IFERROR(__xludf.DUMMYFUNCTION("""COMPUTED_VALUE"""),"No")</f>
        <v>No</v>
      </c>
      <c r="I535" s="1" t="str">
        <f ca="1">IFERROR(__xludf.DUMMYFUNCTION("""COMPUTED_VALUE"""),"Will NOT work for them")</f>
        <v>Will NOT work for them</v>
      </c>
      <c r="J535" s="1">
        <f ca="1">IFERROR(__xludf.DUMMYFUNCTION("""COMPUTED_VALUE"""),5)</f>
        <v>5</v>
      </c>
      <c r="K535" s="1" t="str">
        <f ca="1">IFERROR(__xludf.DUMMYFUNCTION("""COMPUTED_VALUE"""),"Every Day Office Environment")</f>
        <v>Every Day Office Environment</v>
      </c>
      <c r="L535" s="1" t="str">
        <f ca="1">IFERROR(__xludf.DUMMYFUNCTION("""COMPUTED_VALUE"""),"Employer who appreciates learning and enables that environment")</f>
        <v>Employer who appreciates learning and enables that environment</v>
      </c>
      <c r="M535" s="1" t="str">
        <f ca="1">IFERROR(__xludf.DUMMYFUNCTION("""COMPUTED_VALUE"""),"Instructor or Expert Learning Programs, Learning by observing others, Manager Teaching you")</f>
        <v>Instructor or Expert Learning Programs, Learning by observing others, Manager Teaching you</v>
      </c>
      <c r="N53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5" s="1" t="str">
        <f ca="1">IFERROR(__xludf.DUMMYFUNCTION("""COMPUTED_VALUE"""),"Manager who explains what is expected, sets a goal and helps achieve it")</f>
        <v>Manager who explains what is expected, sets a goal and helps achieve it</v>
      </c>
      <c r="P535" s="1" t="str">
        <f ca="1">IFERROR(__xludf.DUMMYFUNCTION("""COMPUTED_VALUE"""),"Work with 2 to 3 people in my team")</f>
        <v>Work with 2 to 3 people in my team</v>
      </c>
      <c r="Q535" s="1"/>
    </row>
    <row r="536" spans="1:17" ht="13.2" x14ac:dyDescent="0.25">
      <c r="A536" s="2">
        <f ca="1">IFERROR(__xludf.DUMMYFUNCTION("""COMPUTED_VALUE"""),45021.6475687615)</f>
        <v>45021.647568761502</v>
      </c>
      <c r="B536" s="1" t="str">
        <f ca="1">IFERROR(__xludf.DUMMYFUNCTION("""COMPUTED_VALUE"""),"India")</f>
        <v>India</v>
      </c>
      <c r="C536" s="1">
        <f ca="1">IFERROR(__xludf.DUMMYFUNCTION("""COMPUTED_VALUE"""),517501)</f>
        <v>517501</v>
      </c>
      <c r="D536" s="3" t="str">
        <f ca="1">IFERROR(__xludf.DUMMYFUNCTION("""COMPUTED_VALUE"""),"Male")</f>
        <v>Male</v>
      </c>
      <c r="E536" s="1" t="str">
        <f ca="1">IFERROR(__xludf.DUMMYFUNCTION("""COMPUTED_VALUE"""),"My Parents")</f>
        <v>My Parents</v>
      </c>
      <c r="F536" s="1" t="str">
        <f ca="1">IFERROR(__xludf.DUMMYFUNCTION("""COMPUTED_VALUE"""),"Yes, I will earn and do that")</f>
        <v>Yes, I will earn and do that</v>
      </c>
      <c r="G536" s="1" t="str">
        <f ca="1">IFERROR(__xludf.DUMMYFUNCTION("""COMPUTED_VALUE"""),"Will work for 3 years or more")</f>
        <v>Will work for 3 years or more</v>
      </c>
      <c r="H536" s="1" t="str">
        <f ca="1">IFERROR(__xludf.DUMMYFUNCTION("""COMPUTED_VALUE"""),"No")</f>
        <v>No</v>
      </c>
      <c r="I536" s="1" t="str">
        <f ca="1">IFERROR(__xludf.DUMMYFUNCTION("""COMPUTED_VALUE"""),"Will NOT work for them")</f>
        <v>Will NOT work for them</v>
      </c>
      <c r="J536" s="1">
        <f ca="1">IFERROR(__xludf.DUMMYFUNCTION("""COMPUTED_VALUE"""),7)</f>
        <v>7</v>
      </c>
      <c r="K536" s="1" t="str">
        <f ca="1">IFERROR(__xludf.DUMMYFUNCTION("""COMPUTED_VALUE"""),"Every Day Office Environment")</f>
        <v>Every Day Office Environment</v>
      </c>
      <c r="L536" s="1" t="str">
        <f ca="1">IFERROR(__xludf.DUMMYFUNCTION("""COMPUTED_VALUE"""),"Employer who pushes your limits by enabling an learning environment, and rewards you at the end")</f>
        <v>Employer who pushes your limits by enabling an learning environment, and rewards you at the end</v>
      </c>
      <c r="M53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6" s="1" t="str">
        <f ca="1">IFERROR(__xludf.DUMMYFUNCTION("""COMPUTED_VALUE"""),"Manager who explains what is expected, sets a goal and helps achieve it")</f>
        <v>Manager who explains what is expected, sets a goal and helps achieve it</v>
      </c>
      <c r="P536" s="1" t="str">
        <f ca="1">IFERROR(__xludf.DUMMYFUNCTION("""COMPUTED_VALUE"""),"Work with 5 to 6 people in my team")</f>
        <v>Work with 5 to 6 people in my team</v>
      </c>
      <c r="Q536" s="1"/>
    </row>
    <row r="537" spans="1:17" ht="13.2" x14ac:dyDescent="0.25">
      <c r="A537" s="2">
        <f ca="1">IFERROR(__xludf.DUMMYFUNCTION("""COMPUTED_VALUE"""),45021.6498344791)</f>
        <v>45021.649834479103</v>
      </c>
      <c r="B537" s="1" t="str">
        <f ca="1">IFERROR(__xludf.DUMMYFUNCTION("""COMPUTED_VALUE"""),"India")</f>
        <v>India</v>
      </c>
      <c r="C537" s="1">
        <f ca="1">IFERROR(__xludf.DUMMYFUNCTION("""COMPUTED_VALUE"""),831015)</f>
        <v>831015</v>
      </c>
      <c r="D537" s="3" t="str">
        <f ca="1">IFERROR(__xludf.DUMMYFUNCTION("""COMPUTED_VALUE"""),"Male")</f>
        <v>Male</v>
      </c>
      <c r="E537" s="1" t="str">
        <f ca="1">IFERROR(__xludf.DUMMYFUNCTION("""COMPUTED_VALUE"""),"Influencers who had successful careers")</f>
        <v>Influencers who had successful careers</v>
      </c>
      <c r="F537" s="1" t="str">
        <f ca="1">IFERROR(__xludf.DUMMYFUNCTION("""COMPUTED_VALUE"""),"Yes, I will earn and do that")</f>
        <v>Yes, I will earn and do that</v>
      </c>
      <c r="G537" s="1" t="str">
        <f ca="1">IFERROR(__xludf.DUMMYFUNCTION("""COMPUTED_VALUE"""),"Will work for 3 years or more")</f>
        <v>Will work for 3 years or more</v>
      </c>
      <c r="H537" s="1" t="str">
        <f ca="1">IFERROR(__xludf.DUMMYFUNCTION("""COMPUTED_VALUE"""),"Yes")</f>
        <v>Yes</v>
      </c>
      <c r="I537" s="1" t="str">
        <f ca="1">IFERROR(__xludf.DUMMYFUNCTION("""COMPUTED_VALUE"""),"Will work for them")</f>
        <v>Will work for them</v>
      </c>
      <c r="J537" s="1">
        <f ca="1">IFERROR(__xludf.DUMMYFUNCTION("""COMPUTED_VALUE"""),10)</f>
        <v>10</v>
      </c>
      <c r="K537" s="1" t="str">
        <f ca="1">IFERROR(__xludf.DUMMYFUNCTION("""COMPUTED_VALUE"""),"Fully Remote with Options to travel as and when needed")</f>
        <v>Fully Remote with Options to travel as and when needed</v>
      </c>
      <c r="L537" s="1" t="str">
        <f ca="1">IFERROR(__xludf.DUMMYFUNCTION("""COMPUTED_VALUE"""),"Employer who appreciates learning and enables that environment")</f>
        <v>Employer who appreciates learning and enables that environment</v>
      </c>
      <c r="M5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7"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37" s="1" t="str">
        <f ca="1">IFERROR(__xludf.DUMMYFUNCTION("""COMPUTED_VALUE"""),"Manager who explains what is expected, sets a goal and helps achieve it")</f>
        <v>Manager who explains what is expected, sets a goal and helps achieve it</v>
      </c>
      <c r="P537" s="1" t="str">
        <f ca="1">IFERROR(__xludf.DUMMYFUNCTION("""COMPUTED_VALUE"""),"Work with 7 to 10 or more people in my team")</f>
        <v>Work with 7 to 10 or more people in my team</v>
      </c>
      <c r="Q537" s="1"/>
    </row>
    <row r="538" spans="1:17" ht="13.2" x14ac:dyDescent="0.25">
      <c r="A538" s="2">
        <f ca="1">IFERROR(__xludf.DUMMYFUNCTION("""COMPUTED_VALUE"""),45021.6538080208)</f>
        <v>45021.653808020797</v>
      </c>
      <c r="B538" s="1" t="str">
        <f ca="1">IFERROR(__xludf.DUMMYFUNCTION("""COMPUTED_VALUE"""),"India")</f>
        <v>India</v>
      </c>
      <c r="C538" s="1">
        <f ca="1">IFERROR(__xludf.DUMMYFUNCTION("""COMPUTED_VALUE"""),831006)</f>
        <v>831006</v>
      </c>
      <c r="D538" s="3" t="str">
        <f ca="1">IFERROR(__xludf.DUMMYFUNCTION("""COMPUTED_VALUE"""),"Female")</f>
        <v>Female</v>
      </c>
      <c r="E538" s="1" t="str">
        <f ca="1">IFERROR(__xludf.DUMMYFUNCTION("""COMPUTED_VALUE"""),"My Parents")</f>
        <v>My Parents</v>
      </c>
      <c r="F538" s="1" t="str">
        <f ca="1">IFERROR(__xludf.DUMMYFUNCTION("""COMPUTED_VALUE"""),"Yes, I will earn and do that")</f>
        <v>Yes, I will earn and do that</v>
      </c>
      <c r="G538" s="1" t="str">
        <f ca="1">IFERROR(__xludf.DUMMYFUNCTION("""COMPUTED_VALUE"""),"This will be hard to do, but if it is the right company I would try")</f>
        <v>This will be hard to do, but if it is the right company I would try</v>
      </c>
      <c r="H538" s="1" t="str">
        <f ca="1">IFERROR(__xludf.DUMMYFUNCTION("""COMPUTED_VALUE"""),"Yes")</f>
        <v>Yes</v>
      </c>
      <c r="I538" s="1" t="str">
        <f ca="1">IFERROR(__xludf.DUMMYFUNCTION("""COMPUTED_VALUE"""),"Will work for them")</f>
        <v>Will work for them</v>
      </c>
      <c r="J538" s="1">
        <f ca="1">IFERROR(__xludf.DUMMYFUNCTION("""COMPUTED_VALUE"""),2)</f>
        <v>2</v>
      </c>
      <c r="K538" s="1" t="str">
        <f ca="1">IFERROR(__xludf.DUMMYFUNCTION("""COMPUTED_VALUE"""),"Fully Remote with Options to travel as and when needed")</f>
        <v>Fully Remote with Options to travel as and when needed</v>
      </c>
      <c r="L538" s="1" t="str">
        <f ca="1">IFERROR(__xludf.DUMMYFUNCTION("""COMPUTED_VALUE"""),"Employer who pushes your limits by enabling an learning environment, and rewards you at the end")</f>
        <v>Employer who pushes your limits by enabling an learning environment, and rewards you at the end</v>
      </c>
      <c r="M538" s="1" t="str">
        <f ca="1">IFERROR(__xludf.DUMMYFUNCTION("""COMPUTED_VALUE"""),"Instructor or Expert Learning Programs, Learning by observing others, Manager Teaching you")</f>
        <v>Instructor or Expert Learning Programs, Learning by observing others, Manager Teaching you</v>
      </c>
      <c r="N53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38" s="1" t="str">
        <f ca="1">IFERROR(__xludf.DUMMYFUNCTION("""COMPUTED_VALUE"""),"Manager who clearly describes what she/he needs")</f>
        <v>Manager who clearly describes what she/he needs</v>
      </c>
      <c r="P538" s="1" t="str">
        <f ca="1">IFERROR(__xludf.DUMMYFUNCTION("""COMPUTED_VALUE"""),"Work with 2 to 3 people in my team")</f>
        <v>Work with 2 to 3 people in my team</v>
      </c>
      <c r="Q538" s="1"/>
    </row>
    <row r="539" spans="1:17" ht="13.2" x14ac:dyDescent="0.25">
      <c r="A539" s="2">
        <f ca="1">IFERROR(__xludf.DUMMYFUNCTION("""COMPUTED_VALUE"""),45021.6540724189)</f>
        <v>45021.654072418904</v>
      </c>
      <c r="B539" s="1" t="str">
        <f ca="1">IFERROR(__xludf.DUMMYFUNCTION("""COMPUTED_VALUE"""),"India")</f>
        <v>India</v>
      </c>
      <c r="C539" s="1">
        <f ca="1">IFERROR(__xludf.DUMMYFUNCTION("""COMPUTED_VALUE"""),832110)</f>
        <v>832110</v>
      </c>
      <c r="D539" s="3" t="str">
        <f ca="1">IFERROR(__xludf.DUMMYFUNCTION("""COMPUTED_VALUE"""),"Male")</f>
        <v>Male</v>
      </c>
      <c r="E539" s="1" t="str">
        <f ca="1">IFERROR(__xludf.DUMMYFUNCTION("""COMPUTED_VALUE"""),"My Parents")</f>
        <v>My Parents</v>
      </c>
      <c r="F539" s="1" t="str">
        <f ca="1">IFERROR(__xludf.DUMMYFUNCTION("""COMPUTED_VALUE"""),"No I would not be pursuing Higher Education outside of India")</f>
        <v>No I would not be pursuing Higher Education outside of India</v>
      </c>
      <c r="G539" s="1" t="str">
        <f ca="1">IFERROR(__xludf.DUMMYFUNCTION("""COMPUTED_VALUE"""),"This will be hard to do, but if it is the right company I would try")</f>
        <v>This will be hard to do, but if it is the right company I would try</v>
      </c>
      <c r="H539" s="1" t="str">
        <f ca="1">IFERROR(__xludf.DUMMYFUNCTION("""COMPUTED_VALUE"""),"No")</f>
        <v>No</v>
      </c>
      <c r="I539" s="1" t="str">
        <f ca="1">IFERROR(__xludf.DUMMYFUNCTION("""COMPUTED_VALUE"""),"Will NOT work for them")</f>
        <v>Will NOT work for them</v>
      </c>
      <c r="J539" s="1">
        <f ca="1">IFERROR(__xludf.DUMMYFUNCTION("""COMPUTED_VALUE"""),10)</f>
        <v>10</v>
      </c>
      <c r="K539" s="1" t="str">
        <f ca="1">IFERROR(__xludf.DUMMYFUNCTION("""COMPUTED_VALUE"""),"Hybrid Working Environment with more than 15 days a month at office")</f>
        <v>Hybrid Working Environment with more than 15 days a month at office</v>
      </c>
      <c r="L539" s="1" t="str">
        <f ca="1">IFERROR(__xludf.DUMMYFUNCTION("""COMPUTED_VALUE"""),"Employer who pushes your limits by enabling an learning environment, and rewards you at the end")</f>
        <v>Employer who pushes your limits by enabling an learning environment, and rewards you at the end</v>
      </c>
      <c r="M53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9"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539" s="1" t="str">
        <f ca="1">IFERROR(__xludf.DUMMYFUNCTION("""COMPUTED_VALUE"""),"Manager who clearly describes what she/he needs")</f>
        <v>Manager who clearly describes what she/he needs</v>
      </c>
      <c r="P539" s="1" t="str">
        <f ca="1">IFERROR(__xludf.DUMMYFUNCTION("""COMPUTED_VALUE"""),"Work alone")</f>
        <v>Work alone</v>
      </c>
      <c r="Q539" s="1"/>
    </row>
    <row r="540" spans="1:17" ht="13.2" x14ac:dyDescent="0.25">
      <c r="A540" s="2">
        <f ca="1">IFERROR(__xludf.DUMMYFUNCTION("""COMPUTED_VALUE"""),45021.6543216203)</f>
        <v>45021.654321620299</v>
      </c>
      <c r="B540" s="1" t="str">
        <f ca="1">IFERROR(__xludf.DUMMYFUNCTION("""COMPUTED_VALUE"""),"India")</f>
        <v>India</v>
      </c>
      <c r="C540" s="1">
        <f ca="1">IFERROR(__xludf.DUMMYFUNCTION("""COMPUTED_VALUE"""),831016)</f>
        <v>831016</v>
      </c>
      <c r="D540" s="3" t="str">
        <f ca="1">IFERROR(__xludf.DUMMYFUNCTION("""COMPUTED_VALUE"""),"Male")</f>
        <v>Male</v>
      </c>
      <c r="E540" s="1" t="str">
        <f ca="1">IFERROR(__xludf.DUMMYFUNCTION("""COMPUTED_VALUE"""),"People from my circle, but not family members")</f>
        <v>People from my circle, but not family members</v>
      </c>
      <c r="F540" s="1" t="str">
        <f ca="1">IFERROR(__xludf.DUMMYFUNCTION("""COMPUTED_VALUE"""),"Yes, I will earn and do that")</f>
        <v>Yes, I will earn and do that</v>
      </c>
      <c r="G540" s="1" t="str">
        <f ca="1">IFERROR(__xludf.DUMMYFUNCTION("""COMPUTED_VALUE"""),"No way")</f>
        <v>No way</v>
      </c>
      <c r="H540" s="1" t="str">
        <f ca="1">IFERROR(__xludf.DUMMYFUNCTION("""COMPUTED_VALUE"""),"No")</f>
        <v>No</v>
      </c>
      <c r="I540" s="1" t="str">
        <f ca="1">IFERROR(__xludf.DUMMYFUNCTION("""COMPUTED_VALUE"""),"Will work for them")</f>
        <v>Will work for them</v>
      </c>
      <c r="J540" s="1">
        <f ca="1">IFERROR(__xludf.DUMMYFUNCTION("""COMPUTED_VALUE"""),8)</f>
        <v>8</v>
      </c>
      <c r="K540" s="1" t="str">
        <f ca="1">IFERROR(__xludf.DUMMYFUNCTION("""COMPUTED_VALUE"""),"Hybrid Working Environment with more than 15 days a month at office")</f>
        <v>Hybrid Working Environment with more than 15 days a month at office</v>
      </c>
      <c r="L540" s="1" t="str">
        <f ca="1">IFERROR(__xludf.DUMMYFUNCTION("""COMPUTED_VALUE"""),"Employer who pushes your limits and doesn't enables learning environment and never rewards you")</f>
        <v>Employer who pushes your limits and doesn't enables learning environment and never rewards you</v>
      </c>
      <c r="M540"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0" s="1" t="str">
        <f ca="1">IFERROR(__xludf.DUMMYFUNCTION("""COMPUTED_VALUE"""),"Manage and drive End-to-End Projects or Products, Design and Develop amazing software, Work in a BPO setup for some well known client, I Want to sell things/Sales")</f>
        <v>Manage and drive End-to-End Projects or Products, Design and Develop amazing software, Work in a BPO setup for some well known client, I Want to sell things/Sales</v>
      </c>
      <c r="O540" s="1" t="str">
        <f ca="1">IFERROR(__xludf.DUMMYFUNCTION("""COMPUTED_VALUE"""),"Manager who sets goal and helps me achieve it")</f>
        <v>Manager who sets goal and helps me achieve it</v>
      </c>
      <c r="P540" s="1" t="str">
        <f ca="1">IFERROR(__xludf.DUMMYFUNCTION("""COMPUTED_VALUE"""),"Work with 5 to 6 people in my team")</f>
        <v>Work with 5 to 6 people in my team</v>
      </c>
      <c r="Q540" s="1"/>
    </row>
    <row r="541" spans="1:17" ht="13.2" x14ac:dyDescent="0.25">
      <c r="A541" s="2">
        <f ca="1">IFERROR(__xludf.DUMMYFUNCTION("""COMPUTED_VALUE"""),45021.6567556828)</f>
        <v>45021.656755682801</v>
      </c>
      <c r="B541" s="1" t="str">
        <f ca="1">IFERROR(__xludf.DUMMYFUNCTION("""COMPUTED_VALUE"""),"India")</f>
        <v>India</v>
      </c>
      <c r="C541" s="1">
        <f ca="1">IFERROR(__xludf.DUMMYFUNCTION("""COMPUTED_VALUE"""),831001)</f>
        <v>831001</v>
      </c>
      <c r="D541" s="3" t="str">
        <f ca="1">IFERROR(__xludf.DUMMYFUNCTION("""COMPUTED_VALUE"""),"Female")</f>
        <v>Female</v>
      </c>
      <c r="E541" s="1" t="str">
        <f ca="1">IFERROR(__xludf.DUMMYFUNCTION("""COMPUTED_VALUE"""),"My Parents")</f>
        <v>My Parents</v>
      </c>
      <c r="F541" s="1" t="str">
        <f ca="1">IFERROR(__xludf.DUMMYFUNCTION("""COMPUTED_VALUE"""),"Yes, I will earn and do that")</f>
        <v>Yes, I will earn and do that</v>
      </c>
      <c r="G541" s="1" t="str">
        <f ca="1">IFERROR(__xludf.DUMMYFUNCTION("""COMPUTED_VALUE"""),"Will work for 3 years or more")</f>
        <v>Will work for 3 years or more</v>
      </c>
      <c r="H541" s="1" t="str">
        <f ca="1">IFERROR(__xludf.DUMMYFUNCTION("""COMPUTED_VALUE"""),"Yes")</f>
        <v>Yes</v>
      </c>
      <c r="I541" s="1" t="str">
        <f ca="1">IFERROR(__xludf.DUMMYFUNCTION("""COMPUTED_VALUE"""),"Will NOT work for them")</f>
        <v>Will NOT work for them</v>
      </c>
      <c r="J541" s="1">
        <f ca="1">IFERROR(__xludf.DUMMYFUNCTION("""COMPUTED_VALUE"""),3)</f>
        <v>3</v>
      </c>
      <c r="K541" s="1" t="str">
        <f ca="1">IFERROR(__xludf.DUMMYFUNCTION("""COMPUTED_VALUE"""),"Fully Remote with Options to travel as and when needed")</f>
        <v>Fully Remote with Options to travel as and when needed</v>
      </c>
      <c r="L541" s="1" t="str">
        <f ca="1">IFERROR(__xludf.DUMMYFUNCTION("""COMPUTED_VALUE"""),"Employer who pushes your limits and doesn't enables learning environment and never rewards you")</f>
        <v>Employer who pushes your limits and doesn't enables learning environment and never rewards you</v>
      </c>
      <c r="M54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41" s="1" t="str">
        <f ca="1">IFERROR(__xludf.DUMMYFUNCTION("""COMPUTED_VALUE"""),"Design and Creative strategy in any company, Manage and drive End-to-End Projects or Products, Build and develop a Team, Work in a BPO setup for some well known client")</f>
        <v>Design and Creative strategy in any company, Manage and drive End-to-End Projects or Products, Build and develop a Team, Work in a BPO setup for some well known client</v>
      </c>
      <c r="O541" s="1" t="str">
        <f ca="1">IFERROR(__xludf.DUMMYFUNCTION("""COMPUTED_VALUE"""),"Manager who sets unrealistic targets")</f>
        <v>Manager who sets unrealistic targets</v>
      </c>
      <c r="P541" s="1" t="str">
        <f ca="1">IFERROR(__xludf.DUMMYFUNCTION("""COMPUTED_VALUE"""),"Work with 2 to 3 people in my team, Work with 7 to 10 or more people in my team, Work with more than 10 people in my team")</f>
        <v>Work with 2 to 3 people in my team, Work with 7 to 10 or more people in my team, Work with more than 10 people in my team</v>
      </c>
      <c r="Q541" s="1"/>
    </row>
    <row r="542" spans="1:17" ht="13.2" x14ac:dyDescent="0.25">
      <c r="A542" s="2">
        <f ca="1">IFERROR(__xludf.DUMMYFUNCTION("""COMPUTED_VALUE"""),45021.6569752893)</f>
        <v>45021.656975289297</v>
      </c>
      <c r="B542" s="1" t="str">
        <f ca="1">IFERROR(__xludf.DUMMYFUNCTION("""COMPUTED_VALUE"""),"India")</f>
        <v>India</v>
      </c>
      <c r="C542" s="1">
        <f ca="1">IFERROR(__xludf.DUMMYFUNCTION("""COMPUTED_VALUE"""),831001)</f>
        <v>831001</v>
      </c>
      <c r="D542" s="3" t="str">
        <f ca="1">IFERROR(__xludf.DUMMYFUNCTION("""COMPUTED_VALUE"""),"Female")</f>
        <v>Female</v>
      </c>
      <c r="E542" s="1" t="str">
        <f ca="1">IFERROR(__xludf.DUMMYFUNCTION("""COMPUTED_VALUE"""),"People from my circle, but not family members")</f>
        <v>People from my circle, but not family members</v>
      </c>
      <c r="F542" s="1" t="str">
        <f ca="1">IFERROR(__xludf.DUMMYFUNCTION("""COMPUTED_VALUE"""),"Yes, I will earn and do that")</f>
        <v>Yes, I will earn and do that</v>
      </c>
      <c r="G542" s="1" t="str">
        <f ca="1">IFERROR(__xludf.DUMMYFUNCTION("""COMPUTED_VALUE"""),"This will be hard to do, but if it is the right company I would try")</f>
        <v>This will be hard to do, but if it is the right company I would try</v>
      </c>
      <c r="H542" s="1" t="str">
        <f ca="1">IFERROR(__xludf.DUMMYFUNCTION("""COMPUTED_VALUE"""),"No")</f>
        <v>No</v>
      </c>
      <c r="I542" s="1" t="str">
        <f ca="1">IFERROR(__xludf.DUMMYFUNCTION("""COMPUTED_VALUE"""),"Will NOT work for them")</f>
        <v>Will NOT work for them</v>
      </c>
      <c r="J542" s="1">
        <f ca="1">IFERROR(__xludf.DUMMYFUNCTION("""COMPUTED_VALUE"""),4)</f>
        <v>4</v>
      </c>
      <c r="K542" s="1" t="str">
        <f ca="1">IFERROR(__xludf.DUMMYFUNCTION("""COMPUTED_VALUE"""),"Fully Remote with Options to travel as and when needed")</f>
        <v>Fully Remote with Options to travel as and when needed</v>
      </c>
      <c r="L542" s="1" t="str">
        <f ca="1">IFERROR(__xludf.DUMMYFUNCTION("""COMPUTED_VALUE"""),"Employers who appreciates learning but doesn't enables an learning environment")</f>
        <v>Employers who appreciates learning but doesn't enables an learning environment</v>
      </c>
      <c r="M54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2" s="1" t="str">
        <f ca="1">IFERROR(__xludf.DUMMYFUNCTION("""COMPUTED_VALUE"""),"Build and develop a Team, Design and Develop amazing software, Look deeply into Data and generate insights, Manufacturing / Oil and Gas/ Construction / Hard Physical Work related")</f>
        <v>Build and develop a Team, Design and Develop amazing software, Look deeply into Data and generate insights, Manufacturing / Oil and Gas/ Construction / Hard Physical Work related</v>
      </c>
      <c r="O542" s="1" t="str">
        <f ca="1">IFERROR(__xludf.DUMMYFUNCTION("""COMPUTED_VALUE"""),"Manager who sets targets and expects me to achieve it")</f>
        <v>Manager who sets targets and expects me to achieve it</v>
      </c>
      <c r="P542" s="1" t="str">
        <f ca="1">IFERROR(__xludf.DUMMYFUNCTION("""COMPUTED_VALUE"""),"Work alone")</f>
        <v>Work alone</v>
      </c>
      <c r="Q542" s="1"/>
    </row>
    <row r="543" spans="1:17" ht="13.2" x14ac:dyDescent="0.25">
      <c r="A543" s="2">
        <f ca="1">IFERROR(__xludf.DUMMYFUNCTION("""COMPUTED_VALUE"""),45021.6570107407)</f>
        <v>45021.657010740702</v>
      </c>
      <c r="B543" s="1" t="str">
        <f ca="1">IFERROR(__xludf.DUMMYFUNCTION("""COMPUTED_VALUE"""),"India")</f>
        <v>India</v>
      </c>
      <c r="C543" s="1">
        <f ca="1">IFERROR(__xludf.DUMMYFUNCTION("""COMPUTED_VALUE"""),442902)</f>
        <v>442902</v>
      </c>
      <c r="D543" s="3" t="str">
        <f ca="1">IFERROR(__xludf.DUMMYFUNCTION("""COMPUTED_VALUE"""),"Male")</f>
        <v>Male</v>
      </c>
      <c r="E543" s="1" t="str">
        <f ca="1">IFERROR(__xludf.DUMMYFUNCTION("""COMPUTED_VALUE"""),"Influencers who had successful careers")</f>
        <v>Influencers who had successful careers</v>
      </c>
      <c r="F543" s="1" t="str">
        <f ca="1">IFERROR(__xludf.DUMMYFUNCTION("""COMPUTED_VALUE"""),"Yes, I will earn and do that")</f>
        <v>Yes, I will earn and do that</v>
      </c>
      <c r="G543" s="1" t="str">
        <f ca="1">IFERROR(__xludf.DUMMYFUNCTION("""COMPUTED_VALUE"""),"This will be hard to do, but if it is the right company I would try")</f>
        <v>This will be hard to do, but if it is the right company I would try</v>
      </c>
      <c r="H543" s="1" t="str">
        <f ca="1">IFERROR(__xludf.DUMMYFUNCTION("""COMPUTED_VALUE"""),"No")</f>
        <v>No</v>
      </c>
      <c r="I543" s="1" t="str">
        <f ca="1">IFERROR(__xludf.DUMMYFUNCTION("""COMPUTED_VALUE"""),"Will NOT work for them")</f>
        <v>Will NOT work for them</v>
      </c>
      <c r="J543" s="1">
        <f ca="1">IFERROR(__xludf.DUMMYFUNCTION("""COMPUTED_VALUE"""),2)</f>
        <v>2</v>
      </c>
      <c r="K543" s="1" t="str">
        <f ca="1">IFERROR(__xludf.DUMMYFUNCTION("""COMPUTED_VALUE"""),"Fully Remote with Options to travel as and when needed")</f>
        <v>Fully Remote with Options to travel as and when needed</v>
      </c>
      <c r="L543" s="1" t="str">
        <f ca="1">IFERROR(__xludf.DUMMYFUNCTION("""COMPUTED_VALUE"""),"Employer who pushes your limits by enabling an learning environment, and rewards you at the end")</f>
        <v>Employer who pushes your limits by enabling an learning environment, and rewards you at the end</v>
      </c>
      <c r="M54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43" s="1" t="str">
        <f ca="1">IFERROR(__xludf.DUMMYFUNCTION("""COMPUTED_VALUE"""),"Manager who sets goal and helps me achieve it")</f>
        <v>Manager who sets goal and helps me achieve it</v>
      </c>
      <c r="P543" s="1" t="str">
        <f ca="1">IFERROR(__xludf.DUMMYFUNCTION("""COMPUTED_VALUE"""),"Work with 2 to 3 people in my team")</f>
        <v>Work with 2 to 3 people in my team</v>
      </c>
      <c r="Q543" s="1"/>
    </row>
    <row r="544" spans="1:17" ht="13.2" x14ac:dyDescent="0.25">
      <c r="A544" s="2">
        <f ca="1">IFERROR(__xludf.DUMMYFUNCTION("""COMPUTED_VALUE"""),45021.6614889236)</f>
        <v>45021.661488923601</v>
      </c>
      <c r="B544" s="1" t="str">
        <f ca="1">IFERROR(__xludf.DUMMYFUNCTION("""COMPUTED_VALUE"""),"Others")</f>
        <v>Others</v>
      </c>
      <c r="C544" s="1">
        <f ca="1">IFERROR(__xludf.DUMMYFUNCTION("""COMPUTED_VALUE"""),414)</f>
        <v>414</v>
      </c>
      <c r="D544" s="3" t="str">
        <f ca="1">IFERROR(__xludf.DUMMYFUNCTION("""COMPUTED_VALUE"""),"Male")</f>
        <v>Male</v>
      </c>
      <c r="E544" s="1" t="str">
        <f ca="1">IFERROR(__xludf.DUMMYFUNCTION("""COMPUTED_VALUE"""),"People who have changed the world for better")</f>
        <v>People who have changed the world for better</v>
      </c>
      <c r="F544" s="1" t="str">
        <f ca="1">IFERROR(__xludf.DUMMYFUNCTION("""COMPUTED_VALUE"""),"Yes, I will earn and do that")</f>
        <v>Yes, I will earn and do that</v>
      </c>
      <c r="G544" s="1" t="str">
        <f ca="1">IFERROR(__xludf.DUMMYFUNCTION("""COMPUTED_VALUE"""),"This will be hard to do, but if it is the right company I would try")</f>
        <v>This will be hard to do, but if it is the right company I would try</v>
      </c>
      <c r="H544" s="1" t="str">
        <f ca="1">IFERROR(__xludf.DUMMYFUNCTION("""COMPUTED_VALUE"""),"No")</f>
        <v>No</v>
      </c>
      <c r="I544" s="1" t="str">
        <f ca="1">IFERROR(__xludf.DUMMYFUNCTION("""COMPUTED_VALUE"""),"Will NOT work for them")</f>
        <v>Will NOT work for them</v>
      </c>
      <c r="J544" s="1">
        <f ca="1">IFERROR(__xludf.DUMMYFUNCTION("""COMPUTED_VALUE"""),5)</f>
        <v>5</v>
      </c>
      <c r="K544" s="1" t="str">
        <f ca="1">IFERROR(__xludf.DUMMYFUNCTION("""COMPUTED_VALUE"""),"Fully Remote with Options to travel as and when needed")</f>
        <v>Fully Remote with Options to travel as and when needed</v>
      </c>
      <c r="L544" s="1" t="str">
        <f ca="1">IFERROR(__xludf.DUMMYFUNCTION("""COMPUTED_VALUE"""),"Employer who pushes your limits by enabling an learning environment, and rewards you at the end")</f>
        <v>Employer who pushes your limits by enabling an learning environment, and rewards you at the end</v>
      </c>
      <c r="M54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544"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44" s="1" t="str">
        <f ca="1">IFERROR(__xludf.DUMMYFUNCTION("""COMPUTED_VALUE"""),"Manager who explains what is expected, sets a goal and helps achieve it")</f>
        <v>Manager who explains what is expected, sets a goal and helps achieve it</v>
      </c>
      <c r="P544" s="1" t="str">
        <f ca="1">IFERROR(__xludf.DUMMYFUNCTION("""COMPUTED_VALUE"""),"Work alone")</f>
        <v>Work alone</v>
      </c>
      <c r="Q544" s="1"/>
    </row>
    <row r="545" spans="1:17" ht="13.2" x14ac:dyDescent="0.25">
      <c r="A545" s="2">
        <f ca="1">IFERROR(__xludf.DUMMYFUNCTION("""COMPUTED_VALUE"""),45021.6619242361)</f>
        <v>45021.661924236098</v>
      </c>
      <c r="B545" s="1" t="str">
        <f ca="1">IFERROR(__xludf.DUMMYFUNCTION("""COMPUTED_VALUE"""),"India")</f>
        <v>India</v>
      </c>
      <c r="C545" s="1">
        <f ca="1">IFERROR(__xludf.DUMMYFUNCTION("""COMPUTED_VALUE"""),452001)</f>
        <v>452001</v>
      </c>
      <c r="D545" s="3" t="str">
        <f ca="1">IFERROR(__xludf.DUMMYFUNCTION("""COMPUTED_VALUE"""),"Male")</f>
        <v>Male</v>
      </c>
      <c r="E545" s="1" t="str">
        <f ca="1">IFERROR(__xludf.DUMMYFUNCTION("""COMPUTED_VALUE"""),"My Parents")</f>
        <v>My Parents</v>
      </c>
      <c r="F545" s="1" t="str">
        <f ca="1">IFERROR(__xludf.DUMMYFUNCTION("""COMPUTED_VALUE"""),"Yes, I will earn and do that")</f>
        <v>Yes, I will earn and do that</v>
      </c>
      <c r="G545" s="1" t="str">
        <f ca="1">IFERROR(__xludf.DUMMYFUNCTION("""COMPUTED_VALUE"""),"This will be hard to do, but if it is the right company I would try")</f>
        <v>This will be hard to do, but if it is the right company I would try</v>
      </c>
      <c r="H545" s="1" t="str">
        <f ca="1">IFERROR(__xludf.DUMMYFUNCTION("""COMPUTED_VALUE"""),"No")</f>
        <v>No</v>
      </c>
      <c r="I545" s="1" t="str">
        <f ca="1">IFERROR(__xludf.DUMMYFUNCTION("""COMPUTED_VALUE"""),"Will work for them")</f>
        <v>Will work for them</v>
      </c>
      <c r="J545" s="1">
        <f ca="1">IFERROR(__xludf.DUMMYFUNCTION("""COMPUTED_VALUE"""),8)</f>
        <v>8</v>
      </c>
      <c r="K545" s="1" t="str">
        <f ca="1">IFERROR(__xludf.DUMMYFUNCTION("""COMPUTED_VALUE"""),"Every Day Office Environment")</f>
        <v>Every Day Office Environment</v>
      </c>
      <c r="L545" s="1" t="str">
        <f ca="1">IFERROR(__xludf.DUMMYFUNCTION("""COMPUTED_VALUE"""),"Employer who pushes your limits by enabling an learning environment, and rewards you at the end")</f>
        <v>Employer who pushes your limits by enabling an learning environment, and rewards you at the end</v>
      </c>
      <c r="M545" s="1" t="str">
        <f ca="1">IFERROR(__xludf.DUMMYFUNCTION("""COMPUTED_VALUE"""),"Instructor or Expert Learning Programs, Learning by observing others, Manager Teaching you")</f>
        <v>Instructor or Expert Learning Programs, Learning by observing others, Manager Teaching you</v>
      </c>
      <c r="N545" s="1" t="str">
        <f ca="1">IFERROR(__xludf.DUMMYFUNCTION("""COMPUTED_VALUE"""),"Business Operations in any organization, Build and develop a Team, Work as a freelancer and do my thing my way, Become a content Creator in some platform")</f>
        <v>Business Operations in any organization, Build and develop a Team, Work as a freelancer and do my thing my way, Become a content Creator in some platform</v>
      </c>
      <c r="O545" s="1" t="str">
        <f ca="1">IFERROR(__xludf.DUMMYFUNCTION("""COMPUTED_VALUE"""),"Manager who sets goal and helps me achieve it")</f>
        <v>Manager who sets goal and helps me achieve it</v>
      </c>
      <c r="P54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45" s="1"/>
    </row>
    <row r="546" spans="1:17" ht="13.2" x14ac:dyDescent="0.25">
      <c r="A546" s="2">
        <f ca="1">IFERROR(__xludf.DUMMYFUNCTION("""COMPUTED_VALUE"""),45021.6631004861)</f>
        <v>45021.663100486097</v>
      </c>
      <c r="B546" s="1" t="str">
        <f ca="1">IFERROR(__xludf.DUMMYFUNCTION("""COMPUTED_VALUE"""),"India")</f>
        <v>India</v>
      </c>
      <c r="C546" s="1">
        <f ca="1">IFERROR(__xludf.DUMMYFUNCTION("""COMPUTED_VALUE"""),382424)</f>
        <v>382424</v>
      </c>
      <c r="D546" s="3" t="str">
        <f ca="1">IFERROR(__xludf.DUMMYFUNCTION("""COMPUTED_VALUE"""),"Female")</f>
        <v>Female</v>
      </c>
      <c r="E546" s="1" t="str">
        <f ca="1">IFERROR(__xludf.DUMMYFUNCTION("""COMPUTED_VALUE"""),"People from my circle, but not family members")</f>
        <v>People from my circle, but not family members</v>
      </c>
      <c r="F546" s="1" t="str">
        <f ca="1">IFERROR(__xludf.DUMMYFUNCTION("""COMPUTED_VALUE"""),"No I would not be pursuing Higher Education outside of India")</f>
        <v>No I would not be pursuing Higher Education outside of India</v>
      </c>
      <c r="G546" s="1" t="str">
        <f ca="1">IFERROR(__xludf.DUMMYFUNCTION("""COMPUTED_VALUE"""),"This will be hard to do, but if it is the right company I would try")</f>
        <v>This will be hard to do, but if it is the right company I would try</v>
      </c>
      <c r="H546" s="1" t="str">
        <f ca="1">IFERROR(__xludf.DUMMYFUNCTION("""COMPUTED_VALUE"""),"No")</f>
        <v>No</v>
      </c>
      <c r="I546" s="1" t="str">
        <f ca="1">IFERROR(__xludf.DUMMYFUNCTION("""COMPUTED_VALUE"""),"Will NOT work for them")</f>
        <v>Will NOT work for them</v>
      </c>
      <c r="J546" s="1">
        <f ca="1">IFERROR(__xludf.DUMMYFUNCTION("""COMPUTED_VALUE"""),2)</f>
        <v>2</v>
      </c>
      <c r="K546" s="1" t="str">
        <f ca="1">IFERROR(__xludf.DUMMYFUNCTION("""COMPUTED_VALUE"""),"Fully Remote with Options to travel as and when needed")</f>
        <v>Fully Remote with Options to travel as and when needed</v>
      </c>
      <c r="L546" s="1" t="str">
        <f ca="1">IFERROR(__xludf.DUMMYFUNCTION("""COMPUTED_VALUE"""),"Employer who pushes your limits by enabling an learning environment, and rewards you at the end")</f>
        <v>Employer who pushes your limits by enabling an learning environment, and rewards you at the end</v>
      </c>
      <c r="M54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46" s="1" t="str">
        <f ca="1">IFERROR(__xludf.DUMMYFUNCTION("""COMPUTED_VALUE"""),"Manage and drive End-to-End Projects or Products, Work as a freelancer and do my thing my way, Become a content Creator in some platform, Entrepreneur or Start Up")</f>
        <v>Manage and drive End-to-End Projects or Products, Work as a freelancer and do my thing my way, Become a content Creator in some platform, Entrepreneur or Start Up</v>
      </c>
      <c r="O546" s="1" t="str">
        <f ca="1">IFERROR(__xludf.DUMMYFUNCTION("""COMPUTED_VALUE"""),"Manager who explains what is expected, sets a goal and helps achieve it")</f>
        <v>Manager who explains what is expected, sets a goal and helps achieve it</v>
      </c>
      <c r="P546" s="1" t="str">
        <f ca="1">IFERROR(__xludf.DUMMYFUNCTION("""COMPUTED_VALUE"""),"Work with 5 to 6 people in my team")</f>
        <v>Work with 5 to 6 people in my team</v>
      </c>
      <c r="Q546" s="1"/>
    </row>
    <row r="547" spans="1:17" ht="13.2" x14ac:dyDescent="0.25">
      <c r="A547" s="2">
        <f ca="1">IFERROR(__xludf.DUMMYFUNCTION("""COMPUTED_VALUE"""),45021.6676732523)</f>
        <v>45021.667673252297</v>
      </c>
      <c r="B547" s="1" t="str">
        <f ca="1">IFERROR(__xludf.DUMMYFUNCTION("""COMPUTED_VALUE"""),"India")</f>
        <v>India</v>
      </c>
      <c r="C547" s="1">
        <f ca="1">IFERROR(__xludf.DUMMYFUNCTION("""COMPUTED_VALUE"""),452012)</f>
        <v>452012</v>
      </c>
      <c r="D547" s="3" t="str">
        <f ca="1">IFERROR(__xludf.DUMMYFUNCTION("""COMPUTED_VALUE"""),"Female")</f>
        <v>Female</v>
      </c>
      <c r="E547" s="1" t="str">
        <f ca="1">IFERROR(__xludf.DUMMYFUNCTION("""COMPUTED_VALUE"""),"Influencers who had successful careers")</f>
        <v>Influencers who had successful careers</v>
      </c>
      <c r="F547" s="1" t="str">
        <f ca="1">IFERROR(__xludf.DUMMYFUNCTION("""COMPUTED_VALUE"""),"Yes, I will earn and do that")</f>
        <v>Yes, I will earn and do that</v>
      </c>
      <c r="G547" s="1" t="str">
        <f ca="1">IFERROR(__xludf.DUMMYFUNCTION("""COMPUTED_VALUE"""),"This will be hard to do, but if it is the right company I would try")</f>
        <v>This will be hard to do, but if it is the right company I would try</v>
      </c>
      <c r="H547" s="1" t="str">
        <f ca="1">IFERROR(__xludf.DUMMYFUNCTION("""COMPUTED_VALUE"""),"No")</f>
        <v>No</v>
      </c>
      <c r="I547" s="1" t="str">
        <f ca="1">IFERROR(__xludf.DUMMYFUNCTION("""COMPUTED_VALUE"""),"Will work for them")</f>
        <v>Will work for them</v>
      </c>
      <c r="J547" s="1">
        <f ca="1">IFERROR(__xludf.DUMMYFUNCTION("""COMPUTED_VALUE"""),6)</f>
        <v>6</v>
      </c>
      <c r="K547" s="1" t="str">
        <f ca="1">IFERROR(__xludf.DUMMYFUNCTION("""COMPUTED_VALUE"""),"Every Day Office Environment")</f>
        <v>Every Day Office Environment</v>
      </c>
      <c r="L547" s="1" t="str">
        <f ca="1">IFERROR(__xludf.DUMMYFUNCTION("""COMPUTED_VALUE"""),"Employer who pushes your limits by enabling an learning environment, and rewards you at the end")</f>
        <v>Employer who pushes your limits by enabling an learning environment, and rewards you at the end</v>
      </c>
      <c r="M547" s="1" t="str">
        <f ca="1">IFERROR(__xludf.DUMMYFUNCTION("""COMPUTED_VALUE"""),"Instructor or Expert Learning Programs, Self Purchased Course from External Platforms, Manager Teaching you")</f>
        <v>Instructor or Expert Learning Programs, Self Purchased Course from External Platforms, Manager Teaching you</v>
      </c>
      <c r="N547"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47" s="1" t="str">
        <f ca="1">IFERROR(__xludf.DUMMYFUNCTION("""COMPUTED_VALUE"""),"Manager who explains what is expected, sets a goal and helps achieve it")</f>
        <v>Manager who explains what is expected, sets a goal and helps achieve it</v>
      </c>
      <c r="P547" s="1" t="str">
        <f ca="1">IFERROR(__xludf.DUMMYFUNCTION("""COMPUTED_VALUE"""),"Work with 2 to 3 people in my team, Work with 5 to 6 people in my team")</f>
        <v>Work with 2 to 3 people in my team, Work with 5 to 6 people in my team</v>
      </c>
      <c r="Q547" s="1"/>
    </row>
    <row r="548" spans="1:17" ht="13.2" x14ac:dyDescent="0.25">
      <c r="A548" s="2">
        <f ca="1">IFERROR(__xludf.DUMMYFUNCTION("""COMPUTED_VALUE"""),45021.6687823148)</f>
        <v>45021.668782314802</v>
      </c>
      <c r="B548" s="1" t="str">
        <f ca="1">IFERROR(__xludf.DUMMYFUNCTION("""COMPUTED_VALUE"""),"India")</f>
        <v>India</v>
      </c>
      <c r="C548" s="1">
        <f ca="1">IFERROR(__xludf.DUMMYFUNCTION("""COMPUTED_VALUE"""),621216)</f>
        <v>621216</v>
      </c>
      <c r="D548" s="3" t="str">
        <f ca="1">IFERROR(__xludf.DUMMYFUNCTION("""COMPUTED_VALUE"""),"Male")</f>
        <v>Male</v>
      </c>
      <c r="E548" s="1" t="str">
        <f ca="1">IFERROR(__xludf.DUMMYFUNCTION("""COMPUTED_VALUE"""),"My Parents")</f>
        <v>My Parents</v>
      </c>
      <c r="F548" s="1" t="str">
        <f ca="1">IFERROR(__xludf.DUMMYFUNCTION("""COMPUTED_VALUE"""),"No I would not be pursuing Higher Education outside of India")</f>
        <v>No I would not be pursuing Higher Education outside of India</v>
      </c>
      <c r="G548" s="1" t="str">
        <f ca="1">IFERROR(__xludf.DUMMYFUNCTION("""COMPUTED_VALUE"""),"Will work for 3 years or more")</f>
        <v>Will work for 3 years or more</v>
      </c>
      <c r="H548" s="1" t="str">
        <f ca="1">IFERROR(__xludf.DUMMYFUNCTION("""COMPUTED_VALUE"""),"Yes")</f>
        <v>Yes</v>
      </c>
      <c r="I548" s="1" t="str">
        <f ca="1">IFERROR(__xludf.DUMMYFUNCTION("""COMPUTED_VALUE"""),"Will NOT work for them")</f>
        <v>Will NOT work for them</v>
      </c>
      <c r="J548" s="1">
        <f ca="1">IFERROR(__xludf.DUMMYFUNCTION("""COMPUTED_VALUE"""),1)</f>
        <v>1</v>
      </c>
      <c r="K548" s="1" t="str">
        <f ca="1">IFERROR(__xludf.DUMMYFUNCTION("""COMPUTED_VALUE"""),"Hybrid Working Environment with less than 3 days a month at office")</f>
        <v>Hybrid Working Environment with less than 3 days a month at office</v>
      </c>
      <c r="L548" s="1" t="str">
        <f ca="1">IFERROR(__xludf.DUMMYFUNCTION("""COMPUTED_VALUE"""),"Employer who rewards learning and enables that environment")</f>
        <v>Employer who rewards learning and enables that environment</v>
      </c>
      <c r="M548"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548" s="1" t="str">
        <f ca="1">IFERROR(__xludf.DUMMYFUNCTION("""COMPUTED_VALUE"""),"Manager who clearly describes what she/he needs")</f>
        <v>Manager who clearly describes what she/he needs</v>
      </c>
      <c r="P548" s="1" t="str">
        <f ca="1">IFERROR(__xludf.DUMMYFUNCTION("""COMPUTED_VALUE"""),"Work with 5 to 6 people in my team, Work with more than 10 people in my team")</f>
        <v>Work with 5 to 6 people in my team, Work with more than 10 people in my team</v>
      </c>
      <c r="Q548" s="1"/>
    </row>
    <row r="549" spans="1:17" ht="13.2" x14ac:dyDescent="0.25">
      <c r="A549" s="2">
        <f ca="1">IFERROR(__xludf.DUMMYFUNCTION("""COMPUTED_VALUE"""),45021.6718008217)</f>
        <v>45021.671800821699</v>
      </c>
      <c r="B549" s="1" t="str">
        <f ca="1">IFERROR(__xludf.DUMMYFUNCTION("""COMPUTED_VALUE"""),"India")</f>
        <v>India</v>
      </c>
      <c r="C549" s="1">
        <f ca="1">IFERROR(__xludf.DUMMYFUNCTION("""COMPUTED_VALUE"""),620003)</f>
        <v>620003</v>
      </c>
      <c r="D549" s="3" t="str">
        <f ca="1">IFERROR(__xludf.DUMMYFUNCTION("""COMPUTED_VALUE"""),"Male")</f>
        <v>Male</v>
      </c>
      <c r="E549" s="1" t="str">
        <f ca="1">IFERROR(__xludf.DUMMYFUNCTION("""COMPUTED_VALUE"""),"My Parents")</f>
        <v>My Parents</v>
      </c>
      <c r="F549" s="1" t="str">
        <f ca="1">IFERROR(__xludf.DUMMYFUNCTION("""COMPUTED_VALUE"""),"No, But if someone could bare the cost I will")</f>
        <v>No, But if someone could bare the cost I will</v>
      </c>
      <c r="G549" s="1" t="str">
        <f ca="1">IFERROR(__xludf.DUMMYFUNCTION("""COMPUTED_VALUE"""),"This will be hard to do, but if it is the right company I would try")</f>
        <v>This will be hard to do, but if it is the right company I would try</v>
      </c>
      <c r="H549" s="1" t="str">
        <f ca="1">IFERROR(__xludf.DUMMYFUNCTION("""COMPUTED_VALUE"""),"Yes")</f>
        <v>Yes</v>
      </c>
      <c r="I549" s="1" t="str">
        <f ca="1">IFERROR(__xludf.DUMMYFUNCTION("""COMPUTED_VALUE"""),"Will work for them")</f>
        <v>Will work for them</v>
      </c>
      <c r="J549" s="1">
        <f ca="1">IFERROR(__xludf.DUMMYFUNCTION("""COMPUTED_VALUE"""),5)</f>
        <v>5</v>
      </c>
      <c r="K549" s="1" t="str">
        <f ca="1">IFERROR(__xludf.DUMMYFUNCTION("""COMPUTED_VALUE"""),"Every Day Office Environment")</f>
        <v>Every Day Office Environment</v>
      </c>
      <c r="L549" s="1" t="str">
        <f ca="1">IFERROR(__xludf.DUMMYFUNCTION("""COMPUTED_VALUE"""),"Employer who appreciates learning and enables that environment")</f>
        <v>Employer who appreciates learning and enables that environment</v>
      </c>
      <c r="M5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49"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549" s="1" t="str">
        <f ca="1">IFERROR(__xludf.DUMMYFUNCTION("""COMPUTED_VALUE"""),"Manager who clearly describes what she/he needs")</f>
        <v>Manager who clearly describes what she/he needs</v>
      </c>
      <c r="P549" s="1" t="str">
        <f ca="1">IFERROR(__xludf.DUMMYFUNCTION("""COMPUTED_VALUE"""),"Work with 2 to 3 people in my team, Work with 7 to 10 or more people in my team, Work with more than 10 people in my team")</f>
        <v>Work with 2 to 3 people in my team, Work with 7 to 10 or more people in my team, Work with more than 10 people in my team</v>
      </c>
      <c r="Q549" s="1"/>
    </row>
    <row r="550" spans="1:17" ht="13.2" x14ac:dyDescent="0.25">
      <c r="A550" s="2">
        <f ca="1">IFERROR(__xludf.DUMMYFUNCTION("""COMPUTED_VALUE"""),45021.6726077662)</f>
        <v>45021.672607766202</v>
      </c>
      <c r="B550" s="1" t="str">
        <f ca="1">IFERROR(__xludf.DUMMYFUNCTION("""COMPUTED_VALUE"""),"India")</f>
        <v>India</v>
      </c>
      <c r="C550" s="1">
        <f ca="1">IFERROR(__xludf.DUMMYFUNCTION("""COMPUTED_VALUE"""),625009)</f>
        <v>625009</v>
      </c>
      <c r="D550" s="3" t="str">
        <f ca="1">IFERROR(__xludf.DUMMYFUNCTION("""COMPUTED_VALUE"""),"Male")</f>
        <v>Male</v>
      </c>
      <c r="E550" s="1" t="str">
        <f ca="1">IFERROR(__xludf.DUMMYFUNCTION("""COMPUTED_VALUE"""),"Social Media like LinkedIn")</f>
        <v>Social Media like LinkedIn</v>
      </c>
      <c r="F550" s="1" t="str">
        <f ca="1">IFERROR(__xludf.DUMMYFUNCTION("""COMPUTED_VALUE"""),"No I would not be pursuing Higher Education outside of India")</f>
        <v>No I would not be pursuing Higher Education outside of India</v>
      </c>
      <c r="G550" s="1" t="str">
        <f ca="1">IFERROR(__xludf.DUMMYFUNCTION("""COMPUTED_VALUE"""),"Will work for 3 years or more")</f>
        <v>Will work for 3 years or more</v>
      </c>
      <c r="H550" s="1" t="str">
        <f ca="1">IFERROR(__xludf.DUMMYFUNCTION("""COMPUTED_VALUE"""),"No")</f>
        <v>No</v>
      </c>
      <c r="I550" s="1" t="str">
        <f ca="1">IFERROR(__xludf.DUMMYFUNCTION("""COMPUTED_VALUE"""),"Will NOT work for them")</f>
        <v>Will NOT work for them</v>
      </c>
      <c r="J550" s="1">
        <f ca="1">IFERROR(__xludf.DUMMYFUNCTION("""COMPUTED_VALUE"""),6)</f>
        <v>6</v>
      </c>
      <c r="K550" s="1" t="str">
        <f ca="1">IFERROR(__xludf.DUMMYFUNCTION("""COMPUTED_VALUE"""),"Fully Remote with Options to travel as and when needed")</f>
        <v>Fully Remote with Options to travel as and when needed</v>
      </c>
      <c r="L550" s="1" t="str">
        <f ca="1">IFERROR(__xludf.DUMMYFUNCTION("""COMPUTED_VALUE"""),"Employer who appreciates learning and enables that environment")</f>
        <v>Employer who appreciates learning and enables that environment</v>
      </c>
      <c r="M5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5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50" s="1" t="str">
        <f ca="1">IFERROR(__xludf.DUMMYFUNCTION("""COMPUTED_VALUE"""),"Manager who explains what is expected, sets a goal and helps achieve it")</f>
        <v>Manager who explains what is expected, sets a goal and helps achieve it</v>
      </c>
      <c r="P550" s="1" t="str">
        <f ca="1">IFERROR(__xludf.DUMMYFUNCTION("""COMPUTED_VALUE"""),"Work with 7 to 10 or more people in my team, Work with more than 10 people in my team")</f>
        <v>Work with 7 to 10 or more people in my team, Work with more than 10 people in my team</v>
      </c>
      <c r="Q550" s="1"/>
    </row>
    <row r="551" spans="1:17" ht="13.2" x14ac:dyDescent="0.25">
      <c r="A551" s="2">
        <f ca="1">IFERROR(__xludf.DUMMYFUNCTION("""COMPUTED_VALUE"""),45021.6729792939)</f>
        <v>45021.6729792939</v>
      </c>
      <c r="B551" s="1" t="str">
        <f ca="1">IFERROR(__xludf.DUMMYFUNCTION("""COMPUTED_VALUE"""),"India")</f>
        <v>India</v>
      </c>
      <c r="C551" s="1">
        <f ca="1">IFERROR(__xludf.DUMMYFUNCTION("""COMPUTED_VALUE"""),452001)</f>
        <v>452001</v>
      </c>
      <c r="D551" s="3" t="str">
        <f ca="1">IFERROR(__xludf.DUMMYFUNCTION("""COMPUTED_VALUE"""),"Male")</f>
        <v>Male</v>
      </c>
      <c r="E551" s="1" t="str">
        <f ca="1">IFERROR(__xludf.DUMMYFUNCTION("""COMPUTED_VALUE"""),"People from my circle, but not family members")</f>
        <v>People from my circle, but not family members</v>
      </c>
      <c r="F551" s="1" t="str">
        <f ca="1">IFERROR(__xludf.DUMMYFUNCTION("""COMPUTED_VALUE"""),"No I would not be pursuing Higher Education outside of India")</f>
        <v>No I would not be pursuing Higher Education outside of India</v>
      </c>
      <c r="G551" s="1" t="str">
        <f ca="1">IFERROR(__xludf.DUMMYFUNCTION("""COMPUTED_VALUE"""),"Will work for 3 years or more")</f>
        <v>Will work for 3 years or more</v>
      </c>
      <c r="H551" s="1" t="str">
        <f ca="1">IFERROR(__xludf.DUMMYFUNCTION("""COMPUTED_VALUE"""),"Yes")</f>
        <v>Yes</v>
      </c>
      <c r="I551" s="1" t="str">
        <f ca="1">IFERROR(__xludf.DUMMYFUNCTION("""COMPUTED_VALUE"""),"Will work for them")</f>
        <v>Will work for them</v>
      </c>
      <c r="J551" s="1">
        <f ca="1">IFERROR(__xludf.DUMMYFUNCTION("""COMPUTED_VALUE"""),8)</f>
        <v>8</v>
      </c>
      <c r="K551" s="1" t="str">
        <f ca="1">IFERROR(__xludf.DUMMYFUNCTION("""COMPUTED_VALUE"""),"Every Day Office Environment")</f>
        <v>Every Day Office Environment</v>
      </c>
      <c r="L551" s="1" t="str">
        <f ca="1">IFERROR(__xludf.DUMMYFUNCTION("""COMPUTED_VALUE"""),"Employer who pushes your limits by enabling an learning environment, and rewards you at the end")</f>
        <v>Employer who pushes your limits by enabling an learning environment, and rewards you at the end</v>
      </c>
      <c r="M551" s="1" t="str">
        <f ca="1">IFERROR(__xludf.DUMMYFUNCTION("""COMPUTED_VALUE"""),"Instructor or Expert Learning Programs, Learning by observing others, Manager Teaching you")</f>
        <v>Instructor or Expert Learning Programs, Learning by observing others, Manager Teaching you</v>
      </c>
      <c r="N551"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51" s="1" t="str">
        <f ca="1">IFERROR(__xludf.DUMMYFUNCTION("""COMPUTED_VALUE"""),"Manager who clearly describes what she/he needs")</f>
        <v>Manager who clearly describes what she/he needs</v>
      </c>
      <c r="P55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51" s="1"/>
    </row>
    <row r="552" spans="1:17" ht="13.2" x14ac:dyDescent="0.25">
      <c r="A552" s="2">
        <f ca="1">IFERROR(__xludf.DUMMYFUNCTION("""COMPUTED_VALUE"""),45021.6757973495)</f>
        <v>45021.675797349497</v>
      </c>
      <c r="B552" s="1" t="str">
        <f ca="1">IFERROR(__xludf.DUMMYFUNCTION("""COMPUTED_VALUE"""),"India")</f>
        <v>India</v>
      </c>
      <c r="C552" s="1">
        <f ca="1">IFERROR(__xludf.DUMMYFUNCTION("""COMPUTED_VALUE"""),670561)</f>
        <v>670561</v>
      </c>
      <c r="D552" s="3" t="str">
        <f ca="1">IFERROR(__xludf.DUMMYFUNCTION("""COMPUTED_VALUE"""),"Female")</f>
        <v>Female</v>
      </c>
      <c r="E552" s="1" t="str">
        <f ca="1">IFERROR(__xludf.DUMMYFUNCTION("""COMPUTED_VALUE"""),"Social Media like LinkedIn")</f>
        <v>Social Media like LinkedIn</v>
      </c>
      <c r="F552" s="1" t="str">
        <f ca="1">IFERROR(__xludf.DUMMYFUNCTION("""COMPUTED_VALUE"""),"No, But if someone could bare the cost I will")</f>
        <v>No, But if someone could bare the cost I will</v>
      </c>
      <c r="G552" s="1" t="str">
        <f ca="1">IFERROR(__xludf.DUMMYFUNCTION("""COMPUTED_VALUE"""),"This will be hard to do, but if it is the right company I would try")</f>
        <v>This will be hard to do, but if it is the right company I would try</v>
      </c>
      <c r="H552" s="1" t="str">
        <f ca="1">IFERROR(__xludf.DUMMYFUNCTION("""COMPUTED_VALUE"""),"No")</f>
        <v>No</v>
      </c>
      <c r="I552" s="1" t="str">
        <f ca="1">IFERROR(__xludf.DUMMYFUNCTION("""COMPUTED_VALUE"""),"Will work for them")</f>
        <v>Will work for them</v>
      </c>
      <c r="J552" s="1">
        <f ca="1">IFERROR(__xludf.DUMMYFUNCTION("""COMPUTED_VALUE"""),5)</f>
        <v>5</v>
      </c>
      <c r="K552" s="1" t="str">
        <f ca="1">IFERROR(__xludf.DUMMYFUNCTION("""COMPUTED_VALUE"""),"Fully Remote with No option to visit offices")</f>
        <v>Fully Remote with No option to visit offices</v>
      </c>
      <c r="L552" s="1" t="str">
        <f ca="1">IFERROR(__xludf.DUMMYFUNCTION("""COMPUTED_VALUE"""),"Employer who rewards learning and enables that environment")</f>
        <v>Employer who rewards learning and enables that environment</v>
      </c>
      <c r="M55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52"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552" s="1" t="str">
        <f ca="1">IFERROR(__xludf.DUMMYFUNCTION("""COMPUTED_VALUE"""),"Manager who explains what is expected, sets a goal and helps achieve it")</f>
        <v>Manager who explains what is expected, sets a goal and helps achieve it</v>
      </c>
      <c r="P552" s="1" t="str">
        <f ca="1">IFERROR(__xludf.DUMMYFUNCTION("""COMPUTED_VALUE"""),"Work with 7 to 10 or more people in my team, Work with more than 10 people in my team")</f>
        <v>Work with 7 to 10 or more people in my team, Work with more than 10 people in my team</v>
      </c>
      <c r="Q552" s="1"/>
    </row>
    <row r="553" spans="1:17" ht="13.2" x14ac:dyDescent="0.25">
      <c r="A553" s="2">
        <f ca="1">IFERROR(__xludf.DUMMYFUNCTION("""COMPUTED_VALUE"""),45021.6844062384)</f>
        <v>45021.684406238397</v>
      </c>
      <c r="B553" s="1" t="str">
        <f ca="1">IFERROR(__xludf.DUMMYFUNCTION("""COMPUTED_VALUE"""),"India")</f>
        <v>India</v>
      </c>
      <c r="C553" s="1">
        <f ca="1">IFERROR(__xludf.DUMMYFUNCTION("""COMPUTED_VALUE"""),600044)</f>
        <v>600044</v>
      </c>
      <c r="D553" s="3" t="str">
        <f ca="1">IFERROR(__xludf.DUMMYFUNCTION("""COMPUTED_VALUE"""),"Male")</f>
        <v>Male</v>
      </c>
      <c r="E553" s="1" t="str">
        <f ca="1">IFERROR(__xludf.DUMMYFUNCTION("""COMPUTED_VALUE"""),"People from my circle, but not family members")</f>
        <v>People from my circle, but not family members</v>
      </c>
      <c r="F553" s="1" t="str">
        <f ca="1">IFERROR(__xludf.DUMMYFUNCTION("""COMPUTED_VALUE"""),"Yes, I will earn and do that")</f>
        <v>Yes, I will earn and do that</v>
      </c>
      <c r="G553" s="1" t="str">
        <f ca="1">IFERROR(__xludf.DUMMYFUNCTION("""COMPUTED_VALUE"""),"Will work for 3 years or more")</f>
        <v>Will work for 3 years or more</v>
      </c>
      <c r="H553" s="1" t="str">
        <f ca="1">IFERROR(__xludf.DUMMYFUNCTION("""COMPUTED_VALUE"""),"No")</f>
        <v>No</v>
      </c>
      <c r="I553" s="1" t="str">
        <f ca="1">IFERROR(__xludf.DUMMYFUNCTION("""COMPUTED_VALUE"""),"Will NOT work for them")</f>
        <v>Will NOT work for them</v>
      </c>
      <c r="J553" s="1">
        <f ca="1">IFERROR(__xludf.DUMMYFUNCTION("""COMPUTED_VALUE"""),10)</f>
        <v>10</v>
      </c>
      <c r="K553" s="1" t="str">
        <f ca="1">IFERROR(__xludf.DUMMYFUNCTION("""COMPUTED_VALUE"""),"Every Day Office Environment")</f>
        <v>Every Day Office Environment</v>
      </c>
      <c r="L553" s="1" t="str">
        <f ca="1">IFERROR(__xludf.DUMMYFUNCTION("""COMPUTED_VALUE"""),"Employer who appreciates learning and enables that environment")</f>
        <v>Employer who appreciates learning and enables that environment</v>
      </c>
      <c r="M553" s="1" t="str">
        <f ca="1">IFERROR(__xludf.DUMMYFUNCTION("""COMPUTED_VALUE"""),"Self Paced Learning Portals of the Company, Learning by observing others, Manager Teaching you")</f>
        <v>Self Paced Learning Portals of the Company, Learning by observing others, Manager Teaching you</v>
      </c>
      <c r="N55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53" s="1" t="str">
        <f ca="1">IFERROR(__xludf.DUMMYFUNCTION("""COMPUTED_VALUE"""),"Manager who explains what is expected, sets a goal and helps achieve it")</f>
        <v>Manager who explains what is expected, sets a goal and helps achieve it</v>
      </c>
      <c r="P553" s="1" t="str">
        <f ca="1">IFERROR(__xludf.DUMMYFUNCTION("""COMPUTED_VALUE"""),"Work with more than 10 people in my team")</f>
        <v>Work with more than 10 people in my team</v>
      </c>
      <c r="Q553" s="1"/>
    </row>
    <row r="554" spans="1:17" ht="13.2" x14ac:dyDescent="0.25">
      <c r="A554" s="2">
        <f ca="1">IFERROR(__xludf.DUMMYFUNCTION("""COMPUTED_VALUE"""),45021.6903958333)</f>
        <v>45021.690395833299</v>
      </c>
      <c r="B554" s="1" t="str">
        <f ca="1">IFERROR(__xludf.DUMMYFUNCTION("""COMPUTED_VALUE"""),"India")</f>
        <v>India</v>
      </c>
      <c r="C554" s="1">
        <f ca="1">IFERROR(__xludf.DUMMYFUNCTION("""COMPUTED_VALUE"""),485001)</f>
        <v>485001</v>
      </c>
      <c r="D554" s="3" t="str">
        <f ca="1">IFERROR(__xludf.DUMMYFUNCTION("""COMPUTED_VALUE"""),"Male")</f>
        <v>Male</v>
      </c>
      <c r="E554" s="1" t="str">
        <f ca="1">IFERROR(__xludf.DUMMYFUNCTION("""COMPUTED_VALUE"""),"People from my circle, but not family members")</f>
        <v>People from my circle, but not family members</v>
      </c>
      <c r="F554" s="1" t="str">
        <f ca="1">IFERROR(__xludf.DUMMYFUNCTION("""COMPUTED_VALUE"""),"No, But if someone could bare the cost I will")</f>
        <v>No, But if someone could bare the cost I will</v>
      </c>
      <c r="G554" s="1" t="str">
        <f ca="1">IFERROR(__xludf.DUMMYFUNCTION("""COMPUTED_VALUE"""),"This will be hard to do, but if it is the right company I would try")</f>
        <v>This will be hard to do, but if it is the right company I would try</v>
      </c>
      <c r="H554" s="1" t="str">
        <f ca="1">IFERROR(__xludf.DUMMYFUNCTION("""COMPUTED_VALUE"""),"No")</f>
        <v>No</v>
      </c>
      <c r="I554" s="1" t="str">
        <f ca="1">IFERROR(__xludf.DUMMYFUNCTION("""COMPUTED_VALUE"""),"Will NOT work for them")</f>
        <v>Will NOT work for them</v>
      </c>
      <c r="J554" s="1">
        <f ca="1">IFERROR(__xludf.DUMMYFUNCTION("""COMPUTED_VALUE"""),1)</f>
        <v>1</v>
      </c>
      <c r="K554" s="1" t="str">
        <f ca="1">IFERROR(__xludf.DUMMYFUNCTION("""COMPUTED_VALUE"""),"Fully Remote with Options to travel as and when needed")</f>
        <v>Fully Remote with Options to travel as and when needed</v>
      </c>
      <c r="L554" s="1" t="str">
        <f ca="1">IFERROR(__xludf.DUMMYFUNCTION("""COMPUTED_VALUE"""),"Employer who appreciates learning and enables that environment")</f>
        <v>Employer who appreciates learning and enables that environment</v>
      </c>
      <c r="M554" s="1" t="str">
        <f ca="1">IFERROR(__xludf.DUMMYFUNCTION("""COMPUTED_VALUE"""),"Instructor or Expert Learning Programs, Learning by observing others, Manager Teaching you")</f>
        <v>Instructor or Expert Learning Programs, Learning by observing others, Manager Teaching you</v>
      </c>
      <c r="N554"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554" s="1" t="str">
        <f ca="1">IFERROR(__xludf.DUMMYFUNCTION("""COMPUTED_VALUE"""),"Manager who explains what is expected, sets a goal and helps achieve it")</f>
        <v>Manager who explains what is expected, sets a goal and helps achieve it</v>
      </c>
      <c r="P554" s="1" t="str">
        <f ca="1">IFERROR(__xludf.DUMMYFUNCTION("""COMPUTED_VALUE"""),"Work with 2 to 3 people in my team")</f>
        <v>Work with 2 to 3 people in my team</v>
      </c>
      <c r="Q554" s="1"/>
    </row>
    <row r="555" spans="1:17" ht="13.2" x14ac:dyDescent="0.25">
      <c r="A555" s="2">
        <f ca="1">IFERROR(__xludf.DUMMYFUNCTION("""COMPUTED_VALUE"""),45021.69402478)</f>
        <v>45021.694024780001</v>
      </c>
      <c r="B555" s="1" t="str">
        <f ca="1">IFERROR(__xludf.DUMMYFUNCTION("""COMPUTED_VALUE"""),"India")</f>
        <v>India</v>
      </c>
      <c r="C555" s="1">
        <f ca="1">IFERROR(__xludf.DUMMYFUNCTION("""COMPUTED_VALUE"""),635109)</f>
        <v>635109</v>
      </c>
      <c r="D555" s="3" t="str">
        <f ca="1">IFERROR(__xludf.DUMMYFUNCTION("""COMPUTED_VALUE"""),"Male")</f>
        <v>Male</v>
      </c>
      <c r="E555" s="1" t="str">
        <f ca="1">IFERROR(__xludf.DUMMYFUNCTION("""COMPUTED_VALUE"""),"Social Media like LinkedIn")</f>
        <v>Social Media like LinkedIn</v>
      </c>
      <c r="F555" s="1" t="str">
        <f ca="1">IFERROR(__xludf.DUMMYFUNCTION("""COMPUTED_VALUE"""),"Yes, I will earn and do that")</f>
        <v>Yes, I will earn and do that</v>
      </c>
      <c r="G555" s="1" t="str">
        <f ca="1">IFERROR(__xludf.DUMMYFUNCTION("""COMPUTED_VALUE"""),"This will be hard to do, but if it is the right company I would try")</f>
        <v>This will be hard to do, but if it is the right company I would try</v>
      </c>
      <c r="H555" s="1" t="str">
        <f ca="1">IFERROR(__xludf.DUMMYFUNCTION("""COMPUTED_VALUE"""),"Yes")</f>
        <v>Yes</v>
      </c>
      <c r="I555" s="1" t="str">
        <f ca="1">IFERROR(__xludf.DUMMYFUNCTION("""COMPUTED_VALUE"""),"Will work for them")</f>
        <v>Will work for them</v>
      </c>
      <c r="J555" s="1">
        <f ca="1">IFERROR(__xludf.DUMMYFUNCTION("""COMPUTED_VALUE"""),9)</f>
        <v>9</v>
      </c>
      <c r="K555" s="1" t="str">
        <f ca="1">IFERROR(__xludf.DUMMYFUNCTION("""COMPUTED_VALUE"""),"Every Day Office Environment")</f>
        <v>Every Day Office Environment</v>
      </c>
      <c r="L555" s="1" t="str">
        <f ca="1">IFERROR(__xludf.DUMMYFUNCTION("""COMPUTED_VALUE"""),"Employer who pushes your limits by enabling an learning environment, and rewards you at the end")</f>
        <v>Employer who pushes your limits by enabling an learning environment, and rewards you at the end</v>
      </c>
      <c r="M5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55" s="1" t="str">
        <f ca="1">IFERROR(__xludf.DUMMYFUNCTION("""COMPUTED_VALUE"""),"Manager who sets goal and helps me achieve it")</f>
        <v>Manager who sets goal and helps me achieve it</v>
      </c>
      <c r="P555" s="1" t="str">
        <f ca="1">IFERROR(__xludf.DUMMYFUNCTION("""COMPUTED_VALUE"""),"Work with 7 to 10 or more people in my team")</f>
        <v>Work with 7 to 10 or more people in my team</v>
      </c>
      <c r="Q555" s="1"/>
    </row>
    <row r="556" spans="1:17" ht="13.2" x14ac:dyDescent="0.25">
      <c r="A556" s="2">
        <f ca="1">IFERROR(__xludf.DUMMYFUNCTION("""COMPUTED_VALUE"""),45021.6975800925)</f>
        <v>45021.697580092499</v>
      </c>
      <c r="B556" s="1" t="str">
        <f ca="1">IFERROR(__xludf.DUMMYFUNCTION("""COMPUTED_VALUE"""),"India")</f>
        <v>India</v>
      </c>
      <c r="C556" s="1">
        <f ca="1">IFERROR(__xludf.DUMMYFUNCTION("""COMPUTED_VALUE"""),360001)</f>
        <v>360001</v>
      </c>
      <c r="D556" s="3" t="str">
        <f ca="1">IFERROR(__xludf.DUMMYFUNCTION("""COMPUTED_VALUE"""),"Male")</f>
        <v>Male</v>
      </c>
      <c r="E556" s="1" t="str">
        <f ca="1">IFERROR(__xludf.DUMMYFUNCTION("""COMPUTED_VALUE"""),"My Parents")</f>
        <v>My Parents</v>
      </c>
      <c r="F556" s="1" t="str">
        <f ca="1">IFERROR(__xludf.DUMMYFUNCTION("""COMPUTED_VALUE"""),"Yes, I will earn and do that")</f>
        <v>Yes, I will earn and do that</v>
      </c>
      <c r="G556" s="1" t="str">
        <f ca="1">IFERROR(__xludf.DUMMYFUNCTION("""COMPUTED_VALUE"""),"This will be hard to do, but if it is the right company I would try")</f>
        <v>This will be hard to do, but if it is the right company I would try</v>
      </c>
      <c r="H556" s="1" t="str">
        <f ca="1">IFERROR(__xludf.DUMMYFUNCTION("""COMPUTED_VALUE"""),"No")</f>
        <v>No</v>
      </c>
      <c r="I556" s="1" t="str">
        <f ca="1">IFERROR(__xludf.DUMMYFUNCTION("""COMPUTED_VALUE"""),"Will NOT work for them")</f>
        <v>Will NOT work for them</v>
      </c>
      <c r="J556" s="1">
        <f ca="1">IFERROR(__xludf.DUMMYFUNCTION("""COMPUTED_VALUE"""),1)</f>
        <v>1</v>
      </c>
      <c r="K556" s="1" t="str">
        <f ca="1">IFERROR(__xludf.DUMMYFUNCTION("""COMPUTED_VALUE"""),"Every Day Office Environment")</f>
        <v>Every Day Office Environment</v>
      </c>
      <c r="L556" s="1" t="str">
        <f ca="1">IFERROR(__xludf.DUMMYFUNCTION("""COMPUTED_VALUE"""),"Employer who pushes your limits by enabling an learning environment, and rewards you at the end")</f>
        <v>Employer who pushes your limits by enabling an learning environment, and rewards you at the end</v>
      </c>
      <c r="M5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56"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556" s="1" t="str">
        <f ca="1">IFERROR(__xludf.DUMMYFUNCTION("""COMPUTED_VALUE"""),"Manager who clearly describes what she/he needs")</f>
        <v>Manager who clearly describes what she/he needs</v>
      </c>
      <c r="P556" s="1" t="str">
        <f ca="1">IFERROR(__xludf.DUMMYFUNCTION("""COMPUTED_VALUE"""),"Work with 7 to 10 or more people in my team")</f>
        <v>Work with 7 to 10 or more people in my team</v>
      </c>
      <c r="Q556" s="1"/>
    </row>
    <row r="557" spans="1:17" ht="13.2" x14ac:dyDescent="0.25">
      <c r="A557" s="2">
        <f ca="1">IFERROR(__xludf.DUMMYFUNCTION("""COMPUTED_VALUE"""),45021.7025141203)</f>
        <v>45021.702514120298</v>
      </c>
      <c r="B557" s="1" t="str">
        <f ca="1">IFERROR(__xludf.DUMMYFUNCTION("""COMPUTED_VALUE"""),"India")</f>
        <v>India</v>
      </c>
      <c r="C557" s="1">
        <f ca="1">IFERROR(__xludf.DUMMYFUNCTION("""COMPUTED_VALUE"""),620008)</f>
        <v>620008</v>
      </c>
      <c r="D557" s="3" t="str">
        <f ca="1">IFERROR(__xludf.DUMMYFUNCTION("""COMPUTED_VALUE"""),"Female")</f>
        <v>Female</v>
      </c>
      <c r="E557" s="1" t="str">
        <f ca="1">IFERROR(__xludf.DUMMYFUNCTION("""COMPUTED_VALUE"""),"My Parents")</f>
        <v>My Parents</v>
      </c>
      <c r="F557" s="1" t="str">
        <f ca="1">IFERROR(__xludf.DUMMYFUNCTION("""COMPUTED_VALUE"""),"Yes, I will earn and do that")</f>
        <v>Yes, I will earn and do that</v>
      </c>
      <c r="G557" s="1" t="str">
        <f ca="1">IFERROR(__xludf.DUMMYFUNCTION("""COMPUTED_VALUE"""),"This will be hard to do, but if it is the right company I would try")</f>
        <v>This will be hard to do, but if it is the right company I would try</v>
      </c>
      <c r="H557" s="1" t="str">
        <f ca="1">IFERROR(__xludf.DUMMYFUNCTION("""COMPUTED_VALUE"""),"Yes")</f>
        <v>Yes</v>
      </c>
      <c r="I557" s="1" t="str">
        <f ca="1">IFERROR(__xludf.DUMMYFUNCTION("""COMPUTED_VALUE"""),"Will NOT work for them")</f>
        <v>Will NOT work for them</v>
      </c>
      <c r="J557" s="1">
        <f ca="1">IFERROR(__xludf.DUMMYFUNCTION("""COMPUTED_VALUE"""),1)</f>
        <v>1</v>
      </c>
      <c r="K557" s="1" t="str">
        <f ca="1">IFERROR(__xludf.DUMMYFUNCTION("""COMPUTED_VALUE"""),"Hybrid Working Environment with less than 3 days a month at office")</f>
        <v>Hybrid Working Environment with less than 3 days a month at office</v>
      </c>
      <c r="L557" s="1" t="str">
        <f ca="1">IFERROR(__xludf.DUMMYFUNCTION("""COMPUTED_VALUE"""),"Employer who appreciates learning and enables that environment")</f>
        <v>Employer who appreciates learning and enables that environment</v>
      </c>
      <c r="M55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57"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557" s="1" t="str">
        <f ca="1">IFERROR(__xludf.DUMMYFUNCTION("""COMPUTED_VALUE"""),"Manager who sets goal and helps me achieve it")</f>
        <v>Manager who sets goal and helps me achieve it</v>
      </c>
      <c r="P557" s="1" t="str">
        <f ca="1">IFERROR(__xludf.DUMMYFUNCTION("""COMPUTED_VALUE"""),"Work with 2 to 3 people in my team, Work with 5 to 6 people in my team")</f>
        <v>Work with 2 to 3 people in my team, Work with 5 to 6 people in my team</v>
      </c>
      <c r="Q557" s="1"/>
    </row>
    <row r="558" spans="1:17" ht="13.2" x14ac:dyDescent="0.25">
      <c r="A558" s="2">
        <f ca="1">IFERROR(__xludf.DUMMYFUNCTION("""COMPUTED_VALUE"""),45021.7040934259)</f>
        <v>45021.704093425898</v>
      </c>
      <c r="B558" s="1" t="str">
        <f ca="1">IFERROR(__xludf.DUMMYFUNCTION("""COMPUTED_VALUE"""),"India")</f>
        <v>India</v>
      </c>
      <c r="C558" s="1">
        <f ca="1">IFERROR(__xludf.DUMMYFUNCTION("""COMPUTED_VALUE"""),122001)</f>
        <v>122001</v>
      </c>
      <c r="D558" s="3" t="str">
        <f ca="1">IFERROR(__xludf.DUMMYFUNCTION("""COMPUTED_VALUE"""),"Male")</f>
        <v>Male</v>
      </c>
      <c r="E558" s="1" t="str">
        <f ca="1">IFERROR(__xludf.DUMMYFUNCTION("""COMPUTED_VALUE"""),"My Parents")</f>
        <v>My Parents</v>
      </c>
      <c r="F558" s="1" t="str">
        <f ca="1">IFERROR(__xludf.DUMMYFUNCTION("""COMPUTED_VALUE"""),"Yes, I will earn and do that")</f>
        <v>Yes, I will earn and do that</v>
      </c>
      <c r="G558" s="1" t="str">
        <f ca="1">IFERROR(__xludf.DUMMYFUNCTION("""COMPUTED_VALUE"""),"Will work for 3 years or more")</f>
        <v>Will work for 3 years or more</v>
      </c>
      <c r="H558" s="1" t="str">
        <f ca="1">IFERROR(__xludf.DUMMYFUNCTION("""COMPUTED_VALUE"""),"No")</f>
        <v>No</v>
      </c>
      <c r="I558" s="1" t="str">
        <f ca="1">IFERROR(__xludf.DUMMYFUNCTION("""COMPUTED_VALUE"""),"Will NOT work for them")</f>
        <v>Will NOT work for them</v>
      </c>
      <c r="J558" s="1">
        <f ca="1">IFERROR(__xludf.DUMMYFUNCTION("""COMPUTED_VALUE"""),5)</f>
        <v>5</v>
      </c>
      <c r="K558" s="1" t="str">
        <f ca="1">IFERROR(__xludf.DUMMYFUNCTION("""COMPUTED_VALUE"""),"Hybrid Working Environment with more than 15 days a month at office")</f>
        <v>Hybrid Working Environment with more than 15 days a month at office</v>
      </c>
      <c r="L558" s="1" t="str">
        <f ca="1">IFERROR(__xludf.DUMMYFUNCTION("""COMPUTED_VALUE"""),"Employer who pushes your limits by enabling an learning environment, and rewards you at the end")</f>
        <v>Employer who pushes your limits by enabling an learning environment, and rewards you at the end</v>
      </c>
      <c r="M558" s="1" t="str">
        <f ca="1">IFERROR(__xludf.DUMMYFUNCTION("""COMPUTED_VALUE"""),"Self Paced Learning Portals of the Company, Instructor or Expert Learning Programs, Manager Teaching you")</f>
        <v>Self Paced Learning Portals of the Company, Instructor or Expert Learning Programs, Manager Teaching you</v>
      </c>
      <c r="N558"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558" s="1" t="str">
        <f ca="1">IFERROR(__xludf.DUMMYFUNCTION("""COMPUTED_VALUE"""),"Manager who explains what is expected, sets a goal and helps achieve it")</f>
        <v>Manager who explains what is expected, sets a goal and helps achieve it</v>
      </c>
      <c r="P558" s="1" t="str">
        <f ca="1">IFERROR(__xludf.DUMMYFUNCTION("""COMPUTED_VALUE"""),"Work with 5 to 6 people in my team, Work with 7 to 10 or more people in my team")</f>
        <v>Work with 5 to 6 people in my team, Work with 7 to 10 or more people in my team</v>
      </c>
      <c r="Q558" s="1"/>
    </row>
    <row r="559" spans="1:17" ht="13.2" x14ac:dyDescent="0.25">
      <c r="A559" s="2">
        <f ca="1">IFERROR(__xludf.DUMMYFUNCTION("""COMPUTED_VALUE"""),45021.7049069907)</f>
        <v>45021.704906990701</v>
      </c>
      <c r="B559" s="1" t="str">
        <f ca="1">IFERROR(__xludf.DUMMYFUNCTION("""COMPUTED_VALUE"""),"India")</f>
        <v>India</v>
      </c>
      <c r="C559" s="1">
        <f ca="1">IFERROR(__xludf.DUMMYFUNCTION("""COMPUTED_VALUE"""),626108)</f>
        <v>626108</v>
      </c>
      <c r="D559" s="3" t="str">
        <f ca="1">IFERROR(__xludf.DUMMYFUNCTION("""COMPUTED_VALUE"""),"Male")</f>
        <v>Male</v>
      </c>
      <c r="E559" s="1" t="str">
        <f ca="1">IFERROR(__xludf.DUMMYFUNCTION("""COMPUTED_VALUE"""),"People from my circle, but not family members")</f>
        <v>People from my circle, but not family members</v>
      </c>
      <c r="F559" s="1" t="str">
        <f ca="1">IFERROR(__xludf.DUMMYFUNCTION("""COMPUTED_VALUE"""),"No I would not be pursuing Higher Education outside of India")</f>
        <v>No I would not be pursuing Higher Education outside of India</v>
      </c>
      <c r="G559" s="1" t="str">
        <f ca="1">IFERROR(__xludf.DUMMYFUNCTION("""COMPUTED_VALUE"""),"Will work for 3 years or more")</f>
        <v>Will work for 3 years or more</v>
      </c>
      <c r="H559" s="1" t="str">
        <f ca="1">IFERROR(__xludf.DUMMYFUNCTION("""COMPUTED_VALUE"""),"No")</f>
        <v>No</v>
      </c>
      <c r="I559" s="1" t="str">
        <f ca="1">IFERROR(__xludf.DUMMYFUNCTION("""COMPUTED_VALUE"""),"Will NOT work for them")</f>
        <v>Will NOT work for them</v>
      </c>
      <c r="J559" s="1">
        <f ca="1">IFERROR(__xludf.DUMMYFUNCTION("""COMPUTED_VALUE"""),10)</f>
        <v>10</v>
      </c>
      <c r="K559" s="1" t="str">
        <f ca="1">IFERROR(__xludf.DUMMYFUNCTION("""COMPUTED_VALUE"""),"Hybrid Working Environment with less than 3 days a month at office")</f>
        <v>Hybrid Working Environment with less than 3 days a month at office</v>
      </c>
      <c r="L559" s="1" t="str">
        <f ca="1">IFERROR(__xludf.DUMMYFUNCTION("""COMPUTED_VALUE"""),"Employer who appreciates learning and enables that environment")</f>
        <v>Employer who appreciates learning and enables that environment</v>
      </c>
      <c r="M5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5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59" s="1" t="str">
        <f ca="1">IFERROR(__xludf.DUMMYFUNCTION("""COMPUTED_VALUE"""),"Manager who sets goal and helps me achieve it")</f>
        <v>Manager who sets goal and helps me achieve it</v>
      </c>
      <c r="P559" s="1" t="str">
        <f ca="1">IFERROR(__xludf.DUMMYFUNCTION("""COMPUTED_VALUE"""),"Work with 2 to 3 people in my team")</f>
        <v>Work with 2 to 3 people in my team</v>
      </c>
      <c r="Q559" s="1"/>
    </row>
    <row r="560" spans="1:17" ht="13.2" x14ac:dyDescent="0.25">
      <c r="A560" s="2">
        <f ca="1">IFERROR(__xludf.DUMMYFUNCTION("""COMPUTED_VALUE"""),45021.7057106481)</f>
        <v>45021.705710648101</v>
      </c>
      <c r="B560" s="1" t="str">
        <f ca="1">IFERROR(__xludf.DUMMYFUNCTION("""COMPUTED_VALUE"""),"India")</f>
        <v>India</v>
      </c>
      <c r="C560" s="1">
        <f ca="1">IFERROR(__xludf.DUMMYFUNCTION("""COMPUTED_VALUE"""),641004)</f>
        <v>641004</v>
      </c>
      <c r="D560" s="3" t="str">
        <f ca="1">IFERROR(__xludf.DUMMYFUNCTION("""COMPUTED_VALUE"""),"Male")</f>
        <v>Male</v>
      </c>
      <c r="E560" s="1" t="str">
        <f ca="1">IFERROR(__xludf.DUMMYFUNCTION("""COMPUTED_VALUE"""),"Influencers who had successful careers")</f>
        <v>Influencers who had successful careers</v>
      </c>
      <c r="F560" s="1" t="str">
        <f ca="1">IFERROR(__xludf.DUMMYFUNCTION("""COMPUTED_VALUE"""),"Yes, I will earn and do that")</f>
        <v>Yes, I will earn and do that</v>
      </c>
      <c r="G560" s="1" t="str">
        <f ca="1">IFERROR(__xludf.DUMMYFUNCTION("""COMPUTED_VALUE"""),"This will be hard to do, but if it is the right company I would try")</f>
        <v>This will be hard to do, but if it is the right company I would try</v>
      </c>
      <c r="H560" s="1" t="str">
        <f ca="1">IFERROR(__xludf.DUMMYFUNCTION("""COMPUTED_VALUE"""),"No")</f>
        <v>No</v>
      </c>
      <c r="I560" s="1" t="str">
        <f ca="1">IFERROR(__xludf.DUMMYFUNCTION("""COMPUTED_VALUE"""),"Will NOT work for them")</f>
        <v>Will NOT work for them</v>
      </c>
      <c r="J560" s="1">
        <f ca="1">IFERROR(__xludf.DUMMYFUNCTION("""COMPUTED_VALUE"""),3)</f>
        <v>3</v>
      </c>
      <c r="K560" s="1" t="str">
        <f ca="1">IFERROR(__xludf.DUMMYFUNCTION("""COMPUTED_VALUE"""),"Hybrid Working Environment with less than 3 days a month at office")</f>
        <v>Hybrid Working Environment with less than 3 days a month at office</v>
      </c>
      <c r="L560" s="1" t="str">
        <f ca="1">IFERROR(__xludf.DUMMYFUNCTION("""COMPUTED_VALUE"""),"Employer who appreciates learning and enables that environment")</f>
        <v>Employer who appreciates learning and enables that environment</v>
      </c>
      <c r="M56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560" s="1" t="str">
        <f ca="1">IFERROR(__xludf.DUMMYFUNCTION("""COMPUTED_VALUE"""),"Manager who clearly describes what she/he needs")</f>
        <v>Manager who clearly describes what she/he needs</v>
      </c>
      <c r="P560" s="1" t="str">
        <f ca="1">IFERROR(__xludf.DUMMYFUNCTION("""COMPUTED_VALUE"""),"Work with more than 10 people in my team")</f>
        <v>Work with more than 10 people in my team</v>
      </c>
      <c r="Q560" s="1"/>
    </row>
    <row r="561" spans="1:17" ht="13.2" x14ac:dyDescent="0.25">
      <c r="A561" s="2">
        <f ca="1">IFERROR(__xludf.DUMMYFUNCTION("""COMPUTED_VALUE"""),45021.7071620717)</f>
        <v>45021.707162071703</v>
      </c>
      <c r="B561" s="1" t="str">
        <f ca="1">IFERROR(__xludf.DUMMYFUNCTION("""COMPUTED_VALUE"""),"India")</f>
        <v>India</v>
      </c>
      <c r="C561" s="1">
        <f ca="1">IFERROR(__xludf.DUMMYFUNCTION("""COMPUTED_VALUE"""),110059)</f>
        <v>110059</v>
      </c>
      <c r="D561" s="3" t="str">
        <f ca="1">IFERROR(__xludf.DUMMYFUNCTION("""COMPUTED_VALUE"""),"Male")</f>
        <v>Male</v>
      </c>
      <c r="E561" s="1" t="str">
        <f ca="1">IFERROR(__xludf.DUMMYFUNCTION("""COMPUTED_VALUE"""),"People from my circle, but not family members")</f>
        <v>People from my circle, but not family members</v>
      </c>
      <c r="F561" s="1" t="str">
        <f ca="1">IFERROR(__xludf.DUMMYFUNCTION("""COMPUTED_VALUE"""),"No I would not be pursuing Higher Education outside of India")</f>
        <v>No I would not be pursuing Higher Education outside of India</v>
      </c>
      <c r="G561" s="1" t="str">
        <f ca="1">IFERROR(__xludf.DUMMYFUNCTION("""COMPUTED_VALUE"""),"This will be hard to do, but if it is the right company I would try")</f>
        <v>This will be hard to do, but if it is the right company I would try</v>
      </c>
      <c r="H561" s="1" t="str">
        <f ca="1">IFERROR(__xludf.DUMMYFUNCTION("""COMPUTED_VALUE"""),"No")</f>
        <v>No</v>
      </c>
      <c r="I561" s="1" t="str">
        <f ca="1">IFERROR(__xludf.DUMMYFUNCTION("""COMPUTED_VALUE"""),"Will NOT work for them")</f>
        <v>Will NOT work for them</v>
      </c>
      <c r="J561" s="1">
        <f ca="1">IFERROR(__xludf.DUMMYFUNCTION("""COMPUTED_VALUE"""),2)</f>
        <v>2</v>
      </c>
      <c r="K561" s="1" t="str">
        <f ca="1">IFERROR(__xludf.DUMMYFUNCTION("""COMPUTED_VALUE"""),"Hybrid Working Environment with more than 15 days a month at office")</f>
        <v>Hybrid Working Environment with more than 15 days a month at office</v>
      </c>
      <c r="L561" s="1" t="str">
        <f ca="1">IFERROR(__xludf.DUMMYFUNCTION("""COMPUTED_VALUE"""),"Employer who pushes your limits by enabling an learning environment, and rewards you at the end")</f>
        <v>Employer who pushes your limits by enabling an learning environment, and rewards you at the end</v>
      </c>
      <c r="M56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1"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561" s="1" t="str">
        <f ca="1">IFERROR(__xludf.DUMMYFUNCTION("""COMPUTED_VALUE"""),"Manager who sets goal and helps me achieve it")</f>
        <v>Manager who sets goal and helps me achieve it</v>
      </c>
      <c r="P561" s="1" t="str">
        <f ca="1">IFERROR(__xludf.DUMMYFUNCTION("""COMPUTED_VALUE"""),"Work alone")</f>
        <v>Work alone</v>
      </c>
      <c r="Q561" s="1"/>
    </row>
    <row r="562" spans="1:17" ht="13.2" x14ac:dyDescent="0.25">
      <c r="A562" s="2">
        <f ca="1">IFERROR(__xludf.DUMMYFUNCTION("""COMPUTED_VALUE"""),45021.7094640162)</f>
        <v>45021.709464016203</v>
      </c>
      <c r="B562" s="1" t="str">
        <f ca="1">IFERROR(__xludf.DUMMYFUNCTION("""COMPUTED_VALUE"""),"India")</f>
        <v>India</v>
      </c>
      <c r="C562" s="1">
        <f ca="1">IFERROR(__xludf.DUMMYFUNCTION("""COMPUTED_VALUE"""),380007)</f>
        <v>380007</v>
      </c>
      <c r="D562" s="3" t="str">
        <f ca="1">IFERROR(__xludf.DUMMYFUNCTION("""COMPUTED_VALUE"""),"Female")</f>
        <v>Female</v>
      </c>
      <c r="E562" s="1" t="str">
        <f ca="1">IFERROR(__xludf.DUMMYFUNCTION("""COMPUTED_VALUE"""),"People who have changed the world for better")</f>
        <v>People who have changed the world for better</v>
      </c>
      <c r="F562" s="1" t="str">
        <f ca="1">IFERROR(__xludf.DUMMYFUNCTION("""COMPUTED_VALUE"""),"No I would not be pursuing Higher Education outside of India")</f>
        <v>No I would not be pursuing Higher Education outside of India</v>
      </c>
      <c r="G562" s="1" t="str">
        <f ca="1">IFERROR(__xludf.DUMMYFUNCTION("""COMPUTED_VALUE"""),"This will be hard to do, but if it is the right company I would try")</f>
        <v>This will be hard to do, but if it is the right company I would try</v>
      </c>
      <c r="H562" s="1" t="str">
        <f ca="1">IFERROR(__xludf.DUMMYFUNCTION("""COMPUTED_VALUE"""),"No")</f>
        <v>No</v>
      </c>
      <c r="I562" s="1" t="str">
        <f ca="1">IFERROR(__xludf.DUMMYFUNCTION("""COMPUTED_VALUE"""),"Will NOT work for them")</f>
        <v>Will NOT work for them</v>
      </c>
      <c r="J562" s="1">
        <f ca="1">IFERROR(__xludf.DUMMYFUNCTION("""COMPUTED_VALUE"""),2)</f>
        <v>2</v>
      </c>
      <c r="K562" s="1" t="str">
        <f ca="1">IFERROR(__xludf.DUMMYFUNCTION("""COMPUTED_VALUE"""),"Fully Remote with Options to travel as and when needed")</f>
        <v>Fully Remote with Options to travel as and when needed</v>
      </c>
      <c r="L562" s="1" t="str">
        <f ca="1">IFERROR(__xludf.DUMMYFUNCTION("""COMPUTED_VALUE"""),"Employer who pushes your limits by enabling an learning environment, and rewards you at the end")</f>
        <v>Employer who pushes your limits by enabling an learning environment, and rewards you at the end</v>
      </c>
      <c r="M56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562" s="1" t="str">
        <f ca="1">IFERROR(__xludf.DUMMYFUNCTION("""COMPUTED_VALUE"""),"Manager who clearly describes what she/he needs")</f>
        <v>Manager who clearly describes what she/he needs</v>
      </c>
      <c r="P562" s="1" t="str">
        <f ca="1">IFERROR(__xludf.DUMMYFUNCTION("""COMPUTED_VALUE"""),"Work with more than 10 people in my team")</f>
        <v>Work with more than 10 people in my team</v>
      </c>
      <c r="Q562" s="1"/>
    </row>
    <row r="563" spans="1:17" ht="13.2" x14ac:dyDescent="0.25">
      <c r="A563" s="2">
        <f ca="1">IFERROR(__xludf.DUMMYFUNCTION("""COMPUTED_VALUE"""),45021.7108700694)</f>
        <v>45021.710870069401</v>
      </c>
      <c r="B563" s="1" t="str">
        <f ca="1">IFERROR(__xludf.DUMMYFUNCTION("""COMPUTED_VALUE"""),"India")</f>
        <v>India</v>
      </c>
      <c r="C563" s="1">
        <f ca="1">IFERROR(__xludf.DUMMYFUNCTION("""COMPUTED_VALUE"""),631101)</f>
        <v>631101</v>
      </c>
      <c r="D563" s="3" t="str">
        <f ca="1">IFERROR(__xludf.DUMMYFUNCTION("""COMPUTED_VALUE"""),"Male")</f>
        <v>Male</v>
      </c>
      <c r="E563" s="1" t="str">
        <f ca="1">IFERROR(__xludf.DUMMYFUNCTION("""COMPUTED_VALUE"""),"People who have changed the world for better")</f>
        <v>People who have changed the world for better</v>
      </c>
      <c r="F563" s="1" t="str">
        <f ca="1">IFERROR(__xludf.DUMMYFUNCTION("""COMPUTED_VALUE"""),"Yes, I will earn and do that")</f>
        <v>Yes, I will earn and do that</v>
      </c>
      <c r="G563" s="1" t="str">
        <f ca="1">IFERROR(__xludf.DUMMYFUNCTION("""COMPUTED_VALUE"""),"Will work for 3 years or more")</f>
        <v>Will work for 3 years or more</v>
      </c>
      <c r="H563" s="1" t="str">
        <f ca="1">IFERROR(__xludf.DUMMYFUNCTION("""COMPUTED_VALUE"""),"No")</f>
        <v>No</v>
      </c>
      <c r="I563" s="1" t="str">
        <f ca="1">IFERROR(__xludf.DUMMYFUNCTION("""COMPUTED_VALUE"""),"Will NOT work for them")</f>
        <v>Will NOT work for them</v>
      </c>
      <c r="J563" s="1">
        <f ca="1">IFERROR(__xludf.DUMMYFUNCTION("""COMPUTED_VALUE"""),5)</f>
        <v>5</v>
      </c>
      <c r="K563" s="1" t="str">
        <f ca="1">IFERROR(__xludf.DUMMYFUNCTION("""COMPUTED_VALUE"""),"Hybrid Working Environment with less than 3 days a month at office")</f>
        <v>Hybrid Working Environment with less than 3 days a month at office</v>
      </c>
      <c r="L563" s="1" t="str">
        <f ca="1">IFERROR(__xludf.DUMMYFUNCTION("""COMPUTED_VALUE"""),"Employer who rewards learning and enables that environment")</f>
        <v>Employer who rewards learning and enables that environment</v>
      </c>
      <c r="M56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56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63" s="1" t="str">
        <f ca="1">IFERROR(__xludf.DUMMYFUNCTION("""COMPUTED_VALUE"""),"Manager who explains what is expected, sets a goal and helps achieve it")</f>
        <v>Manager who explains what is expected, sets a goal and helps achieve it</v>
      </c>
      <c r="P563" s="1" t="str">
        <f ca="1">IFERROR(__xludf.DUMMYFUNCTION("""COMPUTED_VALUE"""),"Work alone, Work with more than 10 people in my team")</f>
        <v>Work alone, Work with more than 10 people in my team</v>
      </c>
      <c r="Q563" s="1"/>
    </row>
    <row r="564" spans="1:17" ht="13.2" x14ac:dyDescent="0.25">
      <c r="A564" s="2">
        <f ca="1">IFERROR(__xludf.DUMMYFUNCTION("""COMPUTED_VALUE"""),45021.7109147916)</f>
        <v>45021.710914791598</v>
      </c>
      <c r="B564" s="1" t="str">
        <f ca="1">IFERROR(__xludf.DUMMYFUNCTION("""COMPUTED_VALUE"""),"India")</f>
        <v>India</v>
      </c>
      <c r="C564" s="1">
        <f ca="1">IFERROR(__xludf.DUMMYFUNCTION("""COMPUTED_VALUE"""),626136)</f>
        <v>626136</v>
      </c>
      <c r="D564" s="3" t="str">
        <f ca="1">IFERROR(__xludf.DUMMYFUNCTION("""COMPUTED_VALUE"""),"Male")</f>
        <v>Male</v>
      </c>
      <c r="E564" s="1" t="str">
        <f ca="1">IFERROR(__xludf.DUMMYFUNCTION("""COMPUTED_VALUE"""),"People from my circle, but not family members")</f>
        <v>People from my circle, but not family members</v>
      </c>
      <c r="F564" s="1" t="str">
        <f ca="1">IFERROR(__xludf.DUMMYFUNCTION("""COMPUTED_VALUE"""),"No I would not be pursuing Higher Education outside of India")</f>
        <v>No I would not be pursuing Higher Education outside of India</v>
      </c>
      <c r="G564" s="1" t="str">
        <f ca="1">IFERROR(__xludf.DUMMYFUNCTION("""COMPUTED_VALUE"""),"This will be hard to do, but if it is the right company I would try")</f>
        <v>This will be hard to do, but if it is the right company I would try</v>
      </c>
      <c r="H564" s="1" t="str">
        <f ca="1">IFERROR(__xludf.DUMMYFUNCTION("""COMPUTED_VALUE"""),"Yes")</f>
        <v>Yes</v>
      </c>
      <c r="I564" s="1" t="str">
        <f ca="1">IFERROR(__xludf.DUMMYFUNCTION("""COMPUTED_VALUE"""),"Will work for them")</f>
        <v>Will work for them</v>
      </c>
      <c r="J564" s="1">
        <f ca="1">IFERROR(__xludf.DUMMYFUNCTION("""COMPUTED_VALUE"""),7)</f>
        <v>7</v>
      </c>
      <c r="K564" s="1" t="str">
        <f ca="1">IFERROR(__xludf.DUMMYFUNCTION("""COMPUTED_VALUE"""),"Fully Remote with Options to travel as and when needed")</f>
        <v>Fully Remote with Options to travel as and when needed</v>
      </c>
      <c r="L564" s="1" t="str">
        <f ca="1">IFERROR(__xludf.DUMMYFUNCTION("""COMPUTED_VALUE"""),"Employer who pushes your limits by enabling an learning environment, and rewards you at the end")</f>
        <v>Employer who pushes your limits by enabling an learning environment, and rewards you at the end</v>
      </c>
      <c r="M5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564" s="1" t="str">
        <f ca="1">IFERROR(__xludf.DUMMYFUNCTION("""COMPUTED_VALUE"""),"Manager who sets goal and helps me achieve it")</f>
        <v>Manager who sets goal and helps me achieve it</v>
      </c>
      <c r="P564" s="1" t="str">
        <f ca="1">IFERROR(__xludf.DUMMYFUNCTION("""COMPUTED_VALUE"""),"Work with 5 to 6 people in my team")</f>
        <v>Work with 5 to 6 people in my team</v>
      </c>
      <c r="Q564" s="1"/>
    </row>
    <row r="565" spans="1:17" ht="13.2" x14ac:dyDescent="0.25">
      <c r="A565" s="2">
        <f ca="1">IFERROR(__xludf.DUMMYFUNCTION("""COMPUTED_VALUE"""),45021.7128589351)</f>
        <v>45021.712858935098</v>
      </c>
      <c r="B565" s="1" t="str">
        <f ca="1">IFERROR(__xludf.DUMMYFUNCTION("""COMPUTED_VALUE"""),"India")</f>
        <v>India</v>
      </c>
      <c r="C565" s="1">
        <f ca="1">IFERROR(__xludf.DUMMYFUNCTION("""COMPUTED_VALUE"""),530024)</f>
        <v>530024</v>
      </c>
      <c r="D565" s="3" t="str">
        <f ca="1">IFERROR(__xludf.DUMMYFUNCTION("""COMPUTED_VALUE"""),"Male")</f>
        <v>Male</v>
      </c>
      <c r="E565" s="1" t="str">
        <f ca="1">IFERROR(__xludf.DUMMYFUNCTION("""COMPUTED_VALUE"""),"My Parents")</f>
        <v>My Parents</v>
      </c>
      <c r="F565" s="1" t="str">
        <f ca="1">IFERROR(__xludf.DUMMYFUNCTION("""COMPUTED_VALUE"""),"No, But if someone could bare the cost I will")</f>
        <v>No, But if someone could bare the cost I will</v>
      </c>
      <c r="G565" s="1" t="str">
        <f ca="1">IFERROR(__xludf.DUMMYFUNCTION("""COMPUTED_VALUE"""),"Will work for 3 years or more")</f>
        <v>Will work for 3 years or more</v>
      </c>
      <c r="H565" s="1" t="str">
        <f ca="1">IFERROR(__xludf.DUMMYFUNCTION("""COMPUTED_VALUE"""),"No")</f>
        <v>No</v>
      </c>
      <c r="I565" s="1" t="str">
        <f ca="1">IFERROR(__xludf.DUMMYFUNCTION("""COMPUTED_VALUE"""),"Will NOT work for them")</f>
        <v>Will NOT work for them</v>
      </c>
      <c r="J565" s="1">
        <f ca="1">IFERROR(__xludf.DUMMYFUNCTION("""COMPUTED_VALUE"""),7)</f>
        <v>7</v>
      </c>
      <c r="K565" s="1" t="str">
        <f ca="1">IFERROR(__xludf.DUMMYFUNCTION("""COMPUTED_VALUE"""),"Fully Remote with Options to travel as and when needed")</f>
        <v>Fully Remote with Options to travel as and when needed</v>
      </c>
      <c r="L565" s="1" t="str">
        <f ca="1">IFERROR(__xludf.DUMMYFUNCTION("""COMPUTED_VALUE"""),"Employer who pushes your limits by enabling an learning environment, and rewards you at the end")</f>
        <v>Employer who pushes your limits by enabling an learning environment, and rewards you at the end</v>
      </c>
      <c r="M56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5"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65" s="1" t="str">
        <f ca="1">IFERROR(__xludf.DUMMYFUNCTION("""COMPUTED_VALUE"""),"Manager who explains what is expected, sets a goal and helps achieve it")</f>
        <v>Manager who explains what is expected, sets a goal and helps achieve it</v>
      </c>
      <c r="P565" s="1" t="str">
        <f ca="1">IFERROR(__xludf.DUMMYFUNCTION("""COMPUTED_VALUE"""),"Work with 5 to 6 people in my team")</f>
        <v>Work with 5 to 6 people in my team</v>
      </c>
      <c r="Q565" s="1"/>
    </row>
    <row r="566" spans="1:17" ht="13.2" x14ac:dyDescent="0.25">
      <c r="A566" s="2">
        <f ca="1">IFERROR(__xludf.DUMMYFUNCTION("""COMPUTED_VALUE"""),45021.7132454398)</f>
        <v>45021.713245439802</v>
      </c>
      <c r="B566" s="1" t="str">
        <f ca="1">IFERROR(__xludf.DUMMYFUNCTION("""COMPUTED_VALUE"""),"India")</f>
        <v>India</v>
      </c>
      <c r="C566" s="1">
        <f ca="1">IFERROR(__xludf.DUMMYFUNCTION("""COMPUTED_VALUE"""),606601)</f>
        <v>606601</v>
      </c>
      <c r="D566" s="3" t="str">
        <f ca="1">IFERROR(__xludf.DUMMYFUNCTION("""COMPUTED_VALUE"""),"Male")</f>
        <v>Male</v>
      </c>
      <c r="E566" s="1" t="str">
        <f ca="1">IFERROR(__xludf.DUMMYFUNCTION("""COMPUTED_VALUE"""),"My Parents")</f>
        <v>My Parents</v>
      </c>
      <c r="F566" s="1" t="str">
        <f ca="1">IFERROR(__xludf.DUMMYFUNCTION("""COMPUTED_VALUE"""),"Yes, I will earn and do that")</f>
        <v>Yes, I will earn and do that</v>
      </c>
      <c r="G566" s="1" t="str">
        <f ca="1">IFERROR(__xludf.DUMMYFUNCTION("""COMPUTED_VALUE"""),"Will work for 3 years or more")</f>
        <v>Will work for 3 years or more</v>
      </c>
      <c r="H566" s="1" t="str">
        <f ca="1">IFERROR(__xludf.DUMMYFUNCTION("""COMPUTED_VALUE"""),"Yes")</f>
        <v>Yes</v>
      </c>
      <c r="I566" s="1" t="str">
        <f ca="1">IFERROR(__xludf.DUMMYFUNCTION("""COMPUTED_VALUE"""),"Will work for them")</f>
        <v>Will work for them</v>
      </c>
      <c r="J566" s="1">
        <f ca="1">IFERROR(__xludf.DUMMYFUNCTION("""COMPUTED_VALUE"""),10)</f>
        <v>10</v>
      </c>
      <c r="K566" s="1" t="str">
        <f ca="1">IFERROR(__xludf.DUMMYFUNCTION("""COMPUTED_VALUE"""),"Fully Remote with Options to travel as and when needed")</f>
        <v>Fully Remote with Options to travel as and when needed</v>
      </c>
      <c r="L566" s="1" t="str">
        <f ca="1">IFERROR(__xludf.DUMMYFUNCTION("""COMPUTED_VALUE"""),"Employer who pushes your limits by enabling an learning environment, and rewards you at the end")</f>
        <v>Employer who pushes your limits by enabling an learning environment, and rewards you at the end</v>
      </c>
      <c r="M5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6"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66" s="1" t="str">
        <f ca="1">IFERROR(__xludf.DUMMYFUNCTION("""COMPUTED_VALUE"""),"Manager who explains what is expected, sets a goal and helps achieve it")</f>
        <v>Manager who explains what is expected, sets a goal and helps achieve it</v>
      </c>
      <c r="P566" s="1" t="str">
        <f ca="1">IFERROR(__xludf.DUMMYFUNCTION("""COMPUTED_VALUE"""),"Work with more than 10 people in my team")</f>
        <v>Work with more than 10 people in my team</v>
      </c>
      <c r="Q566" s="1"/>
    </row>
    <row r="567" spans="1:17" ht="13.2" x14ac:dyDescent="0.25">
      <c r="A567" s="2">
        <f ca="1">IFERROR(__xludf.DUMMYFUNCTION("""COMPUTED_VALUE"""),45021.7138070023)</f>
        <v>45021.713807002299</v>
      </c>
      <c r="B567" s="1" t="str">
        <f ca="1">IFERROR(__xludf.DUMMYFUNCTION("""COMPUTED_VALUE"""),"India")</f>
        <v>India</v>
      </c>
      <c r="C567" s="1">
        <f ca="1">IFERROR(__xludf.DUMMYFUNCTION("""COMPUTED_VALUE"""),522006)</f>
        <v>522006</v>
      </c>
      <c r="D567" s="3" t="str">
        <f ca="1">IFERROR(__xludf.DUMMYFUNCTION("""COMPUTED_VALUE"""),"Male")</f>
        <v>Male</v>
      </c>
      <c r="E567" s="1" t="str">
        <f ca="1">IFERROR(__xludf.DUMMYFUNCTION("""COMPUTED_VALUE"""),"My Parents")</f>
        <v>My Parents</v>
      </c>
      <c r="F567" s="1" t="str">
        <f ca="1">IFERROR(__xludf.DUMMYFUNCTION("""COMPUTED_VALUE"""),"No I would not be pursuing Higher Education outside of India")</f>
        <v>No I would not be pursuing Higher Education outside of India</v>
      </c>
      <c r="G567" s="1" t="str">
        <f ca="1">IFERROR(__xludf.DUMMYFUNCTION("""COMPUTED_VALUE"""),"This will be hard to do, but if it is the right company I would try")</f>
        <v>This will be hard to do, but if it is the right company I would try</v>
      </c>
      <c r="H567" s="1" t="str">
        <f ca="1">IFERROR(__xludf.DUMMYFUNCTION("""COMPUTED_VALUE"""),"No")</f>
        <v>No</v>
      </c>
      <c r="I567" s="1" t="str">
        <f ca="1">IFERROR(__xludf.DUMMYFUNCTION("""COMPUTED_VALUE"""),"Will NOT work for them")</f>
        <v>Will NOT work for them</v>
      </c>
      <c r="J567" s="1">
        <f ca="1">IFERROR(__xludf.DUMMYFUNCTION("""COMPUTED_VALUE"""),1)</f>
        <v>1</v>
      </c>
      <c r="K567" s="1" t="str">
        <f ca="1">IFERROR(__xludf.DUMMYFUNCTION("""COMPUTED_VALUE"""),"Every Day Office Environment")</f>
        <v>Every Day Office Environment</v>
      </c>
      <c r="L567" s="1" t="str">
        <f ca="1">IFERROR(__xludf.DUMMYFUNCTION("""COMPUTED_VALUE"""),"Employer who appreciates learning and enables that environment")</f>
        <v>Employer who appreciates learning and enables that environment</v>
      </c>
      <c r="M56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6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567" s="1" t="str">
        <f ca="1">IFERROR(__xludf.DUMMYFUNCTION("""COMPUTED_VALUE"""),"Manager who sets goal and helps me achieve it")</f>
        <v>Manager who sets goal and helps me achieve it</v>
      </c>
      <c r="P567" s="1" t="str">
        <f ca="1">IFERROR(__xludf.DUMMYFUNCTION("""COMPUTED_VALUE"""),"Work alone, Work with 2 to 3 people in my team")</f>
        <v>Work alone, Work with 2 to 3 people in my team</v>
      </c>
      <c r="Q567" s="1"/>
    </row>
    <row r="568" spans="1:17" ht="13.2" x14ac:dyDescent="0.25">
      <c r="A568" s="2">
        <f ca="1">IFERROR(__xludf.DUMMYFUNCTION("""COMPUTED_VALUE"""),45021.7144720023)</f>
        <v>45021.714472002299</v>
      </c>
      <c r="B568" s="1" t="str">
        <f ca="1">IFERROR(__xludf.DUMMYFUNCTION("""COMPUTED_VALUE"""),"India")</f>
        <v>India</v>
      </c>
      <c r="C568" s="1">
        <f ca="1">IFERROR(__xludf.DUMMYFUNCTION("""COMPUTED_VALUE"""),523301)</f>
        <v>523301</v>
      </c>
      <c r="D568" s="3" t="str">
        <f ca="1">IFERROR(__xludf.DUMMYFUNCTION("""COMPUTED_VALUE"""),"Female")</f>
        <v>Female</v>
      </c>
      <c r="E568" s="1" t="str">
        <f ca="1">IFERROR(__xludf.DUMMYFUNCTION("""COMPUTED_VALUE"""),"My Parents")</f>
        <v>My Parents</v>
      </c>
      <c r="F568" s="1" t="str">
        <f ca="1">IFERROR(__xludf.DUMMYFUNCTION("""COMPUTED_VALUE"""),"Yes, I will earn and do that")</f>
        <v>Yes, I will earn and do that</v>
      </c>
      <c r="G568" s="1" t="str">
        <f ca="1">IFERROR(__xludf.DUMMYFUNCTION("""COMPUTED_VALUE"""),"Will work for 3 years or more")</f>
        <v>Will work for 3 years or more</v>
      </c>
      <c r="H568" s="1" t="str">
        <f ca="1">IFERROR(__xludf.DUMMYFUNCTION("""COMPUTED_VALUE"""),"Yes")</f>
        <v>Yes</v>
      </c>
      <c r="I568" s="1" t="str">
        <f ca="1">IFERROR(__xludf.DUMMYFUNCTION("""COMPUTED_VALUE"""),"Will work for them")</f>
        <v>Will work for them</v>
      </c>
      <c r="J568" s="1">
        <f ca="1">IFERROR(__xludf.DUMMYFUNCTION("""COMPUTED_VALUE"""),6)</f>
        <v>6</v>
      </c>
      <c r="K568" s="1" t="str">
        <f ca="1">IFERROR(__xludf.DUMMYFUNCTION("""COMPUTED_VALUE"""),"Hybrid Working Environment with less than 3 days a month at office")</f>
        <v>Hybrid Working Environment with less than 3 days a month at office</v>
      </c>
      <c r="L568" s="1" t="str">
        <f ca="1">IFERROR(__xludf.DUMMYFUNCTION("""COMPUTED_VALUE"""),"Employer who pushes your limits by enabling an learning environment, and rewards you at the end")</f>
        <v>Employer who pushes your limits by enabling an learning environment, and rewards you at the end</v>
      </c>
      <c r="M568" s="1" t="str">
        <f ca="1">IFERROR(__xludf.DUMMYFUNCTION("""COMPUTED_VALUE"""),"Self Paced Learning Portals of the Company, Learning by observing others, Manager Teaching you")</f>
        <v>Self Paced Learning Portals of the Company, Learning by observing others, Manager Teaching you</v>
      </c>
      <c r="N56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568" s="1" t="str">
        <f ca="1">IFERROR(__xludf.DUMMYFUNCTION("""COMPUTED_VALUE"""),"Manager who clearly describes what she/he needs")</f>
        <v>Manager who clearly describes what she/he needs</v>
      </c>
      <c r="P568" s="1" t="str">
        <f ca="1">IFERROR(__xludf.DUMMYFUNCTION("""COMPUTED_VALUE"""),"Work alone, Work with 2 to 3 people in my team")</f>
        <v>Work alone, Work with 2 to 3 people in my team</v>
      </c>
      <c r="Q568" s="1"/>
    </row>
    <row r="569" spans="1:17" ht="13.2" x14ac:dyDescent="0.25">
      <c r="A569" s="2">
        <f ca="1">IFERROR(__xludf.DUMMYFUNCTION("""COMPUTED_VALUE"""),45021.7145800347)</f>
        <v>45021.714580034699</v>
      </c>
      <c r="B569" s="1" t="str">
        <f ca="1">IFERROR(__xludf.DUMMYFUNCTION("""COMPUTED_VALUE"""),"India")</f>
        <v>India</v>
      </c>
      <c r="C569" s="1">
        <f ca="1">IFERROR(__xludf.DUMMYFUNCTION("""COMPUTED_VALUE"""),500089)</f>
        <v>500089</v>
      </c>
      <c r="D569" s="3" t="str">
        <f ca="1">IFERROR(__xludf.DUMMYFUNCTION("""COMPUTED_VALUE"""),"Female")</f>
        <v>Female</v>
      </c>
      <c r="E569" s="1" t="str">
        <f ca="1">IFERROR(__xludf.DUMMYFUNCTION("""COMPUTED_VALUE"""),"My Parents")</f>
        <v>My Parents</v>
      </c>
      <c r="F569" s="1" t="str">
        <f ca="1">IFERROR(__xludf.DUMMYFUNCTION("""COMPUTED_VALUE"""),"Yes, I will earn and do that")</f>
        <v>Yes, I will earn and do that</v>
      </c>
      <c r="G569" s="1" t="str">
        <f ca="1">IFERROR(__xludf.DUMMYFUNCTION("""COMPUTED_VALUE"""),"This will be hard to do, but if it is the right company I would try")</f>
        <v>This will be hard to do, but if it is the right company I would try</v>
      </c>
      <c r="H569" s="1" t="str">
        <f ca="1">IFERROR(__xludf.DUMMYFUNCTION("""COMPUTED_VALUE"""),"Yes")</f>
        <v>Yes</v>
      </c>
      <c r="I569" s="1" t="str">
        <f ca="1">IFERROR(__xludf.DUMMYFUNCTION("""COMPUTED_VALUE"""),"Will work for them")</f>
        <v>Will work for them</v>
      </c>
      <c r="J569" s="1">
        <f ca="1">IFERROR(__xludf.DUMMYFUNCTION("""COMPUTED_VALUE"""),10)</f>
        <v>10</v>
      </c>
      <c r="K569" s="1" t="str">
        <f ca="1">IFERROR(__xludf.DUMMYFUNCTION("""COMPUTED_VALUE"""),"Hybrid Working Environment with less than 3 days a month at office")</f>
        <v>Hybrid Working Environment with less than 3 days a month at office</v>
      </c>
      <c r="L569" s="1" t="str">
        <f ca="1">IFERROR(__xludf.DUMMYFUNCTION("""COMPUTED_VALUE"""),"Employer who appreciates learning and enables that environment")</f>
        <v>Employer who appreciates learning and enables that environment</v>
      </c>
      <c r="M56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6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69" s="1" t="str">
        <f ca="1">IFERROR(__xludf.DUMMYFUNCTION("""COMPUTED_VALUE"""),"Manager who clearly describes what she/he needs")</f>
        <v>Manager who clearly describes what she/he needs</v>
      </c>
      <c r="P569" s="1" t="str">
        <f ca="1">IFERROR(__xludf.DUMMYFUNCTION("""COMPUTED_VALUE"""),"Work with 2 to 3 people in my team")</f>
        <v>Work with 2 to 3 people in my team</v>
      </c>
      <c r="Q569" s="1"/>
    </row>
    <row r="570" spans="1:17" ht="13.2" x14ac:dyDescent="0.25">
      <c r="A570" s="2">
        <f ca="1">IFERROR(__xludf.DUMMYFUNCTION("""COMPUTED_VALUE"""),45021.7151480439)</f>
        <v>45021.715148043899</v>
      </c>
      <c r="B570" s="1" t="str">
        <f ca="1">IFERROR(__xludf.DUMMYFUNCTION("""COMPUTED_VALUE"""),"India")</f>
        <v>India</v>
      </c>
      <c r="C570" s="1">
        <f ca="1">IFERROR(__xludf.DUMMYFUNCTION("""COMPUTED_VALUE"""),517583)</f>
        <v>517583</v>
      </c>
      <c r="D570" s="3" t="str">
        <f ca="1">IFERROR(__xludf.DUMMYFUNCTION("""COMPUTED_VALUE"""),"Male")</f>
        <v>Male</v>
      </c>
      <c r="E570" s="1" t="str">
        <f ca="1">IFERROR(__xludf.DUMMYFUNCTION("""COMPUTED_VALUE"""),"People who have changed the world for better")</f>
        <v>People who have changed the world for better</v>
      </c>
      <c r="F570" s="1" t="str">
        <f ca="1">IFERROR(__xludf.DUMMYFUNCTION("""COMPUTED_VALUE"""),"No, But if someone could bare the cost I will")</f>
        <v>No, But if someone could bare the cost I will</v>
      </c>
      <c r="G570" s="1" t="str">
        <f ca="1">IFERROR(__xludf.DUMMYFUNCTION("""COMPUTED_VALUE"""),"Will work for 3 years or more")</f>
        <v>Will work for 3 years or more</v>
      </c>
      <c r="H570" s="1" t="str">
        <f ca="1">IFERROR(__xludf.DUMMYFUNCTION("""COMPUTED_VALUE"""),"No")</f>
        <v>No</v>
      </c>
      <c r="I570" s="1" t="str">
        <f ca="1">IFERROR(__xludf.DUMMYFUNCTION("""COMPUTED_VALUE"""),"Will NOT work for them")</f>
        <v>Will NOT work for them</v>
      </c>
      <c r="J570" s="1">
        <f ca="1">IFERROR(__xludf.DUMMYFUNCTION("""COMPUTED_VALUE"""),2)</f>
        <v>2</v>
      </c>
      <c r="K570" s="1" t="str">
        <f ca="1">IFERROR(__xludf.DUMMYFUNCTION("""COMPUTED_VALUE"""),"Every Day Office Environment")</f>
        <v>Every Day Office Environment</v>
      </c>
      <c r="L570" s="1" t="str">
        <f ca="1">IFERROR(__xludf.DUMMYFUNCTION("""COMPUTED_VALUE"""),"Employer who pushes your limits by enabling an learning environment, and rewards you at the end")</f>
        <v>Employer who pushes your limits by enabling an learning environment, and rewards you at the end</v>
      </c>
      <c r="M57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70"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570" s="1" t="str">
        <f ca="1">IFERROR(__xludf.DUMMYFUNCTION("""COMPUTED_VALUE"""),"Manager who clearly describes what she/he needs")</f>
        <v>Manager who clearly describes what she/he needs</v>
      </c>
      <c r="P570" s="1" t="str">
        <f ca="1">IFERROR(__xludf.DUMMYFUNCTION("""COMPUTED_VALUE"""),"Work with 5 to 6 people in my team")</f>
        <v>Work with 5 to 6 people in my team</v>
      </c>
      <c r="Q570" s="1"/>
    </row>
    <row r="571" spans="1:17" ht="13.2" x14ac:dyDescent="0.25">
      <c r="A571" s="2">
        <f ca="1">IFERROR(__xludf.DUMMYFUNCTION("""COMPUTED_VALUE"""),45021.7153943634)</f>
        <v>45021.715394363397</v>
      </c>
      <c r="B571" s="1" t="str">
        <f ca="1">IFERROR(__xludf.DUMMYFUNCTION("""COMPUTED_VALUE"""),"India")</f>
        <v>India</v>
      </c>
      <c r="C571" s="1">
        <f ca="1">IFERROR(__xludf.DUMMYFUNCTION("""COMPUTED_VALUE"""),530024)</f>
        <v>530024</v>
      </c>
      <c r="D571" s="3" t="str">
        <f ca="1">IFERROR(__xludf.DUMMYFUNCTION("""COMPUTED_VALUE"""),"Male")</f>
        <v>Male</v>
      </c>
      <c r="E571" s="1" t="str">
        <f ca="1">IFERROR(__xludf.DUMMYFUNCTION("""COMPUTED_VALUE"""),"Influencers who had successful careers")</f>
        <v>Influencers who had successful careers</v>
      </c>
      <c r="F571" s="1" t="str">
        <f ca="1">IFERROR(__xludf.DUMMYFUNCTION("""COMPUTED_VALUE"""),"No I would not be pursuing Higher Education outside of India")</f>
        <v>No I would not be pursuing Higher Education outside of India</v>
      </c>
      <c r="G571" s="1" t="str">
        <f ca="1">IFERROR(__xludf.DUMMYFUNCTION("""COMPUTED_VALUE"""),"This will be hard to do, but if it is the right company I would try")</f>
        <v>This will be hard to do, but if it is the right company I would try</v>
      </c>
      <c r="H571" s="1" t="str">
        <f ca="1">IFERROR(__xludf.DUMMYFUNCTION("""COMPUTED_VALUE"""),"Yes")</f>
        <v>Yes</v>
      </c>
      <c r="I571" s="1" t="str">
        <f ca="1">IFERROR(__xludf.DUMMYFUNCTION("""COMPUTED_VALUE"""),"Will work for them")</f>
        <v>Will work for them</v>
      </c>
      <c r="J571" s="1">
        <f ca="1">IFERROR(__xludf.DUMMYFUNCTION("""COMPUTED_VALUE"""),8)</f>
        <v>8</v>
      </c>
      <c r="K571" s="1" t="str">
        <f ca="1">IFERROR(__xludf.DUMMYFUNCTION("""COMPUTED_VALUE"""),"Fully Remote with Options to travel as and when needed")</f>
        <v>Fully Remote with Options to travel as and when needed</v>
      </c>
      <c r="L571" s="1" t="str">
        <f ca="1">IFERROR(__xludf.DUMMYFUNCTION("""COMPUTED_VALUE"""),"Employer who appreciates learning and enables that environment")</f>
        <v>Employer who appreciates learning and enables that environment</v>
      </c>
      <c r="M571" s="1" t="str">
        <f ca="1">IFERROR(__xludf.DUMMYFUNCTION("""COMPUTED_VALUE"""),"Instructor or Expert Learning Programs, Learning by observing others, Manager Teaching you")</f>
        <v>Instructor or Expert Learning Programs, Learning by observing others, Manager Teaching you</v>
      </c>
      <c r="N571"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571" s="1" t="str">
        <f ca="1">IFERROR(__xludf.DUMMYFUNCTION("""COMPUTED_VALUE"""),"Manager who sets goal and helps me achieve it")</f>
        <v>Manager who sets goal and helps me achieve it</v>
      </c>
      <c r="P571" s="1" t="str">
        <f ca="1">IFERROR(__xludf.DUMMYFUNCTION("""COMPUTED_VALUE"""),"Work with 5 to 6 people in my team, Work with 7 to 10 or more people in my team")</f>
        <v>Work with 5 to 6 people in my team, Work with 7 to 10 or more people in my team</v>
      </c>
      <c r="Q571" s="1"/>
    </row>
    <row r="572" spans="1:17" ht="13.2" x14ac:dyDescent="0.25">
      <c r="A572" s="2">
        <f ca="1">IFERROR(__xludf.DUMMYFUNCTION("""COMPUTED_VALUE"""),45021.71648875)</f>
        <v>45021.716488749997</v>
      </c>
      <c r="B572" s="1" t="str">
        <f ca="1">IFERROR(__xludf.DUMMYFUNCTION("""COMPUTED_VALUE"""),"India")</f>
        <v>India</v>
      </c>
      <c r="C572" s="1">
        <f ca="1">IFERROR(__xludf.DUMMYFUNCTION("""COMPUTED_VALUE"""),641015)</f>
        <v>641015</v>
      </c>
      <c r="D572" s="3" t="str">
        <f ca="1">IFERROR(__xludf.DUMMYFUNCTION("""COMPUTED_VALUE"""),"Male")</f>
        <v>Male</v>
      </c>
      <c r="E572" s="1" t="str">
        <f ca="1">IFERROR(__xludf.DUMMYFUNCTION("""COMPUTED_VALUE"""),"Social Media like LinkedIn")</f>
        <v>Social Media like LinkedIn</v>
      </c>
      <c r="F572" s="1" t="str">
        <f ca="1">IFERROR(__xludf.DUMMYFUNCTION("""COMPUTED_VALUE"""),"Yes, I will earn and do that")</f>
        <v>Yes, I will earn and do that</v>
      </c>
      <c r="G572" s="1" t="str">
        <f ca="1">IFERROR(__xludf.DUMMYFUNCTION("""COMPUTED_VALUE"""),"This will be hard to do, but if it is the right company I would try")</f>
        <v>This will be hard to do, but if it is the right company I would try</v>
      </c>
      <c r="H572" s="1" t="str">
        <f ca="1">IFERROR(__xludf.DUMMYFUNCTION("""COMPUTED_VALUE"""),"No")</f>
        <v>No</v>
      </c>
      <c r="I572" s="1" t="str">
        <f ca="1">IFERROR(__xludf.DUMMYFUNCTION("""COMPUTED_VALUE"""),"Will NOT work for them")</f>
        <v>Will NOT work for them</v>
      </c>
      <c r="J572" s="1">
        <f ca="1">IFERROR(__xludf.DUMMYFUNCTION("""COMPUTED_VALUE"""),1)</f>
        <v>1</v>
      </c>
      <c r="K572" s="1" t="str">
        <f ca="1">IFERROR(__xludf.DUMMYFUNCTION("""COMPUTED_VALUE"""),"Hybrid Working Environment with less than 3 days a month at office")</f>
        <v>Hybrid Working Environment with less than 3 days a month at office</v>
      </c>
      <c r="L572" s="1" t="str">
        <f ca="1">IFERROR(__xludf.DUMMYFUNCTION("""COMPUTED_VALUE"""),"Employer who pushes your limits by enabling an learning environment, and rewards you at the end")</f>
        <v>Employer who pushes your limits by enabling an learning environment, and rewards you at the end</v>
      </c>
      <c r="M57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72"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72" s="1" t="str">
        <f ca="1">IFERROR(__xludf.DUMMYFUNCTION("""COMPUTED_VALUE"""),"Manager who explains what is expected, sets a goal and helps achieve it")</f>
        <v>Manager who explains what is expected, sets a goal and helps achieve it</v>
      </c>
      <c r="P572" s="1" t="str">
        <f ca="1">IFERROR(__xludf.DUMMYFUNCTION("""COMPUTED_VALUE"""),"Work alone, Work with 5 to 6 people in my team")</f>
        <v>Work alone, Work with 5 to 6 people in my team</v>
      </c>
      <c r="Q572" s="1"/>
    </row>
    <row r="573" spans="1:17" ht="13.2" x14ac:dyDescent="0.25">
      <c r="A573" s="2">
        <f ca="1">IFERROR(__xludf.DUMMYFUNCTION("""COMPUTED_VALUE"""),45021.7165048263)</f>
        <v>45021.716504826298</v>
      </c>
      <c r="B573" s="1" t="str">
        <f ca="1">IFERROR(__xludf.DUMMYFUNCTION("""COMPUTED_VALUE"""),"India")</f>
        <v>India</v>
      </c>
      <c r="C573" s="1">
        <f ca="1">IFERROR(__xludf.DUMMYFUNCTION("""COMPUTED_VALUE"""),603203)</f>
        <v>603203</v>
      </c>
      <c r="D573" s="3" t="str">
        <f ca="1">IFERROR(__xludf.DUMMYFUNCTION("""COMPUTED_VALUE"""),"Male")</f>
        <v>Male</v>
      </c>
      <c r="E573" s="1" t="str">
        <f ca="1">IFERROR(__xludf.DUMMYFUNCTION("""COMPUTED_VALUE"""),"Influencers who had successful careers")</f>
        <v>Influencers who had successful careers</v>
      </c>
      <c r="F573" s="1" t="str">
        <f ca="1">IFERROR(__xludf.DUMMYFUNCTION("""COMPUTED_VALUE"""),"Yes, I will earn and do that")</f>
        <v>Yes, I will earn and do that</v>
      </c>
      <c r="G573" s="1" t="str">
        <f ca="1">IFERROR(__xludf.DUMMYFUNCTION("""COMPUTED_VALUE"""),"Will work for 3 years or more")</f>
        <v>Will work for 3 years or more</v>
      </c>
      <c r="H573" s="1" t="str">
        <f ca="1">IFERROR(__xludf.DUMMYFUNCTION("""COMPUTED_VALUE"""),"Yes")</f>
        <v>Yes</v>
      </c>
      <c r="I573" s="1" t="str">
        <f ca="1">IFERROR(__xludf.DUMMYFUNCTION("""COMPUTED_VALUE"""),"Will NOT work for them")</f>
        <v>Will NOT work for them</v>
      </c>
      <c r="J573" s="1">
        <f ca="1">IFERROR(__xludf.DUMMYFUNCTION("""COMPUTED_VALUE"""),4)</f>
        <v>4</v>
      </c>
      <c r="K573" s="1" t="str">
        <f ca="1">IFERROR(__xludf.DUMMYFUNCTION("""COMPUTED_VALUE"""),"Hybrid Working Environment with less than 3 days a month at office")</f>
        <v>Hybrid Working Environment with less than 3 days a month at office</v>
      </c>
      <c r="L573" s="1" t="str">
        <f ca="1">IFERROR(__xludf.DUMMYFUNCTION("""COMPUTED_VALUE"""),"Employer who appreciates learning and enables that environment")</f>
        <v>Employer who appreciates learning and enables that environment</v>
      </c>
      <c r="M573" s="1" t="str">
        <f ca="1">IFERROR(__xludf.DUMMYFUNCTION("""COMPUTED_VALUE"""),"Self Paced Learning Portals of the Company, Instructor or Expert Learning Programs, Manager Teaching you")</f>
        <v>Self Paced Learning Portals of the Company, Instructor or Expert Learning Programs, Manager Teaching you</v>
      </c>
      <c r="N573"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573" s="1" t="str">
        <f ca="1">IFERROR(__xludf.DUMMYFUNCTION("""COMPUTED_VALUE"""),"Manager who sets goal and helps me achieve it")</f>
        <v>Manager who sets goal and helps me achieve it</v>
      </c>
      <c r="P573" s="1" t="str">
        <f ca="1">IFERROR(__xludf.DUMMYFUNCTION("""COMPUTED_VALUE"""),"Work with more than 10 people in my team")</f>
        <v>Work with more than 10 people in my team</v>
      </c>
      <c r="Q573" s="1"/>
    </row>
    <row r="574" spans="1:17" ht="13.2" x14ac:dyDescent="0.25">
      <c r="A574" s="2">
        <f ca="1">IFERROR(__xludf.DUMMYFUNCTION("""COMPUTED_VALUE"""),45021.7175000694)</f>
        <v>45021.717500069397</v>
      </c>
      <c r="B574" s="1" t="str">
        <f ca="1">IFERROR(__xludf.DUMMYFUNCTION("""COMPUTED_VALUE"""),"India")</f>
        <v>India</v>
      </c>
      <c r="C574" s="1">
        <f ca="1">IFERROR(__xludf.DUMMYFUNCTION("""COMPUTED_VALUE"""),630562)</f>
        <v>630562</v>
      </c>
      <c r="D574" s="3" t="str">
        <f ca="1">IFERROR(__xludf.DUMMYFUNCTION("""COMPUTED_VALUE"""),"Male")</f>
        <v>Male</v>
      </c>
      <c r="E574" s="1" t="str">
        <f ca="1">IFERROR(__xludf.DUMMYFUNCTION("""COMPUTED_VALUE"""),"Influencers who had successful careers")</f>
        <v>Influencers who had successful careers</v>
      </c>
      <c r="F574" s="1" t="str">
        <f ca="1">IFERROR(__xludf.DUMMYFUNCTION("""COMPUTED_VALUE"""),"Yes, I will earn and do that")</f>
        <v>Yes, I will earn and do that</v>
      </c>
      <c r="G574" s="1" t="str">
        <f ca="1">IFERROR(__xludf.DUMMYFUNCTION("""COMPUTED_VALUE"""),"This will be hard to do, but if it is the right company I would try")</f>
        <v>This will be hard to do, but if it is the right company I would try</v>
      </c>
      <c r="H574" s="1" t="str">
        <f ca="1">IFERROR(__xludf.DUMMYFUNCTION("""COMPUTED_VALUE"""),"No")</f>
        <v>No</v>
      </c>
      <c r="I574" s="1" t="str">
        <f ca="1">IFERROR(__xludf.DUMMYFUNCTION("""COMPUTED_VALUE"""),"Will NOT work for them")</f>
        <v>Will NOT work for them</v>
      </c>
      <c r="J574" s="1">
        <f ca="1">IFERROR(__xludf.DUMMYFUNCTION("""COMPUTED_VALUE"""),5)</f>
        <v>5</v>
      </c>
      <c r="K574" s="1" t="str">
        <f ca="1">IFERROR(__xludf.DUMMYFUNCTION("""COMPUTED_VALUE"""),"Every Day Office Environment")</f>
        <v>Every Day Office Environment</v>
      </c>
      <c r="L574" s="1" t="str">
        <f ca="1">IFERROR(__xludf.DUMMYFUNCTION("""COMPUTED_VALUE"""),"Employer who pushes your limits by enabling an learning environment, and rewards you at the end")</f>
        <v>Employer who pushes your limits by enabling an learning environment, and rewards you at the end</v>
      </c>
      <c r="M57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7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74" s="1" t="str">
        <f ca="1">IFERROR(__xludf.DUMMYFUNCTION("""COMPUTED_VALUE"""),"Manager who clearly describes what she/he needs")</f>
        <v>Manager who clearly describes what she/he needs</v>
      </c>
      <c r="P57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74" s="1"/>
    </row>
    <row r="575" spans="1:17" ht="13.2" x14ac:dyDescent="0.25">
      <c r="A575" s="2">
        <f ca="1">IFERROR(__xludf.DUMMYFUNCTION("""COMPUTED_VALUE"""),45021.7184726388)</f>
        <v>45021.7184726388</v>
      </c>
      <c r="B575" s="1" t="str">
        <f ca="1">IFERROR(__xludf.DUMMYFUNCTION("""COMPUTED_VALUE"""),"India")</f>
        <v>India</v>
      </c>
      <c r="C575" s="1">
        <f ca="1">IFERROR(__xludf.DUMMYFUNCTION("""COMPUTED_VALUE"""),577204)</f>
        <v>577204</v>
      </c>
      <c r="D575" s="3" t="str">
        <f ca="1">IFERROR(__xludf.DUMMYFUNCTION("""COMPUTED_VALUE"""),"Female")</f>
        <v>Female</v>
      </c>
      <c r="E575" s="1" t="str">
        <f ca="1">IFERROR(__xludf.DUMMYFUNCTION("""COMPUTED_VALUE"""),"People from my circle, but not family members")</f>
        <v>People from my circle, but not family members</v>
      </c>
      <c r="F575" s="1" t="str">
        <f ca="1">IFERROR(__xludf.DUMMYFUNCTION("""COMPUTED_VALUE"""),"Yes, I will earn and do that")</f>
        <v>Yes, I will earn and do that</v>
      </c>
      <c r="G575" s="1" t="str">
        <f ca="1">IFERROR(__xludf.DUMMYFUNCTION("""COMPUTED_VALUE"""),"This will be hard to do, but if it is the right company I would try")</f>
        <v>This will be hard to do, but if it is the right company I would try</v>
      </c>
      <c r="H575" s="1" t="str">
        <f ca="1">IFERROR(__xludf.DUMMYFUNCTION("""COMPUTED_VALUE"""),"No")</f>
        <v>No</v>
      </c>
      <c r="I575" s="1" t="str">
        <f ca="1">IFERROR(__xludf.DUMMYFUNCTION("""COMPUTED_VALUE"""),"Will NOT work for them")</f>
        <v>Will NOT work for them</v>
      </c>
      <c r="J575" s="1">
        <f ca="1">IFERROR(__xludf.DUMMYFUNCTION("""COMPUTED_VALUE"""),4)</f>
        <v>4</v>
      </c>
      <c r="K575" s="1" t="str">
        <f ca="1">IFERROR(__xludf.DUMMYFUNCTION("""COMPUTED_VALUE"""),"Fully Remote with Options to travel as and when needed")</f>
        <v>Fully Remote with Options to travel as and when needed</v>
      </c>
      <c r="L575" s="1" t="str">
        <f ca="1">IFERROR(__xludf.DUMMYFUNCTION("""COMPUTED_VALUE"""),"Employer who appreciates learning and enables that environment")</f>
        <v>Employer who appreciates learning and enables that environment</v>
      </c>
      <c r="M57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7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575" s="1" t="str">
        <f ca="1">IFERROR(__xludf.DUMMYFUNCTION("""COMPUTED_VALUE"""),"Manager who explains what is expected, sets a goal and helps achieve it")</f>
        <v>Manager who explains what is expected, sets a goal and helps achieve it</v>
      </c>
      <c r="P575" s="1" t="str">
        <f ca="1">IFERROR(__xludf.DUMMYFUNCTION("""COMPUTED_VALUE"""),"Work alone, Work with 2 to 3 people in my team")</f>
        <v>Work alone, Work with 2 to 3 people in my team</v>
      </c>
      <c r="Q575" s="1"/>
    </row>
    <row r="576" spans="1:17" ht="13.2" x14ac:dyDescent="0.25">
      <c r="A576" s="2">
        <f ca="1">IFERROR(__xludf.DUMMYFUNCTION("""COMPUTED_VALUE"""),45021.7204536226)</f>
        <v>45021.720453622598</v>
      </c>
      <c r="B576" s="1" t="str">
        <f ca="1">IFERROR(__xludf.DUMMYFUNCTION("""COMPUTED_VALUE"""),"India")</f>
        <v>India</v>
      </c>
      <c r="C576" s="1">
        <f ca="1">IFERROR(__xludf.DUMMYFUNCTION("""COMPUTED_VALUE"""),442902)</f>
        <v>442902</v>
      </c>
      <c r="D576" s="3" t="str">
        <f ca="1">IFERROR(__xludf.DUMMYFUNCTION("""COMPUTED_VALUE"""),"Male")</f>
        <v>Male</v>
      </c>
      <c r="E576" s="1" t="str">
        <f ca="1">IFERROR(__xludf.DUMMYFUNCTION("""COMPUTED_VALUE"""),"Influencers who had successful careers")</f>
        <v>Influencers who had successful careers</v>
      </c>
      <c r="F576" s="1" t="str">
        <f ca="1">IFERROR(__xludf.DUMMYFUNCTION("""COMPUTED_VALUE"""),"No I would not be pursuing Higher Education outside of India")</f>
        <v>No I would not be pursuing Higher Education outside of India</v>
      </c>
      <c r="G576" s="1" t="str">
        <f ca="1">IFERROR(__xludf.DUMMYFUNCTION("""COMPUTED_VALUE"""),"This will be hard to do, but if it is the right company I would try")</f>
        <v>This will be hard to do, but if it is the right company I would try</v>
      </c>
      <c r="H576" s="1" t="str">
        <f ca="1">IFERROR(__xludf.DUMMYFUNCTION("""COMPUTED_VALUE"""),"Yes")</f>
        <v>Yes</v>
      </c>
      <c r="I576" s="1" t="str">
        <f ca="1">IFERROR(__xludf.DUMMYFUNCTION("""COMPUTED_VALUE"""),"Will work for them")</f>
        <v>Will work for them</v>
      </c>
      <c r="J576" s="1">
        <f ca="1">IFERROR(__xludf.DUMMYFUNCTION("""COMPUTED_VALUE"""),8)</f>
        <v>8</v>
      </c>
      <c r="K576" s="1" t="str">
        <f ca="1">IFERROR(__xludf.DUMMYFUNCTION("""COMPUTED_VALUE"""),"Fully Remote with Options to travel as and when needed")</f>
        <v>Fully Remote with Options to travel as and when needed</v>
      </c>
      <c r="L576" s="1" t="str">
        <f ca="1">IFERROR(__xludf.DUMMYFUNCTION("""COMPUTED_VALUE"""),"Employer who pushes your limits by enabling an learning environment, and rewards you at the end")</f>
        <v>Employer who pushes your limits by enabling an learning environment, and rewards you at the end</v>
      </c>
      <c r="M576"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576" s="1" t="str">
        <f ca="1">IFERROR(__xludf.DUMMYFUNCTION("""COMPUTED_VALUE"""),"Teaching in any of the institutes/colleges/online or offline, Business Operations in any organization, Become a content Creator in some platform, I Want to sell things/Sales")</f>
        <v>Teaching in any of the institutes/colleges/online or offline, Business Operations in any organization, Become a content Creator in some platform, I Want to sell things/Sales</v>
      </c>
      <c r="O576" s="1" t="str">
        <f ca="1">IFERROR(__xludf.DUMMYFUNCTION("""COMPUTED_VALUE"""),"Manager who explains what is expected, sets a goal and helps achieve it")</f>
        <v>Manager who explains what is expected, sets a goal and helps achieve it</v>
      </c>
      <c r="P576" s="1" t="str">
        <f ca="1">IFERROR(__xludf.DUMMYFUNCTION("""COMPUTED_VALUE"""),"Work with 5 to 6 people in my team")</f>
        <v>Work with 5 to 6 people in my team</v>
      </c>
      <c r="Q576" s="1"/>
    </row>
    <row r="577" spans="1:17" ht="13.2" x14ac:dyDescent="0.25">
      <c r="A577" s="2">
        <f ca="1">IFERROR(__xludf.DUMMYFUNCTION("""COMPUTED_VALUE"""),45021.7208820138)</f>
        <v>45021.720882013797</v>
      </c>
      <c r="B577" s="1" t="str">
        <f ca="1">IFERROR(__xludf.DUMMYFUNCTION("""COMPUTED_VALUE"""),"India")</f>
        <v>India</v>
      </c>
      <c r="C577" s="1">
        <f ca="1">IFERROR(__xludf.DUMMYFUNCTION("""COMPUTED_VALUE"""),641005)</f>
        <v>641005</v>
      </c>
      <c r="D577" s="3" t="str">
        <f ca="1">IFERROR(__xludf.DUMMYFUNCTION("""COMPUTED_VALUE"""),"Transgender")</f>
        <v>Transgender</v>
      </c>
      <c r="E577" s="1" t="str">
        <f ca="1">IFERROR(__xludf.DUMMYFUNCTION("""COMPUTED_VALUE"""),"People who have changed the world for better")</f>
        <v>People who have changed the world for better</v>
      </c>
      <c r="F577" s="1" t="str">
        <f ca="1">IFERROR(__xludf.DUMMYFUNCTION("""COMPUTED_VALUE"""),"Yes, I will earn and do that")</f>
        <v>Yes, I will earn and do that</v>
      </c>
      <c r="G577" s="1" t="str">
        <f ca="1">IFERROR(__xludf.DUMMYFUNCTION("""COMPUTED_VALUE"""),"This will be hard to do, but if it is the right company I would try")</f>
        <v>This will be hard to do, but if it is the right company I would try</v>
      </c>
      <c r="H577" s="1" t="str">
        <f ca="1">IFERROR(__xludf.DUMMYFUNCTION("""COMPUTED_VALUE"""),"No")</f>
        <v>No</v>
      </c>
      <c r="I577" s="1" t="str">
        <f ca="1">IFERROR(__xludf.DUMMYFUNCTION("""COMPUTED_VALUE"""),"Will NOT work for them")</f>
        <v>Will NOT work for them</v>
      </c>
      <c r="J577" s="1">
        <f ca="1">IFERROR(__xludf.DUMMYFUNCTION("""COMPUTED_VALUE"""),1)</f>
        <v>1</v>
      </c>
      <c r="K577" s="1" t="str">
        <f ca="1">IFERROR(__xludf.DUMMYFUNCTION("""COMPUTED_VALUE"""),"Every Day Office Environment")</f>
        <v>Every Day Office Environment</v>
      </c>
      <c r="L577" s="1" t="str">
        <f ca="1">IFERROR(__xludf.DUMMYFUNCTION("""COMPUTED_VALUE"""),"Employer who pushes your limits by enabling an learning environment, and rewards you at the end")</f>
        <v>Employer who pushes your limits by enabling an learning environment, and rewards you at the end</v>
      </c>
      <c r="M577" s="1" t="str">
        <f ca="1">IFERROR(__xludf.DUMMYFUNCTION("""COMPUTED_VALUE"""),"Instructor or Expert Learning Programs, Learning by observing others, Manager Teaching you")</f>
        <v>Instructor or Expert Learning Programs, Learning by observing others, Manager Teaching you</v>
      </c>
      <c r="N577"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77" s="1" t="str">
        <f ca="1">IFERROR(__xludf.DUMMYFUNCTION("""COMPUTED_VALUE"""),"Manager who clearly describes what she/he needs")</f>
        <v>Manager who clearly describes what she/he needs</v>
      </c>
      <c r="P577" s="1" t="str">
        <f ca="1">IFERROR(__xludf.DUMMYFUNCTION("""COMPUTED_VALUE"""),"Work with 2 to 3 people in my team, Work with 5 to 6 people in my team")</f>
        <v>Work with 2 to 3 people in my team, Work with 5 to 6 people in my team</v>
      </c>
      <c r="Q577" s="1"/>
    </row>
    <row r="578" spans="1:17" ht="13.2" x14ac:dyDescent="0.25">
      <c r="A578" s="2">
        <f ca="1">IFERROR(__xludf.DUMMYFUNCTION("""COMPUTED_VALUE"""),45021.7213224074)</f>
        <v>45021.7213224074</v>
      </c>
      <c r="B578" s="1" t="str">
        <f ca="1">IFERROR(__xludf.DUMMYFUNCTION("""COMPUTED_VALUE"""),"India")</f>
        <v>India</v>
      </c>
      <c r="C578" s="1">
        <f ca="1">IFERROR(__xludf.DUMMYFUNCTION("""COMPUTED_VALUE"""),641062)</f>
        <v>641062</v>
      </c>
      <c r="D578" s="3" t="str">
        <f ca="1">IFERROR(__xludf.DUMMYFUNCTION("""COMPUTED_VALUE"""),"Male")</f>
        <v>Male</v>
      </c>
      <c r="E578" s="1" t="str">
        <f ca="1">IFERROR(__xludf.DUMMYFUNCTION("""COMPUTED_VALUE"""),"Social Media like LinkedIn")</f>
        <v>Social Media like LinkedIn</v>
      </c>
      <c r="F578" s="1" t="str">
        <f ca="1">IFERROR(__xludf.DUMMYFUNCTION("""COMPUTED_VALUE"""),"No, But if someone could bare the cost I will")</f>
        <v>No, But if someone could bare the cost I will</v>
      </c>
      <c r="G578" s="1" t="str">
        <f ca="1">IFERROR(__xludf.DUMMYFUNCTION("""COMPUTED_VALUE"""),"This will be hard to do, but if it is the right company I would try")</f>
        <v>This will be hard to do, but if it is the right company I would try</v>
      </c>
      <c r="H578" s="1" t="str">
        <f ca="1">IFERROR(__xludf.DUMMYFUNCTION("""COMPUTED_VALUE"""),"No")</f>
        <v>No</v>
      </c>
      <c r="I578" s="1" t="str">
        <f ca="1">IFERROR(__xludf.DUMMYFUNCTION("""COMPUTED_VALUE"""),"Will NOT work for them")</f>
        <v>Will NOT work for them</v>
      </c>
      <c r="J578" s="1">
        <f ca="1">IFERROR(__xludf.DUMMYFUNCTION("""COMPUTED_VALUE"""),1)</f>
        <v>1</v>
      </c>
      <c r="K578" s="1" t="str">
        <f ca="1">IFERROR(__xludf.DUMMYFUNCTION("""COMPUTED_VALUE"""),"Fully Remote with Options to travel as and when needed")</f>
        <v>Fully Remote with Options to travel as and when needed</v>
      </c>
      <c r="L578" s="1" t="str">
        <f ca="1">IFERROR(__xludf.DUMMYFUNCTION("""COMPUTED_VALUE"""),"Employer who pushes your limits by enabling an learning environment, and rewards you at the end")</f>
        <v>Employer who pushes your limits by enabling an learning environment, and rewards you at the end</v>
      </c>
      <c r="M57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78"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578" s="1" t="str">
        <f ca="1">IFERROR(__xludf.DUMMYFUNCTION("""COMPUTED_VALUE"""),"Manager who explains what is expected, sets a goal and helps achieve it")</f>
        <v>Manager who explains what is expected, sets a goal and helps achieve it</v>
      </c>
      <c r="P578" s="1" t="str">
        <f ca="1">IFERROR(__xludf.DUMMYFUNCTION("""COMPUTED_VALUE"""),"Work with 2 to 3 people in my team")</f>
        <v>Work with 2 to 3 people in my team</v>
      </c>
      <c r="Q578" s="1"/>
    </row>
    <row r="579" spans="1:17" ht="13.2" x14ac:dyDescent="0.25">
      <c r="A579" s="2">
        <f ca="1">IFERROR(__xludf.DUMMYFUNCTION("""COMPUTED_VALUE"""),45021.7261956018)</f>
        <v>45021.726195601797</v>
      </c>
      <c r="B579" s="1" t="str">
        <f ca="1">IFERROR(__xludf.DUMMYFUNCTION("""COMPUTED_VALUE"""),"India")</f>
        <v>India</v>
      </c>
      <c r="C579" s="1">
        <f ca="1">IFERROR(__xludf.DUMMYFUNCTION("""COMPUTED_VALUE"""),400097)</f>
        <v>400097</v>
      </c>
      <c r="D579" s="3" t="str">
        <f ca="1">IFERROR(__xludf.DUMMYFUNCTION("""COMPUTED_VALUE"""),"Male")</f>
        <v>Male</v>
      </c>
      <c r="E579" s="1" t="str">
        <f ca="1">IFERROR(__xludf.DUMMYFUNCTION("""COMPUTED_VALUE"""),"My Parents")</f>
        <v>My Parents</v>
      </c>
      <c r="F579" s="1" t="str">
        <f ca="1">IFERROR(__xludf.DUMMYFUNCTION("""COMPUTED_VALUE"""),"No, But if someone could bare the cost I will")</f>
        <v>No, But if someone could bare the cost I will</v>
      </c>
      <c r="G579" s="1" t="str">
        <f ca="1">IFERROR(__xludf.DUMMYFUNCTION("""COMPUTED_VALUE"""),"This will be hard to do, but if it is the right company I would try")</f>
        <v>This will be hard to do, but if it is the right company I would try</v>
      </c>
      <c r="H579" s="1" t="str">
        <f ca="1">IFERROR(__xludf.DUMMYFUNCTION("""COMPUTED_VALUE"""),"No")</f>
        <v>No</v>
      </c>
      <c r="I579" s="1" t="str">
        <f ca="1">IFERROR(__xludf.DUMMYFUNCTION("""COMPUTED_VALUE"""),"Will NOT work for them")</f>
        <v>Will NOT work for them</v>
      </c>
      <c r="J579" s="1">
        <f ca="1">IFERROR(__xludf.DUMMYFUNCTION("""COMPUTED_VALUE"""),3)</f>
        <v>3</v>
      </c>
      <c r="K579" s="1" t="str">
        <f ca="1">IFERROR(__xludf.DUMMYFUNCTION("""COMPUTED_VALUE"""),"Fully Remote with Options to travel as and when needed")</f>
        <v>Fully Remote with Options to travel as and when needed</v>
      </c>
      <c r="L579" s="1" t="str">
        <f ca="1">IFERROR(__xludf.DUMMYFUNCTION("""COMPUTED_VALUE"""),"Employer who appreciates learning and enables that environment")</f>
        <v>Employer who appreciates learning and enables that environment</v>
      </c>
      <c r="M57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7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579" s="1" t="str">
        <f ca="1">IFERROR(__xludf.DUMMYFUNCTION("""COMPUTED_VALUE"""),"Manager who clearly describes what she/he needs")</f>
        <v>Manager who clearly describes what she/he needs</v>
      </c>
      <c r="P579" s="1" t="str">
        <f ca="1">IFERROR(__xludf.DUMMYFUNCTION("""COMPUTED_VALUE"""),"Work with 7 to 10 or more people in my team")</f>
        <v>Work with 7 to 10 or more people in my team</v>
      </c>
      <c r="Q579" s="1"/>
    </row>
    <row r="580" spans="1:17" ht="13.2" x14ac:dyDescent="0.25">
      <c r="A580" s="2">
        <f ca="1">IFERROR(__xludf.DUMMYFUNCTION("""COMPUTED_VALUE"""),45021.726447199)</f>
        <v>45021.726447198998</v>
      </c>
      <c r="B580" s="1" t="str">
        <f ca="1">IFERROR(__xludf.DUMMYFUNCTION("""COMPUTED_VALUE"""),"India")</f>
        <v>India</v>
      </c>
      <c r="C580" s="1">
        <f ca="1">IFERROR(__xludf.DUMMYFUNCTION("""COMPUTED_VALUE"""),442902)</f>
        <v>442902</v>
      </c>
      <c r="D580" s="3" t="str">
        <f ca="1">IFERROR(__xludf.DUMMYFUNCTION("""COMPUTED_VALUE"""),"Female")</f>
        <v>Female</v>
      </c>
      <c r="E580" s="1" t="str">
        <f ca="1">IFERROR(__xludf.DUMMYFUNCTION("""COMPUTED_VALUE"""),"My Parents")</f>
        <v>My Parents</v>
      </c>
      <c r="F580" s="1" t="str">
        <f ca="1">IFERROR(__xludf.DUMMYFUNCTION("""COMPUTED_VALUE"""),"No, But if someone could bare the cost I will")</f>
        <v>No, But if someone could bare the cost I will</v>
      </c>
      <c r="G580" s="1" t="str">
        <f ca="1">IFERROR(__xludf.DUMMYFUNCTION("""COMPUTED_VALUE"""),"This will be hard to do, but if it is the right company I would try")</f>
        <v>This will be hard to do, but if it is the right company I would try</v>
      </c>
      <c r="H580" s="1" t="str">
        <f ca="1">IFERROR(__xludf.DUMMYFUNCTION("""COMPUTED_VALUE"""),"No")</f>
        <v>No</v>
      </c>
      <c r="I580" s="1" t="str">
        <f ca="1">IFERROR(__xludf.DUMMYFUNCTION("""COMPUTED_VALUE"""),"Will NOT work for them")</f>
        <v>Will NOT work for them</v>
      </c>
      <c r="J580" s="1">
        <f ca="1">IFERROR(__xludf.DUMMYFUNCTION("""COMPUTED_VALUE"""),1)</f>
        <v>1</v>
      </c>
      <c r="K580" s="1" t="str">
        <f ca="1">IFERROR(__xludf.DUMMYFUNCTION("""COMPUTED_VALUE"""),"Every Day Office Environment")</f>
        <v>Every Day Office Environment</v>
      </c>
      <c r="L580" s="1" t="str">
        <f ca="1">IFERROR(__xludf.DUMMYFUNCTION("""COMPUTED_VALUE"""),"Employer who appreciates learning and enables that environment")</f>
        <v>Employer who appreciates learning and enables that environment</v>
      </c>
      <c r="M580" s="1" t="str">
        <f ca="1">IFERROR(__xludf.DUMMYFUNCTION("""COMPUTED_VALUE"""),"Self Paced Learning Portals of the Company, Learning by observing others, Manager Teaching you")</f>
        <v>Self Paced Learning Portals of the Company, Learning by observing others, Manager Teaching you</v>
      </c>
      <c r="N580"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580" s="1" t="str">
        <f ca="1">IFERROR(__xludf.DUMMYFUNCTION("""COMPUTED_VALUE"""),"Manager who explains what is expected, sets a goal and helps achieve it")</f>
        <v>Manager who explains what is expected, sets a goal and helps achieve it</v>
      </c>
      <c r="P580" s="1" t="str">
        <f ca="1">IFERROR(__xludf.DUMMYFUNCTION("""COMPUTED_VALUE"""),"Work with 2 to 3 people in my team")</f>
        <v>Work with 2 to 3 people in my team</v>
      </c>
      <c r="Q580" s="1"/>
    </row>
    <row r="581" spans="1:17" ht="13.2" x14ac:dyDescent="0.25">
      <c r="A581" s="2">
        <f ca="1">IFERROR(__xludf.DUMMYFUNCTION("""COMPUTED_VALUE"""),45021.7270385763)</f>
        <v>45021.727038576297</v>
      </c>
      <c r="B581" s="1" t="str">
        <f ca="1">IFERROR(__xludf.DUMMYFUNCTION("""COMPUTED_VALUE"""),"India")</f>
        <v>India</v>
      </c>
      <c r="C581" s="1">
        <f ca="1">IFERROR(__xludf.DUMMYFUNCTION("""COMPUTED_VALUE"""),621218)</f>
        <v>621218</v>
      </c>
      <c r="D581" s="3" t="str">
        <f ca="1">IFERROR(__xludf.DUMMYFUNCTION("""COMPUTED_VALUE"""),"Female")</f>
        <v>Female</v>
      </c>
      <c r="E581" s="1" t="str">
        <f ca="1">IFERROR(__xludf.DUMMYFUNCTION("""COMPUTED_VALUE"""),"My Parents")</f>
        <v>My Parents</v>
      </c>
      <c r="F581" s="1" t="str">
        <f ca="1">IFERROR(__xludf.DUMMYFUNCTION("""COMPUTED_VALUE"""),"No, But if someone could bare the cost I will")</f>
        <v>No, But if someone could bare the cost I will</v>
      </c>
      <c r="G581" s="1" t="str">
        <f ca="1">IFERROR(__xludf.DUMMYFUNCTION("""COMPUTED_VALUE"""),"This will be hard to do, but if it is the right company I would try")</f>
        <v>This will be hard to do, but if it is the right company I would try</v>
      </c>
      <c r="H581" s="1" t="str">
        <f ca="1">IFERROR(__xludf.DUMMYFUNCTION("""COMPUTED_VALUE"""),"No")</f>
        <v>No</v>
      </c>
      <c r="I581" s="1" t="str">
        <f ca="1">IFERROR(__xludf.DUMMYFUNCTION("""COMPUTED_VALUE"""),"Will NOT work for them")</f>
        <v>Will NOT work for them</v>
      </c>
      <c r="J581" s="1">
        <f ca="1">IFERROR(__xludf.DUMMYFUNCTION("""COMPUTED_VALUE"""),2)</f>
        <v>2</v>
      </c>
      <c r="K581" s="1" t="str">
        <f ca="1">IFERROR(__xludf.DUMMYFUNCTION("""COMPUTED_VALUE"""),"Every Day Office Environment")</f>
        <v>Every Day Office Environment</v>
      </c>
      <c r="L581" s="1" t="str">
        <f ca="1">IFERROR(__xludf.DUMMYFUNCTION("""COMPUTED_VALUE"""),"Employer who appreciates learning and enables that environment")</f>
        <v>Employer who appreciates learning and enables that environment</v>
      </c>
      <c r="M581" s="1" t="str">
        <f ca="1">IFERROR(__xludf.DUMMYFUNCTION("""COMPUTED_VALUE"""),"Self Paced Learning Portals of the Company, Instructor or Expert Learning Programs, Manager Teaching you")</f>
        <v>Self Paced Learning Portals of the Company, Instructor or Expert Learning Programs, Manager Teaching you</v>
      </c>
      <c r="N581"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81" s="1" t="str">
        <f ca="1">IFERROR(__xludf.DUMMYFUNCTION("""COMPUTED_VALUE"""),"Manager who explains what is expected, sets a goal and helps achieve it")</f>
        <v>Manager who explains what is expected, sets a goal and helps achieve it</v>
      </c>
      <c r="P581" s="1" t="str">
        <f ca="1">IFERROR(__xludf.DUMMYFUNCTION("""COMPUTED_VALUE"""),"Work alone, Work with 2 to 3 people in my team")</f>
        <v>Work alone, Work with 2 to 3 people in my team</v>
      </c>
      <c r="Q581" s="1"/>
    </row>
    <row r="582" spans="1:17" ht="13.2" x14ac:dyDescent="0.25">
      <c r="A582" s="2">
        <f ca="1">IFERROR(__xludf.DUMMYFUNCTION("""COMPUTED_VALUE"""),45021.728146956)</f>
        <v>45021.728146955997</v>
      </c>
      <c r="B582" s="1" t="str">
        <f ca="1">IFERROR(__xludf.DUMMYFUNCTION("""COMPUTED_VALUE"""),"India")</f>
        <v>India</v>
      </c>
      <c r="C582" s="1">
        <f ca="1">IFERROR(__xludf.DUMMYFUNCTION("""COMPUTED_VALUE"""),560100)</f>
        <v>560100</v>
      </c>
      <c r="D582" s="3" t="str">
        <f ca="1">IFERROR(__xludf.DUMMYFUNCTION("""COMPUTED_VALUE"""),"Female")</f>
        <v>Female</v>
      </c>
      <c r="E582" s="1" t="str">
        <f ca="1">IFERROR(__xludf.DUMMYFUNCTION("""COMPUTED_VALUE"""),"People from my circle, but not family members")</f>
        <v>People from my circle, but not family members</v>
      </c>
      <c r="F582" s="1" t="str">
        <f ca="1">IFERROR(__xludf.DUMMYFUNCTION("""COMPUTED_VALUE"""),"No I would not be pursuing Higher Education outside of India")</f>
        <v>No I would not be pursuing Higher Education outside of India</v>
      </c>
      <c r="G582" s="1" t="str">
        <f ca="1">IFERROR(__xludf.DUMMYFUNCTION("""COMPUTED_VALUE"""),"This will be hard to do, but if it is the right company I would try")</f>
        <v>This will be hard to do, but if it is the right company I would try</v>
      </c>
      <c r="H582" s="1" t="str">
        <f ca="1">IFERROR(__xludf.DUMMYFUNCTION("""COMPUTED_VALUE"""),"No")</f>
        <v>No</v>
      </c>
      <c r="I582" s="1" t="str">
        <f ca="1">IFERROR(__xludf.DUMMYFUNCTION("""COMPUTED_VALUE"""),"Will NOT work for them")</f>
        <v>Will NOT work for them</v>
      </c>
      <c r="J582" s="1">
        <f ca="1">IFERROR(__xludf.DUMMYFUNCTION("""COMPUTED_VALUE"""),5)</f>
        <v>5</v>
      </c>
      <c r="K582" s="1" t="str">
        <f ca="1">IFERROR(__xludf.DUMMYFUNCTION("""COMPUTED_VALUE"""),"Hybrid Working Environment with more than 15 days a month at office")</f>
        <v>Hybrid Working Environment with more than 15 days a month at office</v>
      </c>
      <c r="L582" s="1" t="str">
        <f ca="1">IFERROR(__xludf.DUMMYFUNCTION("""COMPUTED_VALUE"""),"Employer who appreciates learning and enables that environment")</f>
        <v>Employer who appreciates learning and enables that environment</v>
      </c>
      <c r="M5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82"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582" s="1" t="str">
        <f ca="1">IFERROR(__xludf.DUMMYFUNCTION("""COMPUTED_VALUE"""),"Manager who explains what is expected, sets a goal and helps achieve it")</f>
        <v>Manager who explains what is expected, sets a goal and helps achieve it</v>
      </c>
      <c r="P582" s="1" t="str">
        <f ca="1">IFERROR(__xludf.DUMMYFUNCTION("""COMPUTED_VALUE"""),"Work with more than 10 people in my team")</f>
        <v>Work with more than 10 people in my team</v>
      </c>
      <c r="Q582" s="1"/>
    </row>
    <row r="583" spans="1:17" ht="13.2" x14ac:dyDescent="0.25">
      <c r="A583" s="2">
        <f ca="1">IFERROR(__xludf.DUMMYFUNCTION("""COMPUTED_VALUE"""),45021.7310782175)</f>
        <v>45021.731078217497</v>
      </c>
      <c r="B583" s="1" t="str">
        <f ca="1">IFERROR(__xludf.DUMMYFUNCTION("""COMPUTED_VALUE"""),"India")</f>
        <v>India</v>
      </c>
      <c r="C583" s="1">
        <f ca="1">IFERROR(__xludf.DUMMYFUNCTION("""COMPUTED_VALUE"""),364001)</f>
        <v>364001</v>
      </c>
      <c r="D583" s="3" t="str">
        <f ca="1">IFERROR(__xludf.DUMMYFUNCTION("""COMPUTED_VALUE"""),"Female")</f>
        <v>Female</v>
      </c>
      <c r="E583" s="1" t="str">
        <f ca="1">IFERROR(__xludf.DUMMYFUNCTION("""COMPUTED_VALUE"""),"People who have changed the world for better")</f>
        <v>People who have changed the world for better</v>
      </c>
      <c r="F583" s="1" t="str">
        <f ca="1">IFERROR(__xludf.DUMMYFUNCTION("""COMPUTED_VALUE"""),"Yes, I will earn and do that")</f>
        <v>Yes, I will earn and do that</v>
      </c>
      <c r="G583" s="1" t="str">
        <f ca="1">IFERROR(__xludf.DUMMYFUNCTION("""COMPUTED_VALUE"""),"This will be hard to do, but if it is the right company I would try")</f>
        <v>This will be hard to do, but if it is the right company I would try</v>
      </c>
      <c r="H583" s="1" t="str">
        <f ca="1">IFERROR(__xludf.DUMMYFUNCTION("""COMPUTED_VALUE"""),"No")</f>
        <v>No</v>
      </c>
      <c r="I583" s="1" t="str">
        <f ca="1">IFERROR(__xludf.DUMMYFUNCTION("""COMPUTED_VALUE"""),"Will NOT work for them")</f>
        <v>Will NOT work for them</v>
      </c>
      <c r="J583" s="1">
        <f ca="1">IFERROR(__xludf.DUMMYFUNCTION("""COMPUTED_VALUE"""),3)</f>
        <v>3</v>
      </c>
      <c r="K583" s="1" t="str">
        <f ca="1">IFERROR(__xludf.DUMMYFUNCTION("""COMPUTED_VALUE"""),"Every Day Office Environment")</f>
        <v>Every Day Office Environment</v>
      </c>
      <c r="L583" s="1" t="str">
        <f ca="1">IFERROR(__xludf.DUMMYFUNCTION("""COMPUTED_VALUE"""),"Employer who appreciates learning and enables that environment")</f>
        <v>Employer who appreciates learning and enables that environment</v>
      </c>
      <c r="M5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83"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583" s="1" t="str">
        <f ca="1">IFERROR(__xludf.DUMMYFUNCTION("""COMPUTED_VALUE"""),"Manager who explains what is expected, sets a goal and helps achieve it")</f>
        <v>Manager who explains what is expected, sets a goal and helps achieve it</v>
      </c>
      <c r="P583" s="1" t="str">
        <f ca="1">IFERROR(__xludf.DUMMYFUNCTION("""COMPUTED_VALUE"""),"Work with more than 10 people in my team")</f>
        <v>Work with more than 10 people in my team</v>
      </c>
      <c r="Q583" s="1"/>
    </row>
    <row r="584" spans="1:17" ht="13.2" x14ac:dyDescent="0.25">
      <c r="A584" s="2">
        <f ca="1">IFERROR(__xludf.DUMMYFUNCTION("""COMPUTED_VALUE"""),45021.7322719213)</f>
        <v>45021.732271921297</v>
      </c>
      <c r="B584" s="1" t="str">
        <f ca="1">IFERROR(__xludf.DUMMYFUNCTION("""COMPUTED_VALUE"""),"India")</f>
        <v>India</v>
      </c>
      <c r="C584" s="1">
        <f ca="1">IFERROR(__xludf.DUMMYFUNCTION("""COMPUTED_VALUE"""),442501)</f>
        <v>442501</v>
      </c>
      <c r="D584" s="3" t="str">
        <f ca="1">IFERROR(__xludf.DUMMYFUNCTION("""COMPUTED_VALUE"""),"Female")</f>
        <v>Female</v>
      </c>
      <c r="E584" s="1" t="str">
        <f ca="1">IFERROR(__xludf.DUMMYFUNCTION("""COMPUTED_VALUE"""),"People who have changed the world for better")</f>
        <v>People who have changed the world for better</v>
      </c>
      <c r="F584" s="1" t="str">
        <f ca="1">IFERROR(__xludf.DUMMYFUNCTION("""COMPUTED_VALUE"""),"Yes, I will earn and do that")</f>
        <v>Yes, I will earn and do that</v>
      </c>
      <c r="G584" s="1" t="str">
        <f ca="1">IFERROR(__xludf.DUMMYFUNCTION("""COMPUTED_VALUE"""),"This will be hard to do, but if it is the right company I would try")</f>
        <v>This will be hard to do, but if it is the right company I would try</v>
      </c>
      <c r="H584" s="1" t="str">
        <f ca="1">IFERROR(__xludf.DUMMYFUNCTION("""COMPUTED_VALUE"""),"Yes")</f>
        <v>Yes</v>
      </c>
      <c r="I584" s="1" t="str">
        <f ca="1">IFERROR(__xludf.DUMMYFUNCTION("""COMPUTED_VALUE"""),"Will work for them")</f>
        <v>Will work for them</v>
      </c>
      <c r="J584" s="1">
        <f ca="1">IFERROR(__xludf.DUMMYFUNCTION("""COMPUTED_VALUE"""),3)</f>
        <v>3</v>
      </c>
      <c r="K584" s="1" t="str">
        <f ca="1">IFERROR(__xludf.DUMMYFUNCTION("""COMPUTED_VALUE"""),"Every Day Office Environment")</f>
        <v>Every Day Office Environment</v>
      </c>
      <c r="L584" s="1" t="str">
        <f ca="1">IFERROR(__xludf.DUMMYFUNCTION("""COMPUTED_VALUE"""),"Employer who pushes your limits by enabling an learning environment, and rewards you at the end")</f>
        <v>Employer who pushes your limits by enabling an learning environment, and rewards you at the end</v>
      </c>
      <c r="M5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58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584" s="1" t="str">
        <f ca="1">IFERROR(__xludf.DUMMYFUNCTION("""COMPUTED_VALUE"""),"Manager who sets targets and expects me to achieve it")</f>
        <v>Manager who sets targets and expects me to achieve it</v>
      </c>
      <c r="P584" s="1" t="str">
        <f ca="1">IFERROR(__xludf.DUMMYFUNCTION("""COMPUTED_VALUE"""),"Work with 5 to 6 people in my team")</f>
        <v>Work with 5 to 6 people in my team</v>
      </c>
      <c r="Q584" s="1"/>
    </row>
    <row r="585" spans="1:17" ht="13.2" x14ac:dyDescent="0.25">
      <c r="A585" s="2">
        <f ca="1">IFERROR(__xludf.DUMMYFUNCTION("""COMPUTED_VALUE"""),45021.7329140277)</f>
        <v>45021.7329140277</v>
      </c>
      <c r="B585" s="1" t="str">
        <f ca="1">IFERROR(__xludf.DUMMYFUNCTION("""COMPUTED_VALUE"""),"India")</f>
        <v>India</v>
      </c>
      <c r="C585" s="1">
        <f ca="1">IFERROR(__xludf.DUMMYFUNCTION("""COMPUTED_VALUE"""),500083)</f>
        <v>500083</v>
      </c>
      <c r="D585" s="3" t="str">
        <f ca="1">IFERROR(__xludf.DUMMYFUNCTION("""COMPUTED_VALUE"""),"Male")</f>
        <v>Male</v>
      </c>
      <c r="E585" s="1" t="str">
        <f ca="1">IFERROR(__xludf.DUMMYFUNCTION("""COMPUTED_VALUE"""),"My Parents")</f>
        <v>My Parents</v>
      </c>
      <c r="F585" s="1" t="str">
        <f ca="1">IFERROR(__xludf.DUMMYFUNCTION("""COMPUTED_VALUE"""),"Yes, I will earn and do that")</f>
        <v>Yes, I will earn and do that</v>
      </c>
      <c r="G585" s="1" t="str">
        <f ca="1">IFERROR(__xludf.DUMMYFUNCTION("""COMPUTED_VALUE"""),"This will be hard to do, but if it is the right company I would try")</f>
        <v>This will be hard to do, but if it is the right company I would try</v>
      </c>
      <c r="H585" s="1" t="str">
        <f ca="1">IFERROR(__xludf.DUMMYFUNCTION("""COMPUTED_VALUE"""),"No")</f>
        <v>No</v>
      </c>
      <c r="I585" s="1" t="str">
        <f ca="1">IFERROR(__xludf.DUMMYFUNCTION("""COMPUTED_VALUE"""),"Will NOT work for them")</f>
        <v>Will NOT work for them</v>
      </c>
      <c r="J585" s="1">
        <f ca="1">IFERROR(__xludf.DUMMYFUNCTION("""COMPUTED_VALUE"""),5)</f>
        <v>5</v>
      </c>
      <c r="K585" s="1" t="str">
        <f ca="1">IFERROR(__xludf.DUMMYFUNCTION("""COMPUTED_VALUE"""),"Hybrid Working Environment with less than 3 days a month at office")</f>
        <v>Hybrid Working Environment with less than 3 days a month at office</v>
      </c>
      <c r="L585" s="1" t="str">
        <f ca="1">IFERROR(__xludf.DUMMYFUNCTION("""COMPUTED_VALUE"""),"Employer who pushes your limits by enabling an learning environment, and rewards you at the end")</f>
        <v>Employer who pushes your limits by enabling an learning environment, and rewards you at the end</v>
      </c>
      <c r="M58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8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585" s="1" t="str">
        <f ca="1">IFERROR(__xludf.DUMMYFUNCTION("""COMPUTED_VALUE"""),"Manager who explains what is expected, sets a goal and helps achieve it")</f>
        <v>Manager who explains what is expected, sets a goal and helps achieve it</v>
      </c>
      <c r="P585" s="1" t="str">
        <f ca="1">IFERROR(__xludf.DUMMYFUNCTION("""COMPUTED_VALUE"""),"Work alone")</f>
        <v>Work alone</v>
      </c>
      <c r="Q585" s="1"/>
    </row>
    <row r="586" spans="1:17" ht="13.2" x14ac:dyDescent="0.25">
      <c r="A586" s="2">
        <f ca="1">IFERROR(__xludf.DUMMYFUNCTION("""COMPUTED_VALUE"""),45021.7332319675)</f>
        <v>45021.733231967497</v>
      </c>
      <c r="B586" s="1" t="str">
        <f ca="1">IFERROR(__xludf.DUMMYFUNCTION("""COMPUTED_VALUE"""),"India")</f>
        <v>India</v>
      </c>
      <c r="C586" s="1">
        <f ca="1">IFERROR(__xludf.DUMMYFUNCTION("""COMPUTED_VALUE"""),670301)</f>
        <v>670301</v>
      </c>
      <c r="D586" s="3" t="str">
        <f ca="1">IFERROR(__xludf.DUMMYFUNCTION("""COMPUTED_VALUE"""),"Male")</f>
        <v>Male</v>
      </c>
      <c r="E586" s="1" t="str">
        <f ca="1">IFERROR(__xludf.DUMMYFUNCTION("""COMPUTED_VALUE"""),"My Parents")</f>
        <v>My Parents</v>
      </c>
      <c r="F586" s="1" t="str">
        <f ca="1">IFERROR(__xludf.DUMMYFUNCTION("""COMPUTED_VALUE"""),"Yes, I will earn and do that")</f>
        <v>Yes, I will earn and do that</v>
      </c>
      <c r="G586" s="1" t="str">
        <f ca="1">IFERROR(__xludf.DUMMYFUNCTION("""COMPUTED_VALUE"""),"This will be hard to do, but if it is the right company I would try")</f>
        <v>This will be hard to do, but if it is the right company I would try</v>
      </c>
      <c r="H586" s="1" t="str">
        <f ca="1">IFERROR(__xludf.DUMMYFUNCTION("""COMPUTED_VALUE"""),"No")</f>
        <v>No</v>
      </c>
      <c r="I586" s="1" t="str">
        <f ca="1">IFERROR(__xludf.DUMMYFUNCTION("""COMPUTED_VALUE"""),"Will NOT work for them")</f>
        <v>Will NOT work for them</v>
      </c>
      <c r="J586" s="1">
        <f ca="1">IFERROR(__xludf.DUMMYFUNCTION("""COMPUTED_VALUE"""),5)</f>
        <v>5</v>
      </c>
      <c r="K586" s="1" t="str">
        <f ca="1">IFERROR(__xludf.DUMMYFUNCTION("""COMPUTED_VALUE"""),"Every Day Office Environment")</f>
        <v>Every Day Office Environment</v>
      </c>
      <c r="L586" s="1" t="str">
        <f ca="1">IFERROR(__xludf.DUMMYFUNCTION("""COMPUTED_VALUE"""),"Employer who appreciates learning and enables that environment")</f>
        <v>Employer who appreciates learning and enables that environment</v>
      </c>
      <c r="M586" s="1" t="str">
        <f ca="1">IFERROR(__xludf.DUMMYFUNCTION("""COMPUTED_VALUE"""),"Self Paced Learning Portals of the Company, Learning by observing others, Manager Teaching you")</f>
        <v>Self Paced Learning Portals of the Company, Learning by observing others, Manager Teaching you</v>
      </c>
      <c r="N586"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586" s="1" t="str">
        <f ca="1">IFERROR(__xludf.DUMMYFUNCTION("""COMPUTED_VALUE"""),"Manager who explains what is expected, sets a goal and helps achieve it")</f>
        <v>Manager who explains what is expected, sets a goal and helps achieve it</v>
      </c>
      <c r="P586" s="1" t="str">
        <f ca="1">IFERROR(__xludf.DUMMYFUNCTION("""COMPUTED_VALUE"""),"Work alone")</f>
        <v>Work alone</v>
      </c>
      <c r="Q586" s="1"/>
    </row>
    <row r="587" spans="1:17" ht="13.2" x14ac:dyDescent="0.25">
      <c r="A587" s="2">
        <f ca="1">IFERROR(__xludf.DUMMYFUNCTION("""COMPUTED_VALUE"""),45021.7356464004)</f>
        <v>45021.735646400397</v>
      </c>
      <c r="B587" s="1" t="str">
        <f ca="1">IFERROR(__xludf.DUMMYFUNCTION("""COMPUTED_VALUE"""),"India")</f>
        <v>India</v>
      </c>
      <c r="C587" s="1">
        <f ca="1">IFERROR(__xludf.DUMMYFUNCTION("""COMPUTED_VALUE"""),400607)</f>
        <v>400607</v>
      </c>
      <c r="D587" s="3" t="str">
        <f ca="1">IFERROR(__xludf.DUMMYFUNCTION("""COMPUTED_VALUE"""),"Male")</f>
        <v>Male</v>
      </c>
      <c r="E587" s="1" t="str">
        <f ca="1">IFERROR(__xludf.DUMMYFUNCTION("""COMPUTED_VALUE"""),"People who have changed the world for better")</f>
        <v>People who have changed the world for better</v>
      </c>
      <c r="F587" s="1" t="str">
        <f ca="1">IFERROR(__xludf.DUMMYFUNCTION("""COMPUTED_VALUE"""),"No I would not be pursuing Higher Education outside of India")</f>
        <v>No I would not be pursuing Higher Education outside of India</v>
      </c>
      <c r="G587" s="1" t="str">
        <f ca="1">IFERROR(__xludf.DUMMYFUNCTION("""COMPUTED_VALUE"""),"This will be hard to do, but if it is the right company I would try")</f>
        <v>This will be hard to do, but if it is the right company I would try</v>
      </c>
      <c r="H587" s="1" t="str">
        <f ca="1">IFERROR(__xludf.DUMMYFUNCTION("""COMPUTED_VALUE"""),"No")</f>
        <v>No</v>
      </c>
      <c r="I587" s="1" t="str">
        <f ca="1">IFERROR(__xludf.DUMMYFUNCTION("""COMPUTED_VALUE"""),"Will NOT work for them")</f>
        <v>Will NOT work for them</v>
      </c>
      <c r="J587" s="1">
        <f ca="1">IFERROR(__xludf.DUMMYFUNCTION("""COMPUTED_VALUE"""),5)</f>
        <v>5</v>
      </c>
      <c r="K587" s="1" t="str">
        <f ca="1">IFERROR(__xludf.DUMMYFUNCTION("""COMPUTED_VALUE"""),"Hybrid Working Environment with more than 15 days a month at office")</f>
        <v>Hybrid Working Environment with more than 15 days a month at office</v>
      </c>
      <c r="L587" s="1" t="str">
        <f ca="1">IFERROR(__xludf.DUMMYFUNCTION("""COMPUTED_VALUE"""),"Employer who appreciates learning and enables that environment")</f>
        <v>Employer who appreciates learning and enables that environment</v>
      </c>
      <c r="M5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8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87" s="1" t="str">
        <f ca="1">IFERROR(__xludf.DUMMYFUNCTION("""COMPUTED_VALUE"""),"Manager who explains what is expected, sets a goal and helps achieve it")</f>
        <v>Manager who explains what is expected, sets a goal and helps achieve it</v>
      </c>
      <c r="P587" s="1" t="str">
        <f ca="1">IFERROR(__xludf.DUMMYFUNCTION("""COMPUTED_VALUE"""),"Work with 2 to 3 people in my team")</f>
        <v>Work with 2 to 3 people in my team</v>
      </c>
      <c r="Q587" s="1"/>
    </row>
    <row r="588" spans="1:17" ht="13.2" x14ac:dyDescent="0.25">
      <c r="A588" s="2">
        <f ca="1">IFERROR(__xludf.DUMMYFUNCTION("""COMPUTED_VALUE"""),45021.7361705671)</f>
        <v>45021.736170567099</v>
      </c>
      <c r="B588" s="1" t="str">
        <f ca="1">IFERROR(__xludf.DUMMYFUNCTION("""COMPUTED_VALUE"""),"India")</f>
        <v>India</v>
      </c>
      <c r="C588" s="1">
        <f ca="1">IFERROR(__xludf.DUMMYFUNCTION("""COMPUTED_VALUE"""),632515)</f>
        <v>632515</v>
      </c>
      <c r="D588" s="3" t="str">
        <f ca="1">IFERROR(__xludf.DUMMYFUNCTION("""COMPUTED_VALUE"""),"Male")</f>
        <v>Male</v>
      </c>
      <c r="E588" s="1" t="str">
        <f ca="1">IFERROR(__xludf.DUMMYFUNCTION("""COMPUTED_VALUE"""),"Social Media like LinkedIn")</f>
        <v>Social Media like LinkedIn</v>
      </c>
      <c r="F588" s="1" t="str">
        <f ca="1">IFERROR(__xludf.DUMMYFUNCTION("""COMPUTED_VALUE"""),"No I would not be pursuing Higher Education outside of India")</f>
        <v>No I would not be pursuing Higher Education outside of India</v>
      </c>
      <c r="G588" s="1" t="str">
        <f ca="1">IFERROR(__xludf.DUMMYFUNCTION("""COMPUTED_VALUE"""),"This will be hard to do, but if it is the right company I would try")</f>
        <v>This will be hard to do, but if it is the right company I would try</v>
      </c>
      <c r="H588" s="1" t="str">
        <f ca="1">IFERROR(__xludf.DUMMYFUNCTION("""COMPUTED_VALUE"""),"No")</f>
        <v>No</v>
      </c>
      <c r="I588" s="1" t="str">
        <f ca="1">IFERROR(__xludf.DUMMYFUNCTION("""COMPUTED_VALUE"""),"Will NOT work for them")</f>
        <v>Will NOT work for them</v>
      </c>
      <c r="J588" s="1">
        <f ca="1">IFERROR(__xludf.DUMMYFUNCTION("""COMPUTED_VALUE"""),5)</f>
        <v>5</v>
      </c>
      <c r="K588" s="1" t="str">
        <f ca="1">IFERROR(__xludf.DUMMYFUNCTION("""COMPUTED_VALUE"""),"Fully Remote with Options to travel as and when needed")</f>
        <v>Fully Remote with Options to travel as and when needed</v>
      </c>
      <c r="L588" s="1" t="str">
        <f ca="1">IFERROR(__xludf.DUMMYFUNCTION("""COMPUTED_VALUE"""),"Employer who rewards learning and enables that environment")</f>
        <v>Employer who rewards learning and enables that environment</v>
      </c>
      <c r="M58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88"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588" s="1" t="str">
        <f ca="1">IFERROR(__xludf.DUMMYFUNCTION("""COMPUTED_VALUE"""),"Manager who explains what is expected, sets a goal and helps achieve it")</f>
        <v>Manager who explains what is expected, sets a goal and helps achieve it</v>
      </c>
      <c r="P58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88" s="1"/>
    </row>
    <row r="589" spans="1:17" ht="13.2" x14ac:dyDescent="0.25">
      <c r="A589" s="2">
        <f ca="1">IFERROR(__xludf.DUMMYFUNCTION("""COMPUTED_VALUE"""),45021.7368515625)</f>
        <v>45021.736851562498</v>
      </c>
      <c r="B589" s="1" t="str">
        <f ca="1">IFERROR(__xludf.DUMMYFUNCTION("""COMPUTED_VALUE"""),"India")</f>
        <v>India</v>
      </c>
      <c r="C589" s="1">
        <f ca="1">IFERROR(__xludf.DUMMYFUNCTION("""COMPUTED_VALUE"""),516329)</f>
        <v>516329</v>
      </c>
      <c r="D589" s="3" t="str">
        <f ca="1">IFERROR(__xludf.DUMMYFUNCTION("""COMPUTED_VALUE"""),"Female")</f>
        <v>Female</v>
      </c>
      <c r="E589" s="1" t="str">
        <f ca="1">IFERROR(__xludf.DUMMYFUNCTION("""COMPUTED_VALUE"""),"My Parents")</f>
        <v>My Parents</v>
      </c>
      <c r="F589" s="1" t="str">
        <f ca="1">IFERROR(__xludf.DUMMYFUNCTION("""COMPUTED_VALUE"""),"No, But if someone could bare the cost I will")</f>
        <v>No, But if someone could bare the cost I will</v>
      </c>
      <c r="G589" s="1" t="str">
        <f ca="1">IFERROR(__xludf.DUMMYFUNCTION("""COMPUTED_VALUE"""),"Will work for 3 years or more")</f>
        <v>Will work for 3 years or more</v>
      </c>
      <c r="H589" s="1" t="str">
        <f ca="1">IFERROR(__xludf.DUMMYFUNCTION("""COMPUTED_VALUE"""),"No")</f>
        <v>No</v>
      </c>
      <c r="I589" s="1" t="str">
        <f ca="1">IFERROR(__xludf.DUMMYFUNCTION("""COMPUTED_VALUE"""),"Will work for them")</f>
        <v>Will work for them</v>
      </c>
      <c r="J589" s="1">
        <f ca="1">IFERROR(__xludf.DUMMYFUNCTION("""COMPUTED_VALUE"""),7)</f>
        <v>7</v>
      </c>
      <c r="K589" s="1" t="str">
        <f ca="1">IFERROR(__xludf.DUMMYFUNCTION("""COMPUTED_VALUE"""),"Fully Remote with Options to travel as and when needed")</f>
        <v>Fully Remote with Options to travel as and when needed</v>
      </c>
      <c r="L589" s="1" t="str">
        <f ca="1">IFERROR(__xludf.DUMMYFUNCTION("""COMPUTED_VALUE"""),"Employer who pushes your limits by enabling an learning environment, and rewards you at the end")</f>
        <v>Employer who pushes your limits by enabling an learning environment, and rewards you at the end</v>
      </c>
      <c r="M58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89" s="1" t="str">
        <f ca="1">IFERROR(__xludf.DUMMYFUNCTION("""COMPUTED_VALUE"""),"Business Operations in any organization, Work in a BPO setup for some well known client, An Artificial Intelligence Specialist / Talking to Robots, Manufacturing / Oil and Gas/ Construction / Hard Physical Work related")</f>
        <v>Business Operations in any organization, Work in a BPO setup for some well known client, An Artificial Intelligence Specialist / Talking to Robots, Manufacturing / Oil and Gas/ Construction / Hard Physical Work related</v>
      </c>
      <c r="O589" s="1" t="str">
        <f ca="1">IFERROR(__xludf.DUMMYFUNCTION("""COMPUTED_VALUE"""),"Manager who explains what is expected, sets a goal and helps achieve it")</f>
        <v>Manager who explains what is expected, sets a goal and helps achieve it</v>
      </c>
      <c r="P589" s="1" t="str">
        <f ca="1">IFERROR(__xludf.DUMMYFUNCTION("""COMPUTED_VALUE"""),"Work with 2 to 3 people in my team, Work with 5 to 6 people in my team")</f>
        <v>Work with 2 to 3 people in my team, Work with 5 to 6 people in my team</v>
      </c>
      <c r="Q589" s="1"/>
    </row>
    <row r="590" spans="1:17" ht="13.2" x14ac:dyDescent="0.25">
      <c r="A590" s="2">
        <f ca="1">IFERROR(__xludf.DUMMYFUNCTION("""COMPUTED_VALUE"""),45021.7383626967)</f>
        <v>45021.738362696698</v>
      </c>
      <c r="B590" s="1" t="str">
        <f ca="1">IFERROR(__xludf.DUMMYFUNCTION("""COMPUTED_VALUE"""),"India")</f>
        <v>India</v>
      </c>
      <c r="C590" s="1">
        <f ca="1">IFERROR(__xludf.DUMMYFUNCTION("""COMPUTED_VALUE"""),620001)</f>
        <v>620001</v>
      </c>
      <c r="D590" s="3" t="str">
        <f ca="1">IFERROR(__xludf.DUMMYFUNCTION("""COMPUTED_VALUE"""),"Female")</f>
        <v>Female</v>
      </c>
      <c r="E590" s="1" t="str">
        <f ca="1">IFERROR(__xludf.DUMMYFUNCTION("""COMPUTED_VALUE"""),"People from my circle, but not family members")</f>
        <v>People from my circle, but not family members</v>
      </c>
      <c r="F590" s="1" t="str">
        <f ca="1">IFERROR(__xludf.DUMMYFUNCTION("""COMPUTED_VALUE"""),"No, But if someone could bare the cost I will")</f>
        <v>No, But if someone could bare the cost I will</v>
      </c>
      <c r="G590" s="1" t="str">
        <f ca="1">IFERROR(__xludf.DUMMYFUNCTION("""COMPUTED_VALUE"""),"Will work for 3 years or more")</f>
        <v>Will work for 3 years or more</v>
      </c>
      <c r="H590" s="1" t="str">
        <f ca="1">IFERROR(__xludf.DUMMYFUNCTION("""COMPUTED_VALUE"""),"No")</f>
        <v>No</v>
      </c>
      <c r="I590" s="1" t="str">
        <f ca="1">IFERROR(__xludf.DUMMYFUNCTION("""COMPUTED_VALUE"""),"Will NOT work for them")</f>
        <v>Will NOT work for them</v>
      </c>
      <c r="J590" s="1">
        <f ca="1">IFERROR(__xludf.DUMMYFUNCTION("""COMPUTED_VALUE"""),6)</f>
        <v>6</v>
      </c>
      <c r="K590" s="1" t="str">
        <f ca="1">IFERROR(__xludf.DUMMYFUNCTION("""COMPUTED_VALUE"""),"Fully Remote with Options to travel as and when needed")</f>
        <v>Fully Remote with Options to travel as and when needed</v>
      </c>
      <c r="L590" s="1" t="str">
        <f ca="1">IFERROR(__xludf.DUMMYFUNCTION("""COMPUTED_VALUE"""),"Employer who pushes your limits by enabling an learning environment, and rewards you at the end")</f>
        <v>Employer who pushes your limits by enabling an learning environment, and rewards you at the end</v>
      </c>
      <c r="M59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590"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590" s="1" t="str">
        <f ca="1">IFERROR(__xludf.DUMMYFUNCTION("""COMPUTED_VALUE"""),"Manager who explains what is expected, sets a goal and helps achieve it")</f>
        <v>Manager who explains what is expected, sets a goal and helps achieve it</v>
      </c>
      <c r="P590" s="1" t="str">
        <f ca="1">IFERROR(__xludf.DUMMYFUNCTION("""COMPUTED_VALUE"""),"Work with 5 to 6 people in my team")</f>
        <v>Work with 5 to 6 people in my team</v>
      </c>
      <c r="Q590" s="1"/>
    </row>
    <row r="591" spans="1:17" ht="13.2" x14ac:dyDescent="0.25">
      <c r="A591" s="2">
        <f ca="1">IFERROR(__xludf.DUMMYFUNCTION("""COMPUTED_VALUE"""),45021.7388023495)</f>
        <v>45021.7388023495</v>
      </c>
      <c r="B591" s="1" t="str">
        <f ca="1">IFERROR(__xludf.DUMMYFUNCTION("""COMPUTED_VALUE"""),"India")</f>
        <v>India</v>
      </c>
      <c r="C591" s="1">
        <f ca="1">IFERROR(__xludf.DUMMYFUNCTION("""COMPUTED_VALUE"""),600116)</f>
        <v>600116</v>
      </c>
      <c r="D591" s="3" t="str">
        <f ca="1">IFERROR(__xludf.DUMMYFUNCTION("""COMPUTED_VALUE"""),"Male")</f>
        <v>Male</v>
      </c>
      <c r="E591" s="1" t="str">
        <f ca="1">IFERROR(__xludf.DUMMYFUNCTION("""COMPUTED_VALUE"""),"People from my circle, but not family members")</f>
        <v>People from my circle, but not family members</v>
      </c>
      <c r="F591" s="1" t="str">
        <f ca="1">IFERROR(__xludf.DUMMYFUNCTION("""COMPUTED_VALUE"""),"No I would not be pursuing Higher Education outside of India")</f>
        <v>No I would not be pursuing Higher Education outside of India</v>
      </c>
      <c r="G591" s="1" t="str">
        <f ca="1">IFERROR(__xludf.DUMMYFUNCTION("""COMPUTED_VALUE"""),"Will work for 3 years or more")</f>
        <v>Will work for 3 years or more</v>
      </c>
      <c r="H591" s="1" t="str">
        <f ca="1">IFERROR(__xludf.DUMMYFUNCTION("""COMPUTED_VALUE"""),"No")</f>
        <v>No</v>
      </c>
      <c r="I591" s="1" t="str">
        <f ca="1">IFERROR(__xludf.DUMMYFUNCTION("""COMPUTED_VALUE"""),"Will work for them")</f>
        <v>Will work for them</v>
      </c>
      <c r="J591" s="1">
        <f ca="1">IFERROR(__xludf.DUMMYFUNCTION("""COMPUTED_VALUE"""),4)</f>
        <v>4</v>
      </c>
      <c r="K591" s="1" t="str">
        <f ca="1">IFERROR(__xludf.DUMMYFUNCTION("""COMPUTED_VALUE"""),"Hybrid Working Environment with more than 15 days a month at office")</f>
        <v>Hybrid Working Environment with more than 15 days a month at office</v>
      </c>
      <c r="L591" s="1" t="str">
        <f ca="1">IFERROR(__xludf.DUMMYFUNCTION("""COMPUTED_VALUE"""),"Employer who appreciates learning and enables that environment")</f>
        <v>Employer who appreciates learning and enables that environment</v>
      </c>
      <c r="M591" s="1" t="str">
        <f ca="1">IFERROR(__xludf.DUMMYFUNCTION("""COMPUTED_VALUE"""),"Learning by observing others, Self Purchased Course from External Platforms, Manager Teaching you")</f>
        <v>Learning by observing others, Self Purchased Course from External Platforms, Manager Teaching you</v>
      </c>
      <c r="N59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591" s="1" t="str">
        <f ca="1">IFERROR(__xludf.DUMMYFUNCTION("""COMPUTED_VALUE"""),"Manager who explains what is expected, sets a goal and helps achieve it")</f>
        <v>Manager who explains what is expected, sets a goal and helps achieve it</v>
      </c>
      <c r="P591" s="1" t="str">
        <f ca="1">IFERROR(__xludf.DUMMYFUNCTION("""COMPUTED_VALUE"""),"Work with more than 10 people in my team")</f>
        <v>Work with more than 10 people in my team</v>
      </c>
      <c r="Q591" s="1"/>
    </row>
    <row r="592" spans="1:17" ht="13.2" x14ac:dyDescent="0.25">
      <c r="A592" s="2">
        <f ca="1">IFERROR(__xludf.DUMMYFUNCTION("""COMPUTED_VALUE"""),45021.7391414699)</f>
        <v>45021.739141469901</v>
      </c>
      <c r="B592" s="1" t="str">
        <f ca="1">IFERROR(__xludf.DUMMYFUNCTION("""COMPUTED_VALUE"""),"India")</f>
        <v>India</v>
      </c>
      <c r="C592" s="1">
        <f ca="1">IFERROR(__xludf.DUMMYFUNCTION("""COMPUTED_VALUE"""),560016)</f>
        <v>560016</v>
      </c>
      <c r="D592" s="3" t="str">
        <f ca="1">IFERROR(__xludf.DUMMYFUNCTION("""COMPUTED_VALUE"""),"Male")</f>
        <v>Male</v>
      </c>
      <c r="E592" s="1" t="str">
        <f ca="1">IFERROR(__xludf.DUMMYFUNCTION("""COMPUTED_VALUE"""),"People from my circle, but not family members")</f>
        <v>People from my circle, but not family members</v>
      </c>
      <c r="F592" s="1" t="str">
        <f ca="1">IFERROR(__xludf.DUMMYFUNCTION("""COMPUTED_VALUE"""),"Yes, I will earn and do that")</f>
        <v>Yes, I will earn and do that</v>
      </c>
      <c r="G592" s="1" t="str">
        <f ca="1">IFERROR(__xludf.DUMMYFUNCTION("""COMPUTED_VALUE"""),"This will be hard to do, but if it is the right company I would try")</f>
        <v>This will be hard to do, but if it is the right company I would try</v>
      </c>
      <c r="H592" s="1" t="str">
        <f ca="1">IFERROR(__xludf.DUMMYFUNCTION("""COMPUTED_VALUE"""),"Yes")</f>
        <v>Yes</v>
      </c>
      <c r="I592" s="1" t="str">
        <f ca="1">IFERROR(__xludf.DUMMYFUNCTION("""COMPUTED_VALUE"""),"Will NOT work for them")</f>
        <v>Will NOT work for them</v>
      </c>
      <c r="J592" s="1">
        <f ca="1">IFERROR(__xludf.DUMMYFUNCTION("""COMPUTED_VALUE"""),8)</f>
        <v>8</v>
      </c>
      <c r="K592" s="1" t="str">
        <f ca="1">IFERROR(__xludf.DUMMYFUNCTION("""COMPUTED_VALUE"""),"Hybrid Working Environment with more than 15 days a month at office")</f>
        <v>Hybrid Working Environment with more than 15 days a month at office</v>
      </c>
      <c r="L592" s="1" t="str">
        <f ca="1">IFERROR(__xludf.DUMMYFUNCTION("""COMPUTED_VALUE"""),"Employer who pushes your limits by enabling an learning environment, and rewards you at the end")</f>
        <v>Employer who pushes your limits by enabling an learning environment, and rewards you at the end</v>
      </c>
      <c r="M5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92" s="1" t="str">
        <f ca="1">IFERROR(__xludf.DUMMYFUNCTION("""COMPUTED_VALUE"""),"Business Operations in any organization, Manage and drive End-to-End Projects or Products, Entrepreneur or Start Up, I Want to sell things/Sales")</f>
        <v>Business Operations in any organization, Manage and drive End-to-End Projects or Products, Entrepreneur or Start Up, I Want to sell things/Sales</v>
      </c>
      <c r="O592" s="1" t="str">
        <f ca="1">IFERROR(__xludf.DUMMYFUNCTION("""COMPUTED_VALUE"""),"Manager who explains what is expected, sets a goal and helps achieve it")</f>
        <v>Manager who explains what is expected, sets a goal and helps achieve it</v>
      </c>
      <c r="P592" s="1" t="str">
        <f ca="1">IFERROR(__xludf.DUMMYFUNCTION("""COMPUTED_VALUE"""),"Work with 5 to 6 people in my team")</f>
        <v>Work with 5 to 6 people in my team</v>
      </c>
      <c r="Q592" s="1"/>
    </row>
    <row r="593" spans="1:17" ht="13.2" x14ac:dyDescent="0.25">
      <c r="A593" s="2">
        <f ca="1">IFERROR(__xludf.DUMMYFUNCTION("""COMPUTED_VALUE"""),45021.7392594444)</f>
        <v>45021.739259444403</v>
      </c>
      <c r="B593" s="1" t="str">
        <f ca="1">IFERROR(__xludf.DUMMYFUNCTION("""COMPUTED_VALUE"""),"India")</f>
        <v>India</v>
      </c>
      <c r="C593" s="1">
        <f ca="1">IFERROR(__xludf.DUMMYFUNCTION("""COMPUTED_VALUE"""),641062)</f>
        <v>641062</v>
      </c>
      <c r="D593" s="3" t="str">
        <f ca="1">IFERROR(__xludf.DUMMYFUNCTION("""COMPUTED_VALUE"""),"Male")</f>
        <v>Male</v>
      </c>
      <c r="E593" s="1" t="str">
        <f ca="1">IFERROR(__xludf.DUMMYFUNCTION("""COMPUTED_VALUE"""),"Influencers who had successful careers")</f>
        <v>Influencers who had successful careers</v>
      </c>
      <c r="F593" s="1" t="str">
        <f ca="1">IFERROR(__xludf.DUMMYFUNCTION("""COMPUTED_VALUE"""),"No, But if someone could bare the cost I will")</f>
        <v>No, But if someone could bare the cost I will</v>
      </c>
      <c r="G593" s="1" t="str">
        <f ca="1">IFERROR(__xludf.DUMMYFUNCTION("""COMPUTED_VALUE"""),"This will be hard to do, but if it is the right company I would try")</f>
        <v>This will be hard to do, but if it is the right company I would try</v>
      </c>
      <c r="H593" s="1" t="str">
        <f ca="1">IFERROR(__xludf.DUMMYFUNCTION("""COMPUTED_VALUE"""),"No")</f>
        <v>No</v>
      </c>
      <c r="I593" s="1" t="str">
        <f ca="1">IFERROR(__xludf.DUMMYFUNCTION("""COMPUTED_VALUE"""),"Will NOT work for them")</f>
        <v>Will NOT work for them</v>
      </c>
      <c r="J593" s="1">
        <f ca="1">IFERROR(__xludf.DUMMYFUNCTION("""COMPUTED_VALUE"""),1)</f>
        <v>1</v>
      </c>
      <c r="K593" s="1" t="str">
        <f ca="1">IFERROR(__xludf.DUMMYFUNCTION("""COMPUTED_VALUE"""),"Hybrid Working Environment with less than 3 days a month at office")</f>
        <v>Hybrid Working Environment with less than 3 days a month at office</v>
      </c>
      <c r="L593" s="1" t="str">
        <f ca="1">IFERROR(__xludf.DUMMYFUNCTION("""COMPUTED_VALUE"""),"Employer who pushes your limits by enabling an learning environment, and rewards you at the end")</f>
        <v>Employer who pushes your limits by enabling an learning environment, and rewards you at the end</v>
      </c>
      <c r="M59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93" s="1" t="str">
        <f ca="1">IFERROR(__xludf.DUMMYFUNCTION("""COMPUTED_VALUE"""),"Design and Creative strategy in any company, Work as a freelancer and do my thing my way, Become a content Creator in some platform, I Want to sell things/Sales")</f>
        <v>Design and Creative strategy in any company, Work as a freelancer and do my thing my way, Become a content Creator in some platform, I Want to sell things/Sales</v>
      </c>
      <c r="O593" s="1" t="str">
        <f ca="1">IFERROR(__xludf.DUMMYFUNCTION("""COMPUTED_VALUE"""),"Manager who explains what is expected, sets a goal and helps achieve it")</f>
        <v>Manager who explains what is expected, sets a goal and helps achieve it</v>
      </c>
      <c r="P593" s="1" t="str">
        <f ca="1">IFERROR(__xludf.DUMMYFUNCTION("""COMPUTED_VALUE"""),"Work with 2 to 3 people in my team")</f>
        <v>Work with 2 to 3 people in my team</v>
      </c>
      <c r="Q593" s="1"/>
    </row>
    <row r="594" spans="1:17" ht="13.2" x14ac:dyDescent="0.25">
      <c r="A594" s="2">
        <f ca="1">IFERROR(__xludf.DUMMYFUNCTION("""COMPUTED_VALUE"""),45021.7427980671)</f>
        <v>45021.742798067098</v>
      </c>
      <c r="B594" s="1" t="str">
        <f ca="1">IFERROR(__xludf.DUMMYFUNCTION("""COMPUTED_VALUE"""),"India")</f>
        <v>India</v>
      </c>
      <c r="C594" s="1">
        <f ca="1">IFERROR(__xludf.DUMMYFUNCTION("""COMPUTED_VALUE"""),793002)</f>
        <v>793002</v>
      </c>
      <c r="D594" s="3" t="str">
        <f ca="1">IFERROR(__xludf.DUMMYFUNCTION("""COMPUTED_VALUE"""),"Male")</f>
        <v>Male</v>
      </c>
      <c r="E594" s="1" t="str">
        <f ca="1">IFERROR(__xludf.DUMMYFUNCTION("""COMPUTED_VALUE"""),"People from my circle, but not family members")</f>
        <v>People from my circle, but not family members</v>
      </c>
      <c r="F594" s="1" t="str">
        <f ca="1">IFERROR(__xludf.DUMMYFUNCTION("""COMPUTED_VALUE"""),"No I would not be pursuing Higher Education outside of India")</f>
        <v>No I would not be pursuing Higher Education outside of India</v>
      </c>
      <c r="G594" s="1" t="str">
        <f ca="1">IFERROR(__xludf.DUMMYFUNCTION("""COMPUTED_VALUE"""),"This will be hard to do, but if it is the right company I would try")</f>
        <v>This will be hard to do, but if it is the right company I would try</v>
      </c>
      <c r="H594" s="1" t="str">
        <f ca="1">IFERROR(__xludf.DUMMYFUNCTION("""COMPUTED_VALUE"""),"Yes")</f>
        <v>Yes</v>
      </c>
      <c r="I594" s="1" t="str">
        <f ca="1">IFERROR(__xludf.DUMMYFUNCTION("""COMPUTED_VALUE"""),"Will NOT work for them")</f>
        <v>Will NOT work for them</v>
      </c>
      <c r="J594" s="1">
        <f ca="1">IFERROR(__xludf.DUMMYFUNCTION("""COMPUTED_VALUE"""),4)</f>
        <v>4</v>
      </c>
      <c r="K594" s="1" t="str">
        <f ca="1">IFERROR(__xludf.DUMMYFUNCTION("""COMPUTED_VALUE"""),"Fully Remote with Options to travel as and when needed")</f>
        <v>Fully Remote with Options to travel as and when needed</v>
      </c>
      <c r="L594" s="1" t="str">
        <f ca="1">IFERROR(__xludf.DUMMYFUNCTION("""COMPUTED_VALUE"""),"Employer who pushes your limits by enabling an learning environment, and rewards you at the end")</f>
        <v>Employer who pushes your limits by enabling an learning environment, and rewards you at the end</v>
      </c>
      <c r="M59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4"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594" s="1" t="str">
        <f ca="1">IFERROR(__xludf.DUMMYFUNCTION("""COMPUTED_VALUE"""),"Manager who explains what is expected, sets a goal and helps achieve it")</f>
        <v>Manager who explains what is expected, sets a goal and helps achieve it</v>
      </c>
      <c r="P594" s="1" t="str">
        <f ca="1">IFERROR(__xludf.DUMMYFUNCTION("""COMPUTED_VALUE"""),"Work alone, Work with 2 to 3 people in my team, Work with 5 to 6 people in my team")</f>
        <v>Work alone, Work with 2 to 3 people in my team, Work with 5 to 6 people in my team</v>
      </c>
      <c r="Q594" s="1"/>
    </row>
    <row r="595" spans="1:17" ht="13.2" x14ac:dyDescent="0.25">
      <c r="A595" s="2">
        <f ca="1">IFERROR(__xludf.DUMMYFUNCTION("""COMPUTED_VALUE"""),45021.745111493)</f>
        <v>45021.745111493001</v>
      </c>
      <c r="B595" s="1" t="str">
        <f ca="1">IFERROR(__xludf.DUMMYFUNCTION("""COMPUTED_VALUE"""),"India")</f>
        <v>India</v>
      </c>
      <c r="C595" s="1">
        <f ca="1">IFERROR(__xludf.DUMMYFUNCTION("""COMPUTED_VALUE"""),122022)</f>
        <v>122022</v>
      </c>
      <c r="D595" s="3" t="str">
        <f ca="1">IFERROR(__xludf.DUMMYFUNCTION("""COMPUTED_VALUE"""),"Male")</f>
        <v>Male</v>
      </c>
      <c r="E595" s="1" t="str">
        <f ca="1">IFERROR(__xludf.DUMMYFUNCTION("""COMPUTED_VALUE"""),"People from my circle, but not family members")</f>
        <v>People from my circle, but not family members</v>
      </c>
      <c r="F595" s="1" t="str">
        <f ca="1">IFERROR(__xludf.DUMMYFUNCTION("""COMPUTED_VALUE"""),"No I would not be pursuing Higher Education outside of India")</f>
        <v>No I would not be pursuing Higher Education outside of India</v>
      </c>
      <c r="G595" s="1" t="str">
        <f ca="1">IFERROR(__xludf.DUMMYFUNCTION("""COMPUTED_VALUE"""),"Will work for 3 years or more")</f>
        <v>Will work for 3 years or more</v>
      </c>
      <c r="H595" s="1" t="str">
        <f ca="1">IFERROR(__xludf.DUMMYFUNCTION("""COMPUTED_VALUE"""),"No")</f>
        <v>No</v>
      </c>
      <c r="I595" s="1" t="str">
        <f ca="1">IFERROR(__xludf.DUMMYFUNCTION("""COMPUTED_VALUE"""),"Will NOT work for them")</f>
        <v>Will NOT work for them</v>
      </c>
      <c r="J595" s="1">
        <f ca="1">IFERROR(__xludf.DUMMYFUNCTION("""COMPUTED_VALUE"""),10)</f>
        <v>10</v>
      </c>
      <c r="K595" s="1" t="str">
        <f ca="1">IFERROR(__xludf.DUMMYFUNCTION("""COMPUTED_VALUE"""),"Hybrid Working Environment with less than 3 days a month at office")</f>
        <v>Hybrid Working Environment with less than 3 days a month at office</v>
      </c>
      <c r="L595" s="1" t="str">
        <f ca="1">IFERROR(__xludf.DUMMYFUNCTION("""COMPUTED_VALUE"""),"Employer who pushes your limits by enabling an learning environment, and rewards you at the end")</f>
        <v>Employer who pushes your limits by enabling an learning environment, and rewards you at the end</v>
      </c>
      <c r="M5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95" s="1" t="str">
        <f ca="1">IFERROR(__xludf.DUMMYFUNCTION("""COMPUTED_VALUE"""),"Manager who clearly describes what she/he needs")</f>
        <v>Manager who clearly describes what she/he needs</v>
      </c>
      <c r="P595" s="1" t="str">
        <f ca="1">IFERROR(__xludf.DUMMYFUNCTION("""COMPUTED_VALUE"""),"Work with more than 10 people in my team")</f>
        <v>Work with more than 10 people in my team</v>
      </c>
      <c r="Q595" s="1"/>
    </row>
    <row r="596" spans="1:17" ht="13.2" x14ac:dyDescent="0.25">
      <c r="A596" s="2">
        <f ca="1">IFERROR(__xludf.DUMMYFUNCTION("""COMPUTED_VALUE"""),45021.7468318865)</f>
        <v>45021.746831886499</v>
      </c>
      <c r="B596" s="1" t="str">
        <f ca="1">IFERROR(__xludf.DUMMYFUNCTION("""COMPUTED_VALUE"""),"India")</f>
        <v>India</v>
      </c>
      <c r="C596" s="1">
        <f ca="1">IFERROR(__xludf.DUMMYFUNCTION("""COMPUTED_VALUE"""),110059)</f>
        <v>110059</v>
      </c>
      <c r="D596" s="3" t="str">
        <f ca="1">IFERROR(__xludf.DUMMYFUNCTION("""COMPUTED_VALUE"""),"Male")</f>
        <v>Male</v>
      </c>
      <c r="E596" s="1" t="str">
        <f ca="1">IFERROR(__xludf.DUMMYFUNCTION("""COMPUTED_VALUE"""),"People who have changed the world for better")</f>
        <v>People who have changed the world for better</v>
      </c>
      <c r="F596" s="1" t="str">
        <f ca="1">IFERROR(__xludf.DUMMYFUNCTION("""COMPUTED_VALUE"""),"No I would not be pursuing Higher Education outside of India")</f>
        <v>No I would not be pursuing Higher Education outside of India</v>
      </c>
      <c r="G596" s="1" t="str">
        <f ca="1">IFERROR(__xludf.DUMMYFUNCTION("""COMPUTED_VALUE"""),"This will be hard to do, but if it is the right company I would try")</f>
        <v>This will be hard to do, but if it is the right company I would try</v>
      </c>
      <c r="H596" s="1" t="str">
        <f ca="1">IFERROR(__xludf.DUMMYFUNCTION("""COMPUTED_VALUE"""),"No")</f>
        <v>No</v>
      </c>
      <c r="I596" s="1" t="str">
        <f ca="1">IFERROR(__xludf.DUMMYFUNCTION("""COMPUTED_VALUE"""),"Will NOT work for them")</f>
        <v>Will NOT work for them</v>
      </c>
      <c r="J596" s="1">
        <f ca="1">IFERROR(__xludf.DUMMYFUNCTION("""COMPUTED_VALUE"""),2)</f>
        <v>2</v>
      </c>
      <c r="K596" s="1" t="str">
        <f ca="1">IFERROR(__xludf.DUMMYFUNCTION("""COMPUTED_VALUE"""),"Fully Remote with Options to travel as and when needed")</f>
        <v>Fully Remote with Options to travel as and when needed</v>
      </c>
      <c r="L596" s="1" t="str">
        <f ca="1">IFERROR(__xludf.DUMMYFUNCTION("""COMPUTED_VALUE"""),"Employer who pushes your limits by enabling an learning environment, and rewards you at the end")</f>
        <v>Employer who pushes your limits by enabling an learning environment, and rewards you at the end</v>
      </c>
      <c r="M5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9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596" s="1" t="str">
        <f ca="1">IFERROR(__xludf.DUMMYFUNCTION("""COMPUTED_VALUE"""),"Manager who explains what is expected, sets a goal and helps achieve it")</f>
        <v>Manager who explains what is expected, sets a goal and helps achieve it</v>
      </c>
      <c r="P596" s="1" t="str">
        <f ca="1">IFERROR(__xludf.DUMMYFUNCTION("""COMPUTED_VALUE"""),"Work with 5 to 6 people in my team")</f>
        <v>Work with 5 to 6 people in my team</v>
      </c>
      <c r="Q596" s="1"/>
    </row>
    <row r="597" spans="1:17" ht="13.2" x14ac:dyDescent="0.25">
      <c r="A597" s="2">
        <f ca="1">IFERROR(__xludf.DUMMYFUNCTION("""COMPUTED_VALUE"""),45021.7473158912)</f>
        <v>45021.747315891203</v>
      </c>
      <c r="B597" s="1" t="str">
        <f ca="1">IFERROR(__xludf.DUMMYFUNCTION("""COMPUTED_VALUE"""),"India")</f>
        <v>India</v>
      </c>
      <c r="C597" s="1">
        <f ca="1">IFERROR(__xludf.DUMMYFUNCTION("""COMPUTED_VALUE"""),620002)</f>
        <v>620002</v>
      </c>
      <c r="D597" s="3" t="str">
        <f ca="1">IFERROR(__xludf.DUMMYFUNCTION("""COMPUTED_VALUE"""),"Male")</f>
        <v>Male</v>
      </c>
      <c r="E597" s="1" t="str">
        <f ca="1">IFERROR(__xludf.DUMMYFUNCTION("""COMPUTED_VALUE"""),"Influencers who had successful careers")</f>
        <v>Influencers who had successful careers</v>
      </c>
      <c r="F597" s="1" t="str">
        <f ca="1">IFERROR(__xludf.DUMMYFUNCTION("""COMPUTED_VALUE"""),"No I would not be pursuing Higher Education outside of India")</f>
        <v>No I would not be pursuing Higher Education outside of India</v>
      </c>
      <c r="G597" s="1" t="str">
        <f ca="1">IFERROR(__xludf.DUMMYFUNCTION("""COMPUTED_VALUE"""),"This will be hard to do, but if it is the right company I would try")</f>
        <v>This will be hard to do, but if it is the right company I would try</v>
      </c>
      <c r="H597" s="1" t="str">
        <f ca="1">IFERROR(__xludf.DUMMYFUNCTION("""COMPUTED_VALUE"""),"Yes")</f>
        <v>Yes</v>
      </c>
      <c r="I597" s="1" t="str">
        <f ca="1">IFERROR(__xludf.DUMMYFUNCTION("""COMPUTED_VALUE"""),"Will NOT work for them")</f>
        <v>Will NOT work for them</v>
      </c>
      <c r="J597" s="1">
        <f ca="1">IFERROR(__xludf.DUMMYFUNCTION("""COMPUTED_VALUE"""),5)</f>
        <v>5</v>
      </c>
      <c r="K597" s="1" t="str">
        <f ca="1">IFERROR(__xludf.DUMMYFUNCTION("""COMPUTED_VALUE"""),"Hybrid Working Environment with less than 3 days a month at office")</f>
        <v>Hybrid Working Environment with less than 3 days a month at office</v>
      </c>
      <c r="L597" s="1" t="str">
        <f ca="1">IFERROR(__xludf.DUMMYFUNCTION("""COMPUTED_VALUE"""),"Employer who pushes your limits by enabling an learning environment, and rewards you at the end")</f>
        <v>Employer who pushes your limits by enabling an learning environment, and rewards you at the end</v>
      </c>
      <c r="M59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97" s="1" t="str">
        <f ca="1">IFERROR(__xludf.DUMMYFUNCTION("""COMPUTED_VALUE"""),"Manager who sets goal and helps me achieve it")</f>
        <v>Manager who sets goal and helps me achieve it</v>
      </c>
      <c r="P597" s="1" t="str">
        <f ca="1">IFERROR(__xludf.DUMMYFUNCTION("""COMPUTED_VALUE"""),"Work with 7 to 10 or more people in my team")</f>
        <v>Work with 7 to 10 or more people in my team</v>
      </c>
      <c r="Q597" s="1"/>
    </row>
    <row r="598" spans="1:17" ht="13.2" x14ac:dyDescent="0.25">
      <c r="A598" s="2">
        <f ca="1">IFERROR(__xludf.DUMMYFUNCTION("""COMPUTED_VALUE"""),45021.7484475347)</f>
        <v>45021.748447534701</v>
      </c>
      <c r="B598" s="1" t="str">
        <f ca="1">IFERROR(__xludf.DUMMYFUNCTION("""COMPUTED_VALUE"""),"India")</f>
        <v>India</v>
      </c>
      <c r="C598" s="1">
        <f ca="1">IFERROR(__xludf.DUMMYFUNCTION("""COMPUTED_VALUE"""),641028)</f>
        <v>641028</v>
      </c>
      <c r="D598" s="3" t="str">
        <f ca="1">IFERROR(__xludf.DUMMYFUNCTION("""COMPUTED_VALUE"""),"Male")</f>
        <v>Male</v>
      </c>
      <c r="E598" s="1" t="str">
        <f ca="1">IFERROR(__xludf.DUMMYFUNCTION("""COMPUTED_VALUE"""),"People from my circle, but not family members")</f>
        <v>People from my circle, but not family members</v>
      </c>
      <c r="F598" s="1" t="str">
        <f ca="1">IFERROR(__xludf.DUMMYFUNCTION("""COMPUTED_VALUE"""),"No I would not be pursuing Higher Education outside of India")</f>
        <v>No I would not be pursuing Higher Education outside of India</v>
      </c>
      <c r="G598" s="1" t="str">
        <f ca="1">IFERROR(__xludf.DUMMYFUNCTION("""COMPUTED_VALUE"""),"This will be hard to do, but if it is the right company I would try")</f>
        <v>This will be hard to do, but if it is the right company I would try</v>
      </c>
      <c r="H598" s="1" t="str">
        <f ca="1">IFERROR(__xludf.DUMMYFUNCTION("""COMPUTED_VALUE"""),"No")</f>
        <v>No</v>
      </c>
      <c r="I598" s="1" t="str">
        <f ca="1">IFERROR(__xludf.DUMMYFUNCTION("""COMPUTED_VALUE"""),"Will NOT work for them")</f>
        <v>Will NOT work for them</v>
      </c>
      <c r="J598" s="1">
        <f ca="1">IFERROR(__xludf.DUMMYFUNCTION("""COMPUTED_VALUE"""),3)</f>
        <v>3</v>
      </c>
      <c r="K598" s="1" t="str">
        <f ca="1">IFERROR(__xludf.DUMMYFUNCTION("""COMPUTED_VALUE"""),"Hybrid Working Environment with more than 15 days a month at office")</f>
        <v>Hybrid Working Environment with more than 15 days a month at office</v>
      </c>
      <c r="L598" s="1" t="str">
        <f ca="1">IFERROR(__xludf.DUMMYFUNCTION("""COMPUTED_VALUE"""),"Employer who pushes your limits by enabling an learning environment, and rewards you at the end")</f>
        <v>Employer who pushes your limits by enabling an learning environment, and rewards you at the end</v>
      </c>
      <c r="M59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8"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98" s="1" t="str">
        <f ca="1">IFERROR(__xludf.DUMMYFUNCTION("""COMPUTED_VALUE"""),"Manager who clearly describes what she/he needs")</f>
        <v>Manager who clearly describes what she/he needs</v>
      </c>
      <c r="P598" s="1" t="str">
        <f ca="1">IFERROR(__xludf.DUMMYFUNCTION("""COMPUTED_VALUE"""),"Work with 7 to 10 or more people in my team")</f>
        <v>Work with 7 to 10 or more people in my team</v>
      </c>
      <c r="Q598" s="1"/>
    </row>
    <row r="599" spans="1:17" ht="13.2" x14ac:dyDescent="0.25">
      <c r="A599" s="2">
        <f ca="1">IFERROR(__xludf.DUMMYFUNCTION("""COMPUTED_VALUE"""),45021.7488695601)</f>
        <v>45021.748869560099</v>
      </c>
      <c r="B599" s="1" t="str">
        <f ca="1">IFERROR(__xludf.DUMMYFUNCTION("""COMPUTED_VALUE"""),"India")</f>
        <v>India</v>
      </c>
      <c r="C599" s="1">
        <f ca="1">IFERROR(__xludf.DUMMYFUNCTION("""COMPUTED_VALUE"""),632515)</f>
        <v>632515</v>
      </c>
      <c r="D599" s="3" t="str">
        <f ca="1">IFERROR(__xludf.DUMMYFUNCTION("""COMPUTED_VALUE"""),"Male")</f>
        <v>Male</v>
      </c>
      <c r="E599" s="1" t="str">
        <f ca="1">IFERROR(__xludf.DUMMYFUNCTION("""COMPUTED_VALUE"""),"My Parents")</f>
        <v>My Parents</v>
      </c>
      <c r="F599" s="1" t="str">
        <f ca="1">IFERROR(__xludf.DUMMYFUNCTION("""COMPUTED_VALUE"""),"Yes, I will earn and do that")</f>
        <v>Yes, I will earn and do that</v>
      </c>
      <c r="G599" s="1" t="str">
        <f ca="1">IFERROR(__xludf.DUMMYFUNCTION("""COMPUTED_VALUE"""),"No way")</f>
        <v>No way</v>
      </c>
      <c r="H599" s="1" t="str">
        <f ca="1">IFERROR(__xludf.DUMMYFUNCTION("""COMPUTED_VALUE"""),"No")</f>
        <v>No</v>
      </c>
      <c r="I599" s="1" t="str">
        <f ca="1">IFERROR(__xludf.DUMMYFUNCTION("""COMPUTED_VALUE"""),"Will NOT work for them")</f>
        <v>Will NOT work for them</v>
      </c>
      <c r="J599" s="1">
        <f ca="1">IFERROR(__xludf.DUMMYFUNCTION("""COMPUTED_VALUE"""),4)</f>
        <v>4</v>
      </c>
      <c r="K599" s="1" t="str">
        <f ca="1">IFERROR(__xludf.DUMMYFUNCTION("""COMPUTED_VALUE"""),"Hybrid Working Environment with less than 3 days a month at office")</f>
        <v>Hybrid Working Environment with less than 3 days a month at office</v>
      </c>
      <c r="L599" s="1" t="str">
        <f ca="1">IFERROR(__xludf.DUMMYFUNCTION("""COMPUTED_VALUE"""),"Employer who rewards learning and enables that environment")</f>
        <v>Employer who rewards learning and enables that environment</v>
      </c>
      <c r="M599" s="1" t="str">
        <f ca="1">IFERROR(__xludf.DUMMYFUNCTION("""COMPUTED_VALUE"""),"Instructor or Expert Learning Programs, Learning by observing others, Manager Teaching you")</f>
        <v>Instructor or Expert Learning Programs, Learning by observing others, Manager Teaching you</v>
      </c>
      <c r="N59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599" s="1" t="str">
        <f ca="1">IFERROR(__xludf.DUMMYFUNCTION("""COMPUTED_VALUE"""),"Manager who sets goal and helps me achieve it")</f>
        <v>Manager who sets goal and helps me achieve it</v>
      </c>
      <c r="P599" s="1" t="str">
        <f ca="1">IFERROR(__xludf.DUMMYFUNCTION("""COMPUTED_VALUE"""),"Work with 5 to 6 people in my team, Work with more than 10 people in my team")</f>
        <v>Work with 5 to 6 people in my team, Work with more than 10 people in my team</v>
      </c>
      <c r="Q599" s="1"/>
    </row>
    <row r="600" spans="1:17" ht="13.2" x14ac:dyDescent="0.25">
      <c r="A600" s="2">
        <f ca="1">IFERROR(__xludf.DUMMYFUNCTION("""COMPUTED_VALUE"""),45021.752834375)</f>
        <v>45021.752834375002</v>
      </c>
      <c r="B600" s="1" t="str">
        <f ca="1">IFERROR(__xludf.DUMMYFUNCTION("""COMPUTED_VALUE"""),"India")</f>
        <v>India</v>
      </c>
      <c r="C600" s="1">
        <f ca="1">IFERROR(__xludf.DUMMYFUNCTION("""COMPUTED_VALUE"""),620017)</f>
        <v>620017</v>
      </c>
      <c r="D600" s="3" t="str">
        <f ca="1">IFERROR(__xludf.DUMMYFUNCTION("""COMPUTED_VALUE"""),"Female")</f>
        <v>Female</v>
      </c>
      <c r="E600" s="1" t="str">
        <f ca="1">IFERROR(__xludf.DUMMYFUNCTION("""COMPUTED_VALUE"""),"People who have changed the world for better")</f>
        <v>People who have changed the world for better</v>
      </c>
      <c r="F600" s="1" t="str">
        <f ca="1">IFERROR(__xludf.DUMMYFUNCTION("""COMPUTED_VALUE"""),"Yes, I will earn and do that")</f>
        <v>Yes, I will earn and do that</v>
      </c>
      <c r="G600" s="1" t="str">
        <f ca="1">IFERROR(__xludf.DUMMYFUNCTION("""COMPUTED_VALUE"""),"This will be hard to do, but if it is the right company I would try")</f>
        <v>This will be hard to do, but if it is the right company I would try</v>
      </c>
      <c r="H600" s="1" t="str">
        <f ca="1">IFERROR(__xludf.DUMMYFUNCTION("""COMPUTED_VALUE"""),"No")</f>
        <v>No</v>
      </c>
      <c r="I600" s="1" t="str">
        <f ca="1">IFERROR(__xludf.DUMMYFUNCTION("""COMPUTED_VALUE"""),"Will NOT work for them")</f>
        <v>Will NOT work for them</v>
      </c>
      <c r="J600" s="1">
        <f ca="1">IFERROR(__xludf.DUMMYFUNCTION("""COMPUTED_VALUE"""),6)</f>
        <v>6</v>
      </c>
      <c r="K600" s="1" t="str">
        <f ca="1">IFERROR(__xludf.DUMMYFUNCTION("""COMPUTED_VALUE"""),"Hybrid Working Environment with more than 15 days a month at office")</f>
        <v>Hybrid Working Environment with more than 15 days a month at office</v>
      </c>
      <c r="L600" s="1" t="str">
        <f ca="1">IFERROR(__xludf.DUMMYFUNCTION("""COMPUTED_VALUE"""),"Employer who appreciates learning and enables that environment")</f>
        <v>Employer who appreciates learning and enables that environment</v>
      </c>
      <c r="M6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0"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00" s="1" t="str">
        <f ca="1">IFERROR(__xludf.DUMMYFUNCTION("""COMPUTED_VALUE"""),"Manager who sets targets and expects me to achieve it")</f>
        <v>Manager who sets targets and expects me to achieve it</v>
      </c>
      <c r="P600" s="1" t="str">
        <f ca="1">IFERROR(__xludf.DUMMYFUNCTION("""COMPUTED_VALUE"""),"Work with 7 to 10 or more people in my team, Work with more than 10 people in my team")</f>
        <v>Work with 7 to 10 or more people in my team, Work with more than 10 people in my team</v>
      </c>
      <c r="Q600" s="1"/>
    </row>
    <row r="601" spans="1:17" ht="13.2" x14ac:dyDescent="0.25">
      <c r="A601" s="2">
        <f ca="1">IFERROR(__xludf.DUMMYFUNCTION("""COMPUTED_VALUE"""),45021.7534119097)</f>
        <v>45021.753411909704</v>
      </c>
      <c r="B601" s="1" t="str">
        <f ca="1">IFERROR(__xludf.DUMMYFUNCTION("""COMPUTED_VALUE"""),"India")</f>
        <v>India</v>
      </c>
      <c r="C601" s="1">
        <f ca="1">IFERROR(__xludf.DUMMYFUNCTION("""COMPUTED_VALUE"""),574106)</f>
        <v>574106</v>
      </c>
      <c r="D601" s="3" t="str">
        <f ca="1">IFERROR(__xludf.DUMMYFUNCTION("""COMPUTED_VALUE"""),"Female")</f>
        <v>Female</v>
      </c>
      <c r="E601" s="1" t="str">
        <f ca="1">IFERROR(__xludf.DUMMYFUNCTION("""COMPUTED_VALUE"""),"Social Media like LinkedIn")</f>
        <v>Social Media like LinkedIn</v>
      </c>
      <c r="F601" s="1" t="str">
        <f ca="1">IFERROR(__xludf.DUMMYFUNCTION("""COMPUTED_VALUE"""),"Yes, I will earn and do that")</f>
        <v>Yes, I will earn and do that</v>
      </c>
      <c r="G601" s="1" t="str">
        <f ca="1">IFERROR(__xludf.DUMMYFUNCTION("""COMPUTED_VALUE"""),"Will work for 3 years or more")</f>
        <v>Will work for 3 years or more</v>
      </c>
      <c r="H601" s="1" t="str">
        <f ca="1">IFERROR(__xludf.DUMMYFUNCTION("""COMPUTED_VALUE"""),"Yes")</f>
        <v>Yes</v>
      </c>
      <c r="I601" s="1" t="str">
        <f ca="1">IFERROR(__xludf.DUMMYFUNCTION("""COMPUTED_VALUE"""),"Will work for them")</f>
        <v>Will work for them</v>
      </c>
      <c r="J601" s="1">
        <f ca="1">IFERROR(__xludf.DUMMYFUNCTION("""COMPUTED_VALUE"""),7)</f>
        <v>7</v>
      </c>
      <c r="K601" s="1" t="str">
        <f ca="1">IFERROR(__xludf.DUMMYFUNCTION("""COMPUTED_VALUE"""),"Fully Remote with Options to travel as and when needed")</f>
        <v>Fully Remote with Options to travel as and when needed</v>
      </c>
      <c r="L601" s="1" t="str">
        <f ca="1">IFERROR(__xludf.DUMMYFUNCTION("""COMPUTED_VALUE"""),"Employer who pushes your limits by enabling an learning environment, and rewards you at the end")</f>
        <v>Employer who pushes your limits by enabling an learning environment, and rewards you at the end</v>
      </c>
      <c r="M6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01" s="1" t="str">
        <f ca="1">IFERROR(__xludf.DUMMYFUNCTION("""COMPUTED_VALUE"""),"Build and develop a Team, Work in a BPO setup for some well known client, Work as a freelancer and do my thing my way, An Artificial Intelligence Specialist / Talking to Robots")</f>
        <v>Build and develop a Team, Work in a BPO setup for some well known client, Work as a freelancer and do my thing my way, An Artificial Intelligence Specialist / Talking to Robots</v>
      </c>
      <c r="O601" s="1" t="str">
        <f ca="1">IFERROR(__xludf.DUMMYFUNCTION("""COMPUTED_VALUE"""),"Manager who explains what is expected, sets a goal and helps achieve it")</f>
        <v>Manager who explains what is expected, sets a goal and helps achieve it</v>
      </c>
      <c r="P601" s="1" t="str">
        <f ca="1">IFERROR(__xludf.DUMMYFUNCTION("""COMPUTED_VALUE"""),"Work with 2 to 3 people in my team")</f>
        <v>Work with 2 to 3 people in my team</v>
      </c>
      <c r="Q601" s="1"/>
    </row>
    <row r="602" spans="1:17" ht="13.2" x14ac:dyDescent="0.25">
      <c r="A602" s="2">
        <f ca="1">IFERROR(__xludf.DUMMYFUNCTION("""COMPUTED_VALUE"""),45021.7537363425)</f>
        <v>45021.7537363425</v>
      </c>
      <c r="B602" s="1" t="str">
        <f ca="1">IFERROR(__xludf.DUMMYFUNCTION("""COMPUTED_VALUE"""),"India")</f>
        <v>India</v>
      </c>
      <c r="C602" s="1">
        <f ca="1">IFERROR(__xludf.DUMMYFUNCTION("""COMPUTED_VALUE"""),752050)</f>
        <v>752050</v>
      </c>
      <c r="D602" s="3" t="str">
        <f ca="1">IFERROR(__xludf.DUMMYFUNCTION("""COMPUTED_VALUE"""),"Male")</f>
        <v>Male</v>
      </c>
      <c r="E602" s="1" t="str">
        <f ca="1">IFERROR(__xludf.DUMMYFUNCTION("""COMPUTED_VALUE"""),"People from my circle, but not family members")</f>
        <v>People from my circle, but not family members</v>
      </c>
      <c r="F602" s="1" t="str">
        <f ca="1">IFERROR(__xludf.DUMMYFUNCTION("""COMPUTED_VALUE"""),"No I would not be pursuing Higher Education outside of India")</f>
        <v>No I would not be pursuing Higher Education outside of India</v>
      </c>
      <c r="G602" s="1" t="str">
        <f ca="1">IFERROR(__xludf.DUMMYFUNCTION("""COMPUTED_VALUE"""),"This will be hard to do, but if it is the right company I would try")</f>
        <v>This will be hard to do, but if it is the right company I would try</v>
      </c>
      <c r="H602" s="1" t="str">
        <f ca="1">IFERROR(__xludf.DUMMYFUNCTION("""COMPUTED_VALUE"""),"No")</f>
        <v>No</v>
      </c>
      <c r="I602" s="1" t="str">
        <f ca="1">IFERROR(__xludf.DUMMYFUNCTION("""COMPUTED_VALUE"""),"Will NOT work for them")</f>
        <v>Will NOT work for them</v>
      </c>
      <c r="J602" s="1">
        <f ca="1">IFERROR(__xludf.DUMMYFUNCTION("""COMPUTED_VALUE"""),8)</f>
        <v>8</v>
      </c>
      <c r="K602" s="1" t="str">
        <f ca="1">IFERROR(__xludf.DUMMYFUNCTION("""COMPUTED_VALUE"""),"Fully Remote with Options to travel as and when needed")</f>
        <v>Fully Remote with Options to travel as and when needed</v>
      </c>
      <c r="L602" s="1" t="str">
        <f ca="1">IFERROR(__xludf.DUMMYFUNCTION("""COMPUTED_VALUE"""),"Employer who rewards learning and enables that environment")</f>
        <v>Employer who rewards learning and enables that environment</v>
      </c>
      <c r="M60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602" s="1" t="str">
        <f ca="1">IFERROR(__xludf.DUMMYFUNCTION("""COMPUTED_VALUE"""),"Manager who sets targets and expects me to achieve it")</f>
        <v>Manager who sets targets and expects me to achieve it</v>
      </c>
      <c r="P602" s="1" t="str">
        <f ca="1">IFERROR(__xludf.DUMMYFUNCTION("""COMPUTED_VALUE"""),"Work with 5 to 6 people in my team")</f>
        <v>Work with 5 to 6 people in my team</v>
      </c>
      <c r="Q602" s="1"/>
    </row>
    <row r="603" spans="1:17" ht="13.2" x14ac:dyDescent="0.25">
      <c r="A603" s="2">
        <f ca="1">IFERROR(__xludf.DUMMYFUNCTION("""COMPUTED_VALUE"""),45021.755916655)</f>
        <v>45021.755916654998</v>
      </c>
      <c r="B603" s="1" t="str">
        <f ca="1">IFERROR(__xludf.DUMMYFUNCTION("""COMPUTED_VALUE"""),"India")</f>
        <v>India</v>
      </c>
      <c r="C603" s="1">
        <f ca="1">IFERROR(__xludf.DUMMYFUNCTION("""COMPUTED_VALUE"""),781015)</f>
        <v>781015</v>
      </c>
      <c r="D603" s="3" t="str">
        <f ca="1">IFERROR(__xludf.DUMMYFUNCTION("""COMPUTED_VALUE"""),"Male")</f>
        <v>Male</v>
      </c>
      <c r="E603" s="1" t="str">
        <f ca="1">IFERROR(__xludf.DUMMYFUNCTION("""COMPUTED_VALUE"""),"My Parents")</f>
        <v>My Parents</v>
      </c>
      <c r="F603" s="1" t="str">
        <f ca="1">IFERROR(__xludf.DUMMYFUNCTION("""COMPUTED_VALUE"""),"Yes, I will earn and do that")</f>
        <v>Yes, I will earn and do that</v>
      </c>
      <c r="G603" s="1" t="str">
        <f ca="1">IFERROR(__xludf.DUMMYFUNCTION("""COMPUTED_VALUE"""),"Will work for 3 years or more")</f>
        <v>Will work for 3 years or more</v>
      </c>
      <c r="H603" s="1" t="str">
        <f ca="1">IFERROR(__xludf.DUMMYFUNCTION("""COMPUTED_VALUE"""),"Yes")</f>
        <v>Yes</v>
      </c>
      <c r="I603" s="1" t="str">
        <f ca="1">IFERROR(__xludf.DUMMYFUNCTION("""COMPUTED_VALUE"""),"Will work for them")</f>
        <v>Will work for them</v>
      </c>
      <c r="J603" s="1">
        <f ca="1">IFERROR(__xludf.DUMMYFUNCTION("""COMPUTED_VALUE"""),1)</f>
        <v>1</v>
      </c>
      <c r="K603" s="1" t="str">
        <f ca="1">IFERROR(__xludf.DUMMYFUNCTION("""COMPUTED_VALUE"""),"Every Day Office Environment")</f>
        <v>Every Day Office Environment</v>
      </c>
      <c r="L603" s="1" t="str">
        <f ca="1">IFERROR(__xludf.DUMMYFUNCTION("""COMPUTED_VALUE"""),"Employer who appreciates learning and enables that environment")</f>
        <v>Employer who appreciates learning and enables that environment</v>
      </c>
      <c r="M60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0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03" s="1" t="str">
        <f ca="1">IFERROR(__xludf.DUMMYFUNCTION("""COMPUTED_VALUE"""),"Manager who sets targets and expects me to achieve it")</f>
        <v>Manager who sets targets and expects me to achieve it</v>
      </c>
      <c r="P603" s="1" t="str">
        <f ca="1">IFERROR(__xludf.DUMMYFUNCTION("""COMPUTED_VALUE"""),"Work with 7 to 10 or more people in my team")</f>
        <v>Work with 7 to 10 or more people in my team</v>
      </c>
      <c r="Q603" s="1"/>
    </row>
    <row r="604" spans="1:17" ht="13.2" x14ac:dyDescent="0.25">
      <c r="A604" s="2">
        <f ca="1">IFERROR(__xludf.DUMMYFUNCTION("""COMPUTED_VALUE"""),45021.7694280092)</f>
        <v>45021.769428009196</v>
      </c>
      <c r="B604" s="1" t="str">
        <f ca="1">IFERROR(__xludf.DUMMYFUNCTION("""COMPUTED_VALUE"""),"India")</f>
        <v>India</v>
      </c>
      <c r="C604" s="1">
        <f ca="1">IFERROR(__xludf.DUMMYFUNCTION("""COMPUTED_VALUE"""),380008)</f>
        <v>380008</v>
      </c>
      <c r="D604" s="3" t="str">
        <f ca="1">IFERROR(__xludf.DUMMYFUNCTION("""COMPUTED_VALUE"""),"Male")</f>
        <v>Male</v>
      </c>
      <c r="E604" s="1" t="str">
        <f ca="1">IFERROR(__xludf.DUMMYFUNCTION("""COMPUTED_VALUE"""),"Influencers who had successful careers")</f>
        <v>Influencers who had successful careers</v>
      </c>
      <c r="F604" s="1" t="str">
        <f ca="1">IFERROR(__xludf.DUMMYFUNCTION("""COMPUTED_VALUE"""),"Yes, I will earn and do that")</f>
        <v>Yes, I will earn and do that</v>
      </c>
      <c r="G604" s="1" t="str">
        <f ca="1">IFERROR(__xludf.DUMMYFUNCTION("""COMPUTED_VALUE"""),"Will work for 3 years or more")</f>
        <v>Will work for 3 years or more</v>
      </c>
      <c r="H604" s="1" t="str">
        <f ca="1">IFERROR(__xludf.DUMMYFUNCTION("""COMPUTED_VALUE"""),"No")</f>
        <v>No</v>
      </c>
      <c r="I604" s="1" t="str">
        <f ca="1">IFERROR(__xludf.DUMMYFUNCTION("""COMPUTED_VALUE"""),"Will NOT work for them")</f>
        <v>Will NOT work for them</v>
      </c>
      <c r="J604" s="1">
        <f ca="1">IFERROR(__xludf.DUMMYFUNCTION("""COMPUTED_VALUE"""),6)</f>
        <v>6</v>
      </c>
      <c r="K604" s="1" t="str">
        <f ca="1">IFERROR(__xludf.DUMMYFUNCTION("""COMPUTED_VALUE"""),"Hybrid Working Environment with less than 3 days a month at office")</f>
        <v>Hybrid Working Environment with less than 3 days a month at office</v>
      </c>
      <c r="L604" s="1" t="str">
        <f ca="1">IFERROR(__xludf.DUMMYFUNCTION("""COMPUTED_VALUE"""),"Employer who pushes your limits by enabling an learning environment, and rewards you at the end")</f>
        <v>Employer who pushes your limits by enabling an learning environment, and rewards you at the end</v>
      </c>
      <c r="M604" s="1" t="str">
        <f ca="1">IFERROR(__xludf.DUMMYFUNCTION("""COMPUTED_VALUE"""),"Self Paced Learning Portals of the Company, Learning by observing others, Manager Teaching you")</f>
        <v>Self Paced Learning Portals of the Company, Learning by observing others, Manager Teaching you</v>
      </c>
      <c r="N604"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604" s="1" t="str">
        <f ca="1">IFERROR(__xludf.DUMMYFUNCTION("""COMPUTED_VALUE"""),"Manager who sets goal and helps me achieve it")</f>
        <v>Manager who sets goal and helps me achieve it</v>
      </c>
      <c r="P604" s="1" t="str">
        <f ca="1">IFERROR(__xludf.DUMMYFUNCTION("""COMPUTED_VALUE"""),"Work with 2 to 3 people in my team")</f>
        <v>Work with 2 to 3 people in my team</v>
      </c>
      <c r="Q604" s="1"/>
    </row>
    <row r="605" spans="1:17" ht="13.2" x14ac:dyDescent="0.25">
      <c r="A605" s="2">
        <f ca="1">IFERROR(__xludf.DUMMYFUNCTION("""COMPUTED_VALUE"""),45021.7727641435)</f>
        <v>45021.772764143498</v>
      </c>
      <c r="B605" s="1" t="str">
        <f ca="1">IFERROR(__xludf.DUMMYFUNCTION("""COMPUTED_VALUE"""),"India")</f>
        <v>India</v>
      </c>
      <c r="C605" s="1">
        <f ca="1">IFERROR(__xludf.DUMMYFUNCTION("""COMPUTED_VALUE"""),600073)</f>
        <v>600073</v>
      </c>
      <c r="D605" s="3" t="str">
        <f ca="1">IFERROR(__xludf.DUMMYFUNCTION("""COMPUTED_VALUE"""),"Male")</f>
        <v>Male</v>
      </c>
      <c r="E605" s="1" t="str">
        <f ca="1">IFERROR(__xludf.DUMMYFUNCTION("""COMPUTED_VALUE"""),"People who have changed the world for better")</f>
        <v>People who have changed the world for better</v>
      </c>
      <c r="F605" s="1" t="str">
        <f ca="1">IFERROR(__xludf.DUMMYFUNCTION("""COMPUTED_VALUE"""),"No, But if someone could bare the cost I will")</f>
        <v>No, But if someone could bare the cost I will</v>
      </c>
      <c r="G605" s="1" t="str">
        <f ca="1">IFERROR(__xludf.DUMMYFUNCTION("""COMPUTED_VALUE"""),"This will be hard to do, but if it is the right company I would try")</f>
        <v>This will be hard to do, but if it is the right company I would try</v>
      </c>
      <c r="H605" s="1" t="str">
        <f ca="1">IFERROR(__xludf.DUMMYFUNCTION("""COMPUTED_VALUE"""),"No")</f>
        <v>No</v>
      </c>
      <c r="I605" s="1" t="str">
        <f ca="1">IFERROR(__xludf.DUMMYFUNCTION("""COMPUTED_VALUE"""),"Will NOT work for them")</f>
        <v>Will NOT work for them</v>
      </c>
      <c r="J605" s="1">
        <f ca="1">IFERROR(__xludf.DUMMYFUNCTION("""COMPUTED_VALUE"""),3)</f>
        <v>3</v>
      </c>
      <c r="K605" s="1" t="str">
        <f ca="1">IFERROR(__xludf.DUMMYFUNCTION("""COMPUTED_VALUE"""),"Fully Remote with Options to travel as and when needed")</f>
        <v>Fully Remote with Options to travel as and when needed</v>
      </c>
      <c r="L605" s="1" t="str">
        <f ca="1">IFERROR(__xludf.DUMMYFUNCTION("""COMPUTED_VALUE"""),"Employer who rewards learning and enables that environment")</f>
        <v>Employer who rewards learning and enables that environment</v>
      </c>
      <c r="M605" s="1" t="str">
        <f ca="1">IFERROR(__xludf.DUMMYFUNCTION("""COMPUTED_VALUE"""),"Self Paced Learning Portals of the Company, Learning by observing others, Manager Teaching you")</f>
        <v>Self Paced Learning Portals of the Company, Learning by observing others, Manager Teaching you</v>
      </c>
      <c r="N60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5" s="1" t="str">
        <f ca="1">IFERROR(__xludf.DUMMYFUNCTION("""COMPUTED_VALUE"""),"Manager who sets goal and helps me achieve it")</f>
        <v>Manager who sets goal and helps me achieve it</v>
      </c>
      <c r="P605" s="1" t="str">
        <f ca="1">IFERROR(__xludf.DUMMYFUNCTION("""COMPUTED_VALUE"""),"Work with 7 to 10 or more people in my team")</f>
        <v>Work with 7 to 10 or more people in my team</v>
      </c>
      <c r="Q605" s="1"/>
    </row>
    <row r="606" spans="1:17" ht="13.2" x14ac:dyDescent="0.25">
      <c r="A606" s="2">
        <f ca="1">IFERROR(__xludf.DUMMYFUNCTION("""COMPUTED_VALUE"""),45021.7807502546)</f>
        <v>45021.780750254598</v>
      </c>
      <c r="B606" s="1" t="str">
        <f ca="1">IFERROR(__xludf.DUMMYFUNCTION("""COMPUTED_VALUE"""),"India")</f>
        <v>India</v>
      </c>
      <c r="C606" s="1">
        <f ca="1">IFERROR(__xludf.DUMMYFUNCTION("""COMPUTED_VALUE"""),620001)</f>
        <v>620001</v>
      </c>
      <c r="D606" s="3" t="str">
        <f ca="1">IFERROR(__xludf.DUMMYFUNCTION("""COMPUTED_VALUE"""),"Male")</f>
        <v>Male</v>
      </c>
      <c r="E606" s="1" t="str">
        <f ca="1">IFERROR(__xludf.DUMMYFUNCTION("""COMPUTED_VALUE"""),"Influencers who had successful careers")</f>
        <v>Influencers who had successful careers</v>
      </c>
      <c r="F606" s="1" t="str">
        <f ca="1">IFERROR(__xludf.DUMMYFUNCTION("""COMPUTED_VALUE"""),"Yes, I will earn and do that")</f>
        <v>Yes, I will earn and do that</v>
      </c>
      <c r="G606" s="1" t="str">
        <f ca="1">IFERROR(__xludf.DUMMYFUNCTION("""COMPUTED_VALUE"""),"Will work for 3 years or more")</f>
        <v>Will work for 3 years or more</v>
      </c>
      <c r="H606" s="1" t="str">
        <f ca="1">IFERROR(__xludf.DUMMYFUNCTION("""COMPUTED_VALUE"""),"No")</f>
        <v>No</v>
      </c>
      <c r="I606" s="1" t="str">
        <f ca="1">IFERROR(__xludf.DUMMYFUNCTION("""COMPUTED_VALUE"""),"Will NOT work for them")</f>
        <v>Will NOT work for them</v>
      </c>
      <c r="J606" s="1">
        <f ca="1">IFERROR(__xludf.DUMMYFUNCTION("""COMPUTED_VALUE"""),10)</f>
        <v>10</v>
      </c>
      <c r="K606" s="1" t="str">
        <f ca="1">IFERROR(__xludf.DUMMYFUNCTION("""COMPUTED_VALUE"""),"Every Day Office Environment")</f>
        <v>Every Day Office Environment</v>
      </c>
      <c r="L606" s="1" t="str">
        <f ca="1">IFERROR(__xludf.DUMMYFUNCTION("""COMPUTED_VALUE"""),"Employer who appreciates learning and enables that environment")</f>
        <v>Employer who appreciates learning and enables that environment</v>
      </c>
      <c r="M6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0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06" s="1" t="str">
        <f ca="1">IFERROR(__xludf.DUMMYFUNCTION("""COMPUTED_VALUE"""),"Manager who clearly describes what she/he needs")</f>
        <v>Manager who clearly describes what she/he needs</v>
      </c>
      <c r="P606" s="1" t="str">
        <f ca="1">IFERROR(__xludf.DUMMYFUNCTION("""COMPUTED_VALUE"""),"Work with 5 to 6 people in my team")</f>
        <v>Work with 5 to 6 people in my team</v>
      </c>
      <c r="Q606" s="1"/>
    </row>
    <row r="607" spans="1:17" ht="13.2" x14ac:dyDescent="0.25">
      <c r="A607" s="2">
        <f ca="1">IFERROR(__xludf.DUMMYFUNCTION("""COMPUTED_VALUE"""),45021.7841285995)</f>
        <v>45021.784128599502</v>
      </c>
      <c r="B607" s="1" t="str">
        <f ca="1">IFERROR(__xludf.DUMMYFUNCTION("""COMPUTED_VALUE"""),"India")</f>
        <v>India</v>
      </c>
      <c r="C607" s="1">
        <f ca="1">IFERROR(__xludf.DUMMYFUNCTION("""COMPUTED_VALUE"""),401202)</f>
        <v>401202</v>
      </c>
      <c r="D607" s="3" t="str">
        <f ca="1">IFERROR(__xludf.DUMMYFUNCTION("""COMPUTED_VALUE"""),"Male")</f>
        <v>Male</v>
      </c>
      <c r="E607" s="1" t="str">
        <f ca="1">IFERROR(__xludf.DUMMYFUNCTION("""COMPUTED_VALUE"""),"Influencers who had successful careers")</f>
        <v>Influencers who had successful careers</v>
      </c>
      <c r="F607" s="1" t="str">
        <f ca="1">IFERROR(__xludf.DUMMYFUNCTION("""COMPUTED_VALUE"""),"Yes, I will earn and do that")</f>
        <v>Yes, I will earn and do that</v>
      </c>
      <c r="G607" s="1" t="str">
        <f ca="1">IFERROR(__xludf.DUMMYFUNCTION("""COMPUTED_VALUE"""),"This will be hard to do, but if it is the right company I would try")</f>
        <v>This will be hard to do, but if it is the right company I would try</v>
      </c>
      <c r="H607" s="1" t="str">
        <f ca="1">IFERROR(__xludf.DUMMYFUNCTION("""COMPUTED_VALUE"""),"Yes")</f>
        <v>Yes</v>
      </c>
      <c r="I607" s="1" t="str">
        <f ca="1">IFERROR(__xludf.DUMMYFUNCTION("""COMPUTED_VALUE"""),"Will work for them")</f>
        <v>Will work for them</v>
      </c>
      <c r="J607" s="1">
        <f ca="1">IFERROR(__xludf.DUMMYFUNCTION("""COMPUTED_VALUE"""),7)</f>
        <v>7</v>
      </c>
      <c r="K607" s="1" t="str">
        <f ca="1">IFERROR(__xludf.DUMMYFUNCTION("""COMPUTED_VALUE"""),"Every Day Office Environment")</f>
        <v>Every Day Office Environment</v>
      </c>
      <c r="L607" s="1" t="str">
        <f ca="1">IFERROR(__xludf.DUMMYFUNCTION("""COMPUTED_VALUE"""),"Employer who pushes your limits by enabling an learning environment, and rewards you at the end")</f>
        <v>Employer who pushes your limits by enabling an learning environment, and rewards you at the end</v>
      </c>
      <c r="M6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7" s="1" t="str">
        <f ca="1">IFERROR(__xludf.DUMMYFUNCTION("""COMPUTED_VALUE"""),"Teaching in any of the institutes/colleges/online or offline, Work as a freelancer and do my thing my way, An Artificial Intelligence Specialist / Talking to Robots, Manufacturing / Oil and Gas/ Construction / Hard Physical Work related")</f>
        <v>Teaching in any of the institutes/colleges/online or offline, Work as a freelancer and do my thing my way, An Artificial Intelligence Specialist / Talking to Robots, Manufacturing / Oil and Gas/ Construction / Hard Physical Work related</v>
      </c>
      <c r="O607" s="1" t="str">
        <f ca="1">IFERROR(__xludf.DUMMYFUNCTION("""COMPUTED_VALUE"""),"Manager who explains what is expected, sets a goal and helps achieve it")</f>
        <v>Manager who explains what is expected, sets a goal and helps achieve it</v>
      </c>
      <c r="P607"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07" s="1"/>
    </row>
    <row r="608" spans="1:17" ht="13.2" x14ac:dyDescent="0.25">
      <c r="A608" s="2">
        <f ca="1">IFERROR(__xludf.DUMMYFUNCTION("""COMPUTED_VALUE"""),45021.7882577777)</f>
        <v>45021.788257777698</v>
      </c>
      <c r="B608" s="1" t="str">
        <f ca="1">IFERROR(__xludf.DUMMYFUNCTION("""COMPUTED_VALUE"""),"India")</f>
        <v>India</v>
      </c>
      <c r="C608" s="1">
        <f ca="1">IFERROR(__xludf.DUMMYFUNCTION("""COMPUTED_VALUE"""),620102)</f>
        <v>620102</v>
      </c>
      <c r="D608" s="3" t="str">
        <f ca="1">IFERROR(__xludf.DUMMYFUNCTION("""COMPUTED_VALUE"""),"Female")</f>
        <v>Female</v>
      </c>
      <c r="E608" s="1" t="str">
        <f ca="1">IFERROR(__xludf.DUMMYFUNCTION("""COMPUTED_VALUE"""),"My Parents")</f>
        <v>My Parents</v>
      </c>
      <c r="F608" s="1" t="str">
        <f ca="1">IFERROR(__xludf.DUMMYFUNCTION("""COMPUTED_VALUE"""),"Yes, I will earn and do that")</f>
        <v>Yes, I will earn and do that</v>
      </c>
      <c r="G608" s="1" t="str">
        <f ca="1">IFERROR(__xludf.DUMMYFUNCTION("""COMPUTED_VALUE"""),"This will be hard to do, but if it is the right company I would try")</f>
        <v>This will be hard to do, but if it is the right company I would try</v>
      </c>
      <c r="H608" s="1" t="str">
        <f ca="1">IFERROR(__xludf.DUMMYFUNCTION("""COMPUTED_VALUE"""),"No")</f>
        <v>No</v>
      </c>
      <c r="I608" s="1" t="str">
        <f ca="1">IFERROR(__xludf.DUMMYFUNCTION("""COMPUTED_VALUE"""),"Will NOT work for them")</f>
        <v>Will NOT work for them</v>
      </c>
      <c r="J608" s="1">
        <f ca="1">IFERROR(__xludf.DUMMYFUNCTION("""COMPUTED_VALUE"""),3)</f>
        <v>3</v>
      </c>
      <c r="K608" s="1" t="str">
        <f ca="1">IFERROR(__xludf.DUMMYFUNCTION("""COMPUTED_VALUE"""),"Every Day Office Environment")</f>
        <v>Every Day Office Environment</v>
      </c>
      <c r="L608" s="1" t="str">
        <f ca="1">IFERROR(__xludf.DUMMYFUNCTION("""COMPUTED_VALUE"""),"Employer who rewards learning and enables that environment")</f>
        <v>Employer who rewards learning and enables that environment</v>
      </c>
      <c r="M6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0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8" s="1" t="str">
        <f ca="1">IFERROR(__xludf.DUMMYFUNCTION("""COMPUTED_VALUE"""),"Manager who sets goal and helps me achieve it")</f>
        <v>Manager who sets goal and helps me achieve it</v>
      </c>
      <c r="P608" s="1" t="str">
        <f ca="1">IFERROR(__xludf.DUMMYFUNCTION("""COMPUTED_VALUE"""),"Work with 5 to 6 people in my team")</f>
        <v>Work with 5 to 6 people in my team</v>
      </c>
      <c r="Q608" s="1"/>
    </row>
    <row r="609" spans="1:17" ht="13.2" x14ac:dyDescent="0.25">
      <c r="A609" s="2">
        <f ca="1">IFERROR(__xludf.DUMMYFUNCTION("""COMPUTED_VALUE"""),45021.7921780439)</f>
        <v>45021.792178043899</v>
      </c>
      <c r="B609" s="1" t="str">
        <f ca="1">IFERROR(__xludf.DUMMYFUNCTION("""COMPUTED_VALUE"""),"India")</f>
        <v>India</v>
      </c>
      <c r="C609" s="1">
        <f ca="1">IFERROR(__xludf.DUMMYFUNCTION("""COMPUTED_VALUE"""),560037)</f>
        <v>560037</v>
      </c>
      <c r="D609" s="3" t="str">
        <f ca="1">IFERROR(__xludf.DUMMYFUNCTION("""COMPUTED_VALUE"""),"Male")</f>
        <v>Male</v>
      </c>
      <c r="E609" s="1" t="str">
        <f ca="1">IFERROR(__xludf.DUMMYFUNCTION("""COMPUTED_VALUE"""),"My Parents")</f>
        <v>My Parents</v>
      </c>
      <c r="F609" s="1" t="str">
        <f ca="1">IFERROR(__xludf.DUMMYFUNCTION("""COMPUTED_VALUE"""),"Yes, I will earn and do that")</f>
        <v>Yes, I will earn and do that</v>
      </c>
      <c r="G609" s="1" t="str">
        <f ca="1">IFERROR(__xludf.DUMMYFUNCTION("""COMPUTED_VALUE"""),"This will be hard to do, but if it is the right company I would try")</f>
        <v>This will be hard to do, but if it is the right company I would try</v>
      </c>
      <c r="H609" s="1" t="str">
        <f ca="1">IFERROR(__xludf.DUMMYFUNCTION("""COMPUTED_VALUE"""),"No")</f>
        <v>No</v>
      </c>
      <c r="I609" s="1" t="str">
        <f ca="1">IFERROR(__xludf.DUMMYFUNCTION("""COMPUTED_VALUE"""),"Will NOT work for them")</f>
        <v>Will NOT work for them</v>
      </c>
      <c r="J609" s="1">
        <f ca="1">IFERROR(__xludf.DUMMYFUNCTION("""COMPUTED_VALUE"""),1)</f>
        <v>1</v>
      </c>
      <c r="K609" s="1" t="str">
        <f ca="1">IFERROR(__xludf.DUMMYFUNCTION("""COMPUTED_VALUE"""),"Hybrid Working Environment with more than 15 days a month at office")</f>
        <v>Hybrid Working Environment with more than 15 days a month at office</v>
      </c>
      <c r="L609" s="1" t="str">
        <f ca="1">IFERROR(__xludf.DUMMYFUNCTION("""COMPUTED_VALUE"""),"Employer who appreciates learning and enables that environment")</f>
        <v>Employer who appreciates learning and enables that environment</v>
      </c>
      <c r="M609" s="1" t="str">
        <f ca="1">IFERROR(__xludf.DUMMYFUNCTION("""COMPUTED_VALUE"""),"Self Paced Learning Portals of the Company, Instructor or Expert Learning Programs, Manager Teaching you")</f>
        <v>Self Paced Learning Portals of the Company, Instructor or Expert Learning Programs, Manager Teaching you</v>
      </c>
      <c r="N609"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609" s="1" t="str">
        <f ca="1">IFERROR(__xludf.DUMMYFUNCTION("""COMPUTED_VALUE"""),"Manager who clearly describes what she/he needs")</f>
        <v>Manager who clearly describes what she/he needs</v>
      </c>
      <c r="P609" s="1" t="str">
        <f ca="1">IFERROR(__xludf.DUMMYFUNCTION("""COMPUTED_VALUE"""),"Work alone, Work with 2 to 3 people in my team, Work with 5 to 6 people in my team")</f>
        <v>Work alone, Work with 2 to 3 people in my team, Work with 5 to 6 people in my team</v>
      </c>
      <c r="Q609" s="1"/>
    </row>
    <row r="610" spans="1:17" ht="13.2" x14ac:dyDescent="0.25">
      <c r="A610" s="2">
        <f ca="1">IFERROR(__xludf.DUMMYFUNCTION("""COMPUTED_VALUE"""),45021.7929245601)</f>
        <v>45021.792924560097</v>
      </c>
      <c r="B610" s="1" t="str">
        <f ca="1">IFERROR(__xludf.DUMMYFUNCTION("""COMPUTED_VALUE"""),"India")</f>
        <v>India</v>
      </c>
      <c r="C610" s="1">
        <f ca="1">IFERROR(__xludf.DUMMYFUNCTION("""COMPUTED_VALUE"""),400053)</f>
        <v>400053</v>
      </c>
      <c r="D610" s="3" t="str">
        <f ca="1">IFERROR(__xludf.DUMMYFUNCTION("""COMPUTED_VALUE"""),"Female")</f>
        <v>Female</v>
      </c>
      <c r="E610" s="1" t="str">
        <f ca="1">IFERROR(__xludf.DUMMYFUNCTION("""COMPUTED_VALUE"""),"My Parents")</f>
        <v>My Parents</v>
      </c>
      <c r="F610" s="1" t="str">
        <f ca="1">IFERROR(__xludf.DUMMYFUNCTION("""COMPUTED_VALUE"""),"No I would not be pursuing Higher Education outside of India")</f>
        <v>No I would not be pursuing Higher Education outside of India</v>
      </c>
      <c r="G610" s="1" t="str">
        <f ca="1">IFERROR(__xludf.DUMMYFUNCTION("""COMPUTED_VALUE"""),"This will be hard to do, but if it is the right company I would try")</f>
        <v>This will be hard to do, but if it is the right company I would try</v>
      </c>
      <c r="H610" s="1" t="str">
        <f ca="1">IFERROR(__xludf.DUMMYFUNCTION("""COMPUTED_VALUE"""),"No")</f>
        <v>No</v>
      </c>
      <c r="I610" s="1" t="str">
        <f ca="1">IFERROR(__xludf.DUMMYFUNCTION("""COMPUTED_VALUE"""),"Will NOT work for them")</f>
        <v>Will NOT work for them</v>
      </c>
      <c r="J610" s="1">
        <f ca="1">IFERROR(__xludf.DUMMYFUNCTION("""COMPUTED_VALUE"""),3)</f>
        <v>3</v>
      </c>
      <c r="K610" s="1" t="str">
        <f ca="1">IFERROR(__xludf.DUMMYFUNCTION("""COMPUTED_VALUE"""),"Every Day Office Environment")</f>
        <v>Every Day Office Environment</v>
      </c>
      <c r="L610" s="1" t="str">
        <f ca="1">IFERROR(__xludf.DUMMYFUNCTION("""COMPUTED_VALUE"""),"Employer who appreciates learning and enables that environment")</f>
        <v>Employer who appreciates learning and enables that environment</v>
      </c>
      <c r="M610" s="1" t="str">
        <f ca="1">IFERROR(__xludf.DUMMYFUNCTION("""COMPUTED_VALUE"""),"Self Paced Learning Portals of the Company, Learning by observing others, Manager Teaching you")</f>
        <v>Self Paced Learning Portals of the Company, Learning by observing others, Manager Teaching you</v>
      </c>
      <c r="N610" s="1" t="str">
        <f ca="1">IFERROR(__xludf.DUMMYFUNCTION("""COMPUTED_VALUE"""),"Teaching in any of the institutes/colleges/online or offline, Design and Develop amazing software, Work as a freelancer and do my thing my way, An Artificial Intelligence Specialist / Talking to Robots")</f>
        <v>Teaching in any of the institutes/colleges/online or offline, Design and Develop amazing software, Work as a freelancer and do my thing my way, An Artificial Intelligence Specialist / Talking to Robots</v>
      </c>
      <c r="O610" s="1" t="str">
        <f ca="1">IFERROR(__xludf.DUMMYFUNCTION("""COMPUTED_VALUE"""),"Manager who clearly describes what she/he needs")</f>
        <v>Manager who clearly describes what she/he needs</v>
      </c>
      <c r="P610" s="1" t="str">
        <f ca="1">IFERROR(__xludf.DUMMYFUNCTION("""COMPUTED_VALUE"""),"Work with 2 to 3 people in my team")</f>
        <v>Work with 2 to 3 people in my team</v>
      </c>
      <c r="Q610" s="1"/>
    </row>
    <row r="611" spans="1:17" ht="13.2" x14ac:dyDescent="0.25">
      <c r="A611" s="2">
        <f ca="1">IFERROR(__xludf.DUMMYFUNCTION("""COMPUTED_VALUE"""),45021.7952244907)</f>
        <v>45021.795224490699</v>
      </c>
      <c r="B611" s="1" t="str">
        <f ca="1">IFERROR(__xludf.DUMMYFUNCTION("""COMPUTED_VALUE"""),"India")</f>
        <v>India</v>
      </c>
      <c r="C611" s="1">
        <f ca="1">IFERROR(__xludf.DUMMYFUNCTION("""COMPUTED_VALUE"""),620002)</f>
        <v>620002</v>
      </c>
      <c r="D611" s="3" t="str">
        <f ca="1">IFERROR(__xludf.DUMMYFUNCTION("""COMPUTED_VALUE"""),"Female")</f>
        <v>Female</v>
      </c>
      <c r="E611" s="1" t="str">
        <f ca="1">IFERROR(__xludf.DUMMYFUNCTION("""COMPUTED_VALUE"""),"People who have changed the world for better")</f>
        <v>People who have changed the world for better</v>
      </c>
      <c r="F611" s="1" t="str">
        <f ca="1">IFERROR(__xludf.DUMMYFUNCTION("""COMPUTED_VALUE"""),"Yes, I will earn and do that")</f>
        <v>Yes, I will earn and do that</v>
      </c>
      <c r="G611" s="1" t="str">
        <f ca="1">IFERROR(__xludf.DUMMYFUNCTION("""COMPUTED_VALUE"""),"This will be hard to do, but if it is the right company I would try")</f>
        <v>This will be hard to do, but if it is the right company I would try</v>
      </c>
      <c r="H611" s="1" t="str">
        <f ca="1">IFERROR(__xludf.DUMMYFUNCTION("""COMPUTED_VALUE"""),"No")</f>
        <v>No</v>
      </c>
      <c r="I611" s="1" t="str">
        <f ca="1">IFERROR(__xludf.DUMMYFUNCTION("""COMPUTED_VALUE"""),"Will NOT work for them")</f>
        <v>Will NOT work for them</v>
      </c>
      <c r="J611" s="1">
        <f ca="1">IFERROR(__xludf.DUMMYFUNCTION("""COMPUTED_VALUE"""),5)</f>
        <v>5</v>
      </c>
      <c r="K611" s="1" t="str">
        <f ca="1">IFERROR(__xludf.DUMMYFUNCTION("""COMPUTED_VALUE"""),"Fully Remote with Options to travel as and when needed")</f>
        <v>Fully Remote with Options to travel as and when needed</v>
      </c>
      <c r="L611" s="1" t="str">
        <f ca="1">IFERROR(__xludf.DUMMYFUNCTION("""COMPUTED_VALUE"""),"Employer who pushes your limits by enabling an learning environment, and rewards you at the end")</f>
        <v>Employer who pushes your limits by enabling an learning environment, and rewards you at the end</v>
      </c>
      <c r="M611" s="1" t="str">
        <f ca="1">IFERROR(__xludf.DUMMYFUNCTION("""COMPUTED_VALUE"""),"Instructor or Expert Learning Programs, Learning by observing others, Manager Teaching you")</f>
        <v>Instructor or Expert Learning Programs, Learning by observing others, Manager Teaching you</v>
      </c>
      <c r="N611"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611" s="1" t="str">
        <f ca="1">IFERROR(__xludf.DUMMYFUNCTION("""COMPUTED_VALUE"""),"Manager who explains what is expected, sets a goal and helps achieve it")</f>
        <v>Manager who explains what is expected, sets a goal and helps achieve it</v>
      </c>
      <c r="P611" s="1" t="str">
        <f ca="1">IFERROR(__xludf.DUMMYFUNCTION("""COMPUTED_VALUE"""),"Work with 2 to 3 people in my team")</f>
        <v>Work with 2 to 3 people in my team</v>
      </c>
      <c r="Q611" s="1"/>
    </row>
    <row r="612" spans="1:17" ht="13.2" x14ac:dyDescent="0.25">
      <c r="A612" s="2">
        <f ca="1">IFERROR(__xludf.DUMMYFUNCTION("""COMPUTED_VALUE"""),45021.8012009953)</f>
        <v>45021.801200995302</v>
      </c>
      <c r="B612" s="1" t="str">
        <f ca="1">IFERROR(__xludf.DUMMYFUNCTION("""COMPUTED_VALUE"""),"India")</f>
        <v>India</v>
      </c>
      <c r="C612" s="1">
        <f ca="1">IFERROR(__xludf.DUMMYFUNCTION("""COMPUTED_VALUE"""),711102)</f>
        <v>711102</v>
      </c>
      <c r="D612" s="3" t="str">
        <f ca="1">IFERROR(__xludf.DUMMYFUNCTION("""COMPUTED_VALUE"""),"Male")</f>
        <v>Male</v>
      </c>
      <c r="E612" s="1" t="str">
        <f ca="1">IFERROR(__xludf.DUMMYFUNCTION("""COMPUTED_VALUE"""),"People who have changed the world for better")</f>
        <v>People who have changed the world for better</v>
      </c>
      <c r="F612" s="1" t="str">
        <f ca="1">IFERROR(__xludf.DUMMYFUNCTION("""COMPUTED_VALUE"""),"No I would not be pursuing Higher Education outside of India")</f>
        <v>No I would not be pursuing Higher Education outside of India</v>
      </c>
      <c r="G612" s="1" t="str">
        <f ca="1">IFERROR(__xludf.DUMMYFUNCTION("""COMPUTED_VALUE"""),"This will be hard to do, but if it is the right company I would try")</f>
        <v>This will be hard to do, but if it is the right company I would try</v>
      </c>
      <c r="H612" s="1" t="str">
        <f ca="1">IFERROR(__xludf.DUMMYFUNCTION("""COMPUTED_VALUE"""),"No")</f>
        <v>No</v>
      </c>
      <c r="I612" s="1" t="str">
        <f ca="1">IFERROR(__xludf.DUMMYFUNCTION("""COMPUTED_VALUE"""),"Will NOT work for them")</f>
        <v>Will NOT work for them</v>
      </c>
      <c r="J612" s="1">
        <f ca="1">IFERROR(__xludf.DUMMYFUNCTION("""COMPUTED_VALUE"""),10)</f>
        <v>10</v>
      </c>
      <c r="K612" s="1" t="str">
        <f ca="1">IFERROR(__xludf.DUMMYFUNCTION("""COMPUTED_VALUE"""),"Fully Remote with Options to travel as and when needed")</f>
        <v>Fully Remote with Options to travel as and when needed</v>
      </c>
      <c r="L612" s="1" t="str">
        <f ca="1">IFERROR(__xludf.DUMMYFUNCTION("""COMPUTED_VALUE"""),"Employer who pushes your limits by enabling an learning environment, and rewards you at the end")</f>
        <v>Employer who pushes your limits by enabling an learning environment, and rewards you at the end</v>
      </c>
      <c r="M61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1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2" s="1" t="str">
        <f ca="1">IFERROR(__xludf.DUMMYFUNCTION("""COMPUTED_VALUE"""),"Manager who explains what is expected, sets a goal and helps achieve it")</f>
        <v>Manager who explains what is expected, sets a goal and helps achieve it</v>
      </c>
      <c r="P612" s="1" t="str">
        <f ca="1">IFERROR(__xludf.DUMMYFUNCTION("""COMPUTED_VALUE"""),"Work with 5 to 6 people in my team, Work with 7 to 10 or more people in my team")</f>
        <v>Work with 5 to 6 people in my team, Work with 7 to 10 or more people in my team</v>
      </c>
      <c r="Q612" s="1"/>
    </row>
    <row r="613" spans="1:17" ht="13.2" x14ac:dyDescent="0.25">
      <c r="A613" s="2">
        <f ca="1">IFERROR(__xludf.DUMMYFUNCTION("""COMPUTED_VALUE"""),45021.8030368171)</f>
        <v>45021.803036817102</v>
      </c>
      <c r="B613" s="1" t="str">
        <f ca="1">IFERROR(__xludf.DUMMYFUNCTION("""COMPUTED_VALUE"""),"India")</f>
        <v>India</v>
      </c>
      <c r="C613" s="1">
        <f ca="1">IFERROR(__xludf.DUMMYFUNCTION("""COMPUTED_VALUE"""),520015)</f>
        <v>520015</v>
      </c>
      <c r="D613" s="3" t="str">
        <f ca="1">IFERROR(__xludf.DUMMYFUNCTION("""COMPUTED_VALUE"""),"Female")</f>
        <v>Female</v>
      </c>
      <c r="E613" s="1" t="str">
        <f ca="1">IFERROR(__xludf.DUMMYFUNCTION("""COMPUTED_VALUE"""),"Influencers who had successful careers")</f>
        <v>Influencers who had successful careers</v>
      </c>
      <c r="F613" s="1" t="str">
        <f ca="1">IFERROR(__xludf.DUMMYFUNCTION("""COMPUTED_VALUE"""),"Yes, I will earn and do that")</f>
        <v>Yes, I will earn and do that</v>
      </c>
      <c r="G613" s="1" t="str">
        <f ca="1">IFERROR(__xludf.DUMMYFUNCTION("""COMPUTED_VALUE"""),"Will work for 3 years or more")</f>
        <v>Will work for 3 years or more</v>
      </c>
      <c r="H613" s="1" t="str">
        <f ca="1">IFERROR(__xludf.DUMMYFUNCTION("""COMPUTED_VALUE"""),"No")</f>
        <v>No</v>
      </c>
      <c r="I613" s="1" t="str">
        <f ca="1">IFERROR(__xludf.DUMMYFUNCTION("""COMPUTED_VALUE"""),"Will NOT work for them")</f>
        <v>Will NOT work for them</v>
      </c>
      <c r="J613" s="1">
        <f ca="1">IFERROR(__xludf.DUMMYFUNCTION("""COMPUTED_VALUE"""),4)</f>
        <v>4</v>
      </c>
      <c r="K613" s="1" t="str">
        <f ca="1">IFERROR(__xludf.DUMMYFUNCTION("""COMPUTED_VALUE"""),"Hybrid Working Environment with less than 3 days a month at office")</f>
        <v>Hybrid Working Environment with less than 3 days a month at office</v>
      </c>
      <c r="L613" s="1" t="str">
        <f ca="1">IFERROR(__xludf.DUMMYFUNCTION("""COMPUTED_VALUE"""),"Employer who appreciates learning and enables that environment")</f>
        <v>Employer who appreciates learning and enables that environment</v>
      </c>
      <c r="M613" s="1" t="str">
        <f ca="1">IFERROR(__xludf.DUMMYFUNCTION("""COMPUTED_VALUE"""),"Self Paced Learning Portals of the Company, Instructor or Expert Learning Programs, Manager Teaching you")</f>
        <v>Self Paced Learning Portals of the Company, Instructor or Expert Learning Programs, Manager Teaching you</v>
      </c>
      <c r="N613" s="1" t="str">
        <f ca="1">IFERROR(__xludf.DUMMYFUNCTION("""COMPUTED_VALUE"""),"Business Operations in any organization, Manage and drive End-to-End Projects or Products, Build and develop a Team, An Artificial Intelligence Specialist / Talking to Robots")</f>
        <v>Business Operations in any organization, Manage and drive End-to-End Projects or Products, Build and develop a Team, An Artificial Intelligence Specialist / Talking to Robots</v>
      </c>
      <c r="O613" s="1" t="str">
        <f ca="1">IFERROR(__xludf.DUMMYFUNCTION("""COMPUTED_VALUE"""),"Manager who explains what is expected, sets a goal and helps achieve it")</f>
        <v>Manager who explains what is expected, sets a goal and helps achieve it</v>
      </c>
      <c r="P613" s="1" t="str">
        <f ca="1">IFERROR(__xludf.DUMMYFUNCTION("""COMPUTED_VALUE"""),"Work with 5 to 6 people in my team")</f>
        <v>Work with 5 to 6 people in my team</v>
      </c>
      <c r="Q613" s="1"/>
    </row>
    <row r="614" spans="1:17" ht="13.2" x14ac:dyDescent="0.25">
      <c r="A614" s="2">
        <f ca="1">IFERROR(__xludf.DUMMYFUNCTION("""COMPUTED_VALUE"""),45021.8051370138)</f>
        <v>45021.805137013798</v>
      </c>
      <c r="B614" s="1" t="str">
        <f ca="1">IFERROR(__xludf.DUMMYFUNCTION("""COMPUTED_VALUE"""),"India")</f>
        <v>India</v>
      </c>
      <c r="C614" s="1">
        <f ca="1">IFERROR(__xludf.DUMMYFUNCTION("""COMPUTED_VALUE"""),607104)</f>
        <v>607104</v>
      </c>
      <c r="D614" s="3" t="str">
        <f ca="1">IFERROR(__xludf.DUMMYFUNCTION("""COMPUTED_VALUE"""),"Male")</f>
        <v>Male</v>
      </c>
      <c r="E614" s="1" t="str">
        <f ca="1">IFERROR(__xludf.DUMMYFUNCTION("""COMPUTED_VALUE"""),"Influencers who had successful careers")</f>
        <v>Influencers who had successful careers</v>
      </c>
      <c r="F614" s="1" t="str">
        <f ca="1">IFERROR(__xludf.DUMMYFUNCTION("""COMPUTED_VALUE"""),"No, But if someone could bare the cost I will")</f>
        <v>No, But if someone could bare the cost I will</v>
      </c>
      <c r="G614" s="1" t="str">
        <f ca="1">IFERROR(__xludf.DUMMYFUNCTION("""COMPUTED_VALUE"""),"This will be hard to do, but if it is the right company I would try")</f>
        <v>This will be hard to do, but if it is the right company I would try</v>
      </c>
      <c r="H614" s="1" t="str">
        <f ca="1">IFERROR(__xludf.DUMMYFUNCTION("""COMPUTED_VALUE"""),"No")</f>
        <v>No</v>
      </c>
      <c r="I614" s="1" t="str">
        <f ca="1">IFERROR(__xludf.DUMMYFUNCTION("""COMPUTED_VALUE"""),"Will NOT work for them")</f>
        <v>Will NOT work for them</v>
      </c>
      <c r="J614" s="1">
        <f ca="1">IFERROR(__xludf.DUMMYFUNCTION("""COMPUTED_VALUE"""),8)</f>
        <v>8</v>
      </c>
      <c r="K614" s="1" t="str">
        <f ca="1">IFERROR(__xludf.DUMMYFUNCTION("""COMPUTED_VALUE"""),"Hybrid Working Environment with less than 3 days a month at office")</f>
        <v>Hybrid Working Environment with less than 3 days a month at office</v>
      </c>
      <c r="L614" s="1" t="str">
        <f ca="1">IFERROR(__xludf.DUMMYFUNCTION("""COMPUTED_VALUE"""),"Employer who appreciates learning and enables that environment")</f>
        <v>Employer who appreciates learning and enables that environment</v>
      </c>
      <c r="M614" s="1" t="str">
        <f ca="1">IFERROR(__xludf.DUMMYFUNCTION("""COMPUTED_VALUE"""),"Instructor or Expert Learning Programs, Self Purchased Course from External Platforms, Manager Teaching you")</f>
        <v>Instructor or Expert Learning Programs, Self Purchased Course from External Platforms, Manager Teaching you</v>
      </c>
      <c r="N614"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614" s="1" t="str">
        <f ca="1">IFERROR(__xludf.DUMMYFUNCTION("""COMPUTED_VALUE"""),"Manager who explains what is expected, sets a goal and helps achieve it")</f>
        <v>Manager who explains what is expected, sets a goal and helps achieve it</v>
      </c>
      <c r="P614" s="1" t="str">
        <f ca="1">IFERROR(__xludf.DUMMYFUNCTION("""COMPUTED_VALUE"""),"Work with 5 to 6 people in my team")</f>
        <v>Work with 5 to 6 people in my team</v>
      </c>
      <c r="Q614" s="1"/>
    </row>
    <row r="615" spans="1:17" ht="13.2" x14ac:dyDescent="0.25">
      <c r="A615" s="2">
        <f ca="1">IFERROR(__xludf.DUMMYFUNCTION("""COMPUTED_VALUE"""),45021.8058449189)</f>
        <v>45021.805844918897</v>
      </c>
      <c r="B615" s="1" t="str">
        <f ca="1">IFERROR(__xludf.DUMMYFUNCTION("""COMPUTED_VALUE"""),"India")</f>
        <v>India</v>
      </c>
      <c r="C615" s="1">
        <f ca="1">IFERROR(__xludf.DUMMYFUNCTION("""COMPUTED_VALUE"""),842002)</f>
        <v>842002</v>
      </c>
      <c r="D615" s="3" t="str">
        <f ca="1">IFERROR(__xludf.DUMMYFUNCTION("""COMPUTED_VALUE"""),"Female")</f>
        <v>Female</v>
      </c>
      <c r="E615" s="1" t="str">
        <f ca="1">IFERROR(__xludf.DUMMYFUNCTION("""COMPUTED_VALUE"""),"People who have changed the world for better")</f>
        <v>People who have changed the world for better</v>
      </c>
      <c r="F615" s="1" t="str">
        <f ca="1">IFERROR(__xludf.DUMMYFUNCTION("""COMPUTED_VALUE"""),"No, But if someone could bare the cost I will")</f>
        <v>No, But if someone could bare the cost I will</v>
      </c>
      <c r="G615" s="1" t="str">
        <f ca="1">IFERROR(__xludf.DUMMYFUNCTION("""COMPUTED_VALUE"""),"This will be hard to do, but if it is the right company I would try")</f>
        <v>This will be hard to do, but if it is the right company I would try</v>
      </c>
      <c r="H615" s="1" t="str">
        <f ca="1">IFERROR(__xludf.DUMMYFUNCTION("""COMPUTED_VALUE"""),"No")</f>
        <v>No</v>
      </c>
      <c r="I615" s="1" t="str">
        <f ca="1">IFERROR(__xludf.DUMMYFUNCTION("""COMPUTED_VALUE"""),"Will NOT work for them")</f>
        <v>Will NOT work for them</v>
      </c>
      <c r="J615" s="1">
        <f ca="1">IFERROR(__xludf.DUMMYFUNCTION("""COMPUTED_VALUE"""),5)</f>
        <v>5</v>
      </c>
      <c r="K615" s="1" t="str">
        <f ca="1">IFERROR(__xludf.DUMMYFUNCTION("""COMPUTED_VALUE"""),"Hybrid Working Environment with more than 15 days a month at office")</f>
        <v>Hybrid Working Environment with more than 15 days a month at office</v>
      </c>
      <c r="L615" s="1" t="str">
        <f ca="1">IFERROR(__xludf.DUMMYFUNCTION("""COMPUTED_VALUE"""),"Employer who rewards learning and enables that environment")</f>
        <v>Employer who rewards learning and enables that environment</v>
      </c>
      <c r="M6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15"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615" s="1" t="str">
        <f ca="1">IFERROR(__xludf.DUMMYFUNCTION("""COMPUTED_VALUE"""),"Manager who sets goal and helps me achieve it")</f>
        <v>Manager who sets goal and helps me achieve it</v>
      </c>
      <c r="P615" s="1" t="str">
        <f ca="1">IFERROR(__xludf.DUMMYFUNCTION("""COMPUTED_VALUE"""),"Work with 2 to 3 people in my team, Work with 5 to 6 people in my team")</f>
        <v>Work with 2 to 3 people in my team, Work with 5 to 6 people in my team</v>
      </c>
      <c r="Q615" s="1"/>
    </row>
    <row r="616" spans="1:17" ht="13.2" x14ac:dyDescent="0.25">
      <c r="A616" s="2">
        <f ca="1">IFERROR(__xludf.DUMMYFUNCTION("""COMPUTED_VALUE"""),45021.8068657986)</f>
        <v>45021.8068657986</v>
      </c>
      <c r="B616" s="1" t="str">
        <f ca="1">IFERROR(__xludf.DUMMYFUNCTION("""COMPUTED_VALUE"""),"India")</f>
        <v>India</v>
      </c>
      <c r="C616" s="1">
        <f ca="1">IFERROR(__xludf.DUMMYFUNCTION("""COMPUTED_VALUE"""),517501)</f>
        <v>517501</v>
      </c>
      <c r="D616" s="3" t="str">
        <f ca="1">IFERROR(__xludf.DUMMYFUNCTION("""COMPUTED_VALUE"""),"Male")</f>
        <v>Male</v>
      </c>
      <c r="E616" s="1" t="str">
        <f ca="1">IFERROR(__xludf.DUMMYFUNCTION("""COMPUTED_VALUE"""),"People who have changed the world for better")</f>
        <v>People who have changed the world for better</v>
      </c>
      <c r="F616" s="1" t="str">
        <f ca="1">IFERROR(__xludf.DUMMYFUNCTION("""COMPUTED_VALUE"""),"Yes, I will earn and do that")</f>
        <v>Yes, I will earn and do that</v>
      </c>
      <c r="G616" s="1" t="str">
        <f ca="1">IFERROR(__xludf.DUMMYFUNCTION("""COMPUTED_VALUE"""),"This will be hard to do, but if it is the right company I would try")</f>
        <v>This will be hard to do, but if it is the right company I would try</v>
      </c>
      <c r="H616" s="1" t="str">
        <f ca="1">IFERROR(__xludf.DUMMYFUNCTION("""COMPUTED_VALUE"""),"No")</f>
        <v>No</v>
      </c>
      <c r="I616" s="1" t="str">
        <f ca="1">IFERROR(__xludf.DUMMYFUNCTION("""COMPUTED_VALUE"""),"Will NOT work for them")</f>
        <v>Will NOT work for them</v>
      </c>
      <c r="J616" s="1">
        <f ca="1">IFERROR(__xludf.DUMMYFUNCTION("""COMPUTED_VALUE"""),4)</f>
        <v>4</v>
      </c>
      <c r="K616" s="1" t="str">
        <f ca="1">IFERROR(__xludf.DUMMYFUNCTION("""COMPUTED_VALUE"""),"Hybrid Working Environment with less than 3 days a month at office")</f>
        <v>Hybrid Working Environment with less than 3 days a month at office</v>
      </c>
      <c r="L616" s="1" t="str">
        <f ca="1">IFERROR(__xludf.DUMMYFUNCTION("""COMPUTED_VALUE"""),"Employer who appreciates learning and enables that environment")</f>
        <v>Employer who appreciates learning and enables that environment</v>
      </c>
      <c r="M6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16" s="1" t="str">
        <f ca="1">IFERROR(__xludf.DUMMYFUNCTION("""COMPUTED_VALUE"""),"Manager who clearly describes what she/he needs")</f>
        <v>Manager who clearly describes what she/he needs</v>
      </c>
      <c r="P616" s="1" t="str">
        <f ca="1">IFERROR(__xludf.DUMMYFUNCTION("""COMPUTED_VALUE"""),"Work with 2 to 3 people in my team")</f>
        <v>Work with 2 to 3 people in my team</v>
      </c>
      <c r="Q616" s="1"/>
    </row>
    <row r="617" spans="1:17" ht="13.2" x14ac:dyDescent="0.25">
      <c r="A617" s="2">
        <f ca="1">IFERROR(__xludf.DUMMYFUNCTION("""COMPUTED_VALUE"""),45021.8070285879)</f>
        <v>45021.8070285879</v>
      </c>
      <c r="B617" s="1" t="str">
        <f ca="1">IFERROR(__xludf.DUMMYFUNCTION("""COMPUTED_VALUE"""),"India")</f>
        <v>India</v>
      </c>
      <c r="C617" s="1">
        <f ca="1">IFERROR(__xludf.DUMMYFUNCTION("""COMPUTED_VALUE"""),208027)</f>
        <v>208027</v>
      </c>
      <c r="D617" s="3" t="str">
        <f ca="1">IFERROR(__xludf.DUMMYFUNCTION("""COMPUTED_VALUE"""),"Male")</f>
        <v>Male</v>
      </c>
      <c r="E617" s="1" t="str">
        <f ca="1">IFERROR(__xludf.DUMMYFUNCTION("""COMPUTED_VALUE"""),"Influencers who had successful careers")</f>
        <v>Influencers who had successful careers</v>
      </c>
      <c r="F617" s="1" t="str">
        <f ca="1">IFERROR(__xludf.DUMMYFUNCTION("""COMPUTED_VALUE"""),"Yes, I will earn and do that")</f>
        <v>Yes, I will earn and do that</v>
      </c>
      <c r="G617" s="1" t="str">
        <f ca="1">IFERROR(__xludf.DUMMYFUNCTION("""COMPUTED_VALUE"""),"This will be hard to do, but if it is the right company I would try")</f>
        <v>This will be hard to do, but if it is the right company I would try</v>
      </c>
      <c r="H617" s="1" t="str">
        <f ca="1">IFERROR(__xludf.DUMMYFUNCTION("""COMPUTED_VALUE"""),"No")</f>
        <v>No</v>
      </c>
      <c r="I617" s="1" t="str">
        <f ca="1">IFERROR(__xludf.DUMMYFUNCTION("""COMPUTED_VALUE"""),"Will NOT work for them")</f>
        <v>Will NOT work for them</v>
      </c>
      <c r="J617" s="1">
        <f ca="1">IFERROR(__xludf.DUMMYFUNCTION("""COMPUTED_VALUE"""),5)</f>
        <v>5</v>
      </c>
      <c r="K617" s="1" t="str">
        <f ca="1">IFERROR(__xludf.DUMMYFUNCTION("""COMPUTED_VALUE"""),"Every Day Office Environment")</f>
        <v>Every Day Office Environment</v>
      </c>
      <c r="L617" s="1" t="str">
        <f ca="1">IFERROR(__xludf.DUMMYFUNCTION("""COMPUTED_VALUE"""),"Employer who pushes your limits by enabling an learning environment, and rewards you at the end")</f>
        <v>Employer who pushes your limits by enabling an learning environment, and rewards you at the end</v>
      </c>
      <c r="M6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7" s="1" t="str">
        <f ca="1">IFERROR(__xludf.DUMMYFUNCTION("""COMPUTED_VALUE"""),"Manager who sets goal and helps me achieve it")</f>
        <v>Manager who sets goal and helps me achieve it</v>
      </c>
      <c r="P617"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17" s="1"/>
    </row>
    <row r="618" spans="1:17" ht="13.2" x14ac:dyDescent="0.25">
      <c r="A618" s="2">
        <f ca="1">IFERROR(__xludf.DUMMYFUNCTION("""COMPUTED_VALUE"""),45021.8097598263)</f>
        <v>45021.809759826298</v>
      </c>
      <c r="B618" s="1" t="str">
        <f ca="1">IFERROR(__xludf.DUMMYFUNCTION("""COMPUTED_VALUE"""),"India")</f>
        <v>India</v>
      </c>
      <c r="C618" s="1">
        <f ca="1">IFERROR(__xludf.DUMMYFUNCTION("""COMPUTED_VALUE"""),400022)</f>
        <v>400022</v>
      </c>
      <c r="D618" s="3" t="str">
        <f ca="1">IFERROR(__xludf.DUMMYFUNCTION("""COMPUTED_VALUE"""),"Male")</f>
        <v>Male</v>
      </c>
      <c r="E618" s="1" t="str">
        <f ca="1">IFERROR(__xludf.DUMMYFUNCTION("""COMPUTED_VALUE"""),"People from my circle, but not family members")</f>
        <v>People from my circle, but not family members</v>
      </c>
      <c r="F618" s="1" t="str">
        <f ca="1">IFERROR(__xludf.DUMMYFUNCTION("""COMPUTED_VALUE"""),"No I would not be pursuing Higher Education outside of India")</f>
        <v>No I would not be pursuing Higher Education outside of India</v>
      </c>
      <c r="G618" s="1" t="str">
        <f ca="1">IFERROR(__xludf.DUMMYFUNCTION("""COMPUTED_VALUE"""),"No way")</f>
        <v>No way</v>
      </c>
      <c r="H618" s="1" t="str">
        <f ca="1">IFERROR(__xludf.DUMMYFUNCTION("""COMPUTED_VALUE"""),"Yes")</f>
        <v>Yes</v>
      </c>
      <c r="I618" s="1" t="str">
        <f ca="1">IFERROR(__xludf.DUMMYFUNCTION("""COMPUTED_VALUE"""),"Will work for them")</f>
        <v>Will work for them</v>
      </c>
      <c r="J618" s="1">
        <f ca="1">IFERROR(__xludf.DUMMYFUNCTION("""COMPUTED_VALUE"""),10)</f>
        <v>10</v>
      </c>
      <c r="K618" s="1" t="str">
        <f ca="1">IFERROR(__xludf.DUMMYFUNCTION("""COMPUTED_VALUE"""),"Hybrid Working Environment with less than 3 days a month at office")</f>
        <v>Hybrid Working Environment with less than 3 days a month at office</v>
      </c>
      <c r="L618" s="1" t="str">
        <f ca="1">IFERROR(__xludf.DUMMYFUNCTION("""COMPUTED_VALUE"""),"Employer who appreciates learning and enables that environment")</f>
        <v>Employer who appreciates learning and enables that environment</v>
      </c>
      <c r="M6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18"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618" s="1" t="str">
        <f ca="1">IFERROR(__xludf.DUMMYFUNCTION("""COMPUTED_VALUE"""),"Manager who clearly describes what she/he needs")</f>
        <v>Manager who clearly describes what she/he needs</v>
      </c>
      <c r="P618" s="1" t="str">
        <f ca="1">IFERROR(__xludf.DUMMYFUNCTION("""COMPUTED_VALUE"""),"Work with 2 to 3 people in my team")</f>
        <v>Work with 2 to 3 people in my team</v>
      </c>
      <c r="Q618" s="1"/>
    </row>
    <row r="619" spans="1:17" ht="13.2" x14ac:dyDescent="0.25">
      <c r="A619" s="2">
        <f ca="1">IFERROR(__xludf.DUMMYFUNCTION("""COMPUTED_VALUE"""),45021.8110687037)</f>
        <v>45021.811068703697</v>
      </c>
      <c r="B619" s="1" t="str">
        <f ca="1">IFERROR(__xludf.DUMMYFUNCTION("""COMPUTED_VALUE"""),"India")</f>
        <v>India</v>
      </c>
      <c r="C619" s="1">
        <f ca="1">IFERROR(__xludf.DUMMYFUNCTION("""COMPUTED_VALUE"""),522503)</f>
        <v>522503</v>
      </c>
      <c r="D619" s="3" t="str">
        <f ca="1">IFERROR(__xludf.DUMMYFUNCTION("""COMPUTED_VALUE"""),"Male")</f>
        <v>Male</v>
      </c>
      <c r="E619" s="1" t="str">
        <f ca="1">IFERROR(__xludf.DUMMYFUNCTION("""COMPUTED_VALUE"""),"My Parents")</f>
        <v>My Parents</v>
      </c>
      <c r="F619" s="1" t="str">
        <f ca="1">IFERROR(__xludf.DUMMYFUNCTION("""COMPUTED_VALUE"""),"No, But if someone could bare the cost I will")</f>
        <v>No, But if someone could bare the cost I will</v>
      </c>
      <c r="G619" s="1" t="str">
        <f ca="1">IFERROR(__xludf.DUMMYFUNCTION("""COMPUTED_VALUE"""),"This will be hard to do, but if it is the right company I would try")</f>
        <v>This will be hard to do, but if it is the right company I would try</v>
      </c>
      <c r="H619" s="1" t="str">
        <f ca="1">IFERROR(__xludf.DUMMYFUNCTION("""COMPUTED_VALUE"""),"No")</f>
        <v>No</v>
      </c>
      <c r="I619" s="1" t="str">
        <f ca="1">IFERROR(__xludf.DUMMYFUNCTION("""COMPUTED_VALUE"""),"Will NOT work for them")</f>
        <v>Will NOT work for them</v>
      </c>
      <c r="J619" s="1">
        <f ca="1">IFERROR(__xludf.DUMMYFUNCTION("""COMPUTED_VALUE"""),5)</f>
        <v>5</v>
      </c>
      <c r="K619" s="1" t="str">
        <f ca="1">IFERROR(__xludf.DUMMYFUNCTION("""COMPUTED_VALUE"""),"Fully Remote with No option to visit offices")</f>
        <v>Fully Remote with No option to visit offices</v>
      </c>
      <c r="L619" s="1" t="str">
        <f ca="1">IFERROR(__xludf.DUMMYFUNCTION("""COMPUTED_VALUE"""),"Employer who appreciates learning and enables that environment")</f>
        <v>Employer who appreciates learning and enables that environment</v>
      </c>
      <c r="M61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19" s="1" t="str">
        <f ca="1">IFERROR(__xludf.DUMMYFUNCTION("""COMPUTED_VALUE"""),"Design and Creative strategy in any company, Business Operations in any organization, Manage and drive End-to-End Projects or Products, An Artificial Intelligence Specialist / Talking to Robots")</f>
        <v>Design and Creative strategy in any company, Business Operations in any organization, Manage and drive End-to-End Projects or Products, An Artificial Intelligence Specialist / Talking to Robots</v>
      </c>
      <c r="O619" s="1" t="str">
        <f ca="1">IFERROR(__xludf.DUMMYFUNCTION("""COMPUTED_VALUE"""),"Manager who clearly describes what she/he needs")</f>
        <v>Manager who clearly describes what she/he needs</v>
      </c>
      <c r="P619" s="1" t="str">
        <f ca="1">IFERROR(__xludf.DUMMYFUNCTION("""COMPUTED_VALUE"""),"Work with 2 to 3 people in my team")</f>
        <v>Work with 2 to 3 people in my team</v>
      </c>
      <c r="Q619" s="1"/>
    </row>
    <row r="620" spans="1:17" ht="13.2" x14ac:dyDescent="0.25">
      <c r="A620" s="2">
        <f ca="1">IFERROR(__xludf.DUMMYFUNCTION("""COMPUTED_VALUE"""),45021.8118132291)</f>
        <v>45021.811813229098</v>
      </c>
      <c r="B620" s="1" t="str">
        <f ca="1">IFERROR(__xludf.DUMMYFUNCTION("""COMPUTED_VALUE"""),"India")</f>
        <v>India</v>
      </c>
      <c r="C620" s="1">
        <f ca="1">IFERROR(__xludf.DUMMYFUNCTION("""COMPUTED_VALUE"""),535125)</f>
        <v>535125</v>
      </c>
      <c r="D620" s="3" t="str">
        <f ca="1">IFERROR(__xludf.DUMMYFUNCTION("""COMPUTED_VALUE"""),"Male")</f>
        <v>Male</v>
      </c>
      <c r="E620" s="1" t="str">
        <f ca="1">IFERROR(__xludf.DUMMYFUNCTION("""COMPUTED_VALUE"""),"Influencers who had successful careers")</f>
        <v>Influencers who had successful careers</v>
      </c>
      <c r="F620" s="1" t="str">
        <f ca="1">IFERROR(__xludf.DUMMYFUNCTION("""COMPUTED_VALUE"""),"No I would not be pursuing Higher Education outside of India")</f>
        <v>No I would not be pursuing Higher Education outside of India</v>
      </c>
      <c r="G620" s="1" t="str">
        <f ca="1">IFERROR(__xludf.DUMMYFUNCTION("""COMPUTED_VALUE"""),"This will be hard to do, but if it is the right company I would try")</f>
        <v>This will be hard to do, but if it is the right company I would try</v>
      </c>
      <c r="H620" s="1" t="str">
        <f ca="1">IFERROR(__xludf.DUMMYFUNCTION("""COMPUTED_VALUE"""),"No")</f>
        <v>No</v>
      </c>
      <c r="I620" s="1" t="str">
        <f ca="1">IFERROR(__xludf.DUMMYFUNCTION("""COMPUTED_VALUE"""),"Will NOT work for them")</f>
        <v>Will NOT work for them</v>
      </c>
      <c r="J620" s="1">
        <f ca="1">IFERROR(__xludf.DUMMYFUNCTION("""COMPUTED_VALUE"""),7)</f>
        <v>7</v>
      </c>
      <c r="K620" s="1" t="str">
        <f ca="1">IFERROR(__xludf.DUMMYFUNCTION("""COMPUTED_VALUE"""),"Hybrid Working Environment with less than 3 days a month at office")</f>
        <v>Hybrid Working Environment with less than 3 days a month at office</v>
      </c>
      <c r="L620" s="1" t="str">
        <f ca="1">IFERROR(__xludf.DUMMYFUNCTION("""COMPUTED_VALUE"""),"Employer who pushes your limits by enabling an learning environment, and rewards you at the end")</f>
        <v>Employer who pushes your limits by enabling an learning environment, and rewards you at the end</v>
      </c>
      <c r="M62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20"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620" s="1" t="str">
        <f ca="1">IFERROR(__xludf.DUMMYFUNCTION("""COMPUTED_VALUE"""),"Manager who explains what is expected, sets a goal and helps achieve it")</f>
        <v>Manager who explains what is expected, sets a goal and helps achieve it</v>
      </c>
      <c r="P620" s="1" t="str">
        <f ca="1">IFERROR(__xludf.DUMMYFUNCTION("""COMPUTED_VALUE"""),"Work with 5 to 6 people in my team")</f>
        <v>Work with 5 to 6 people in my team</v>
      </c>
      <c r="Q620" s="1"/>
    </row>
    <row r="621" spans="1:17" ht="13.2" x14ac:dyDescent="0.25">
      <c r="A621" s="2">
        <f ca="1">IFERROR(__xludf.DUMMYFUNCTION("""COMPUTED_VALUE"""),45021.81314875)</f>
        <v>45021.81314875</v>
      </c>
      <c r="B621" s="1" t="str">
        <f ca="1">IFERROR(__xludf.DUMMYFUNCTION("""COMPUTED_VALUE"""),"India")</f>
        <v>India</v>
      </c>
      <c r="C621" s="1">
        <f ca="1">IFERROR(__xludf.DUMMYFUNCTION("""COMPUTED_VALUE"""),364001)</f>
        <v>364001</v>
      </c>
      <c r="D621" s="3" t="str">
        <f ca="1">IFERROR(__xludf.DUMMYFUNCTION("""COMPUTED_VALUE"""),"Female")</f>
        <v>Female</v>
      </c>
      <c r="E621" s="1" t="str">
        <f ca="1">IFERROR(__xludf.DUMMYFUNCTION("""COMPUTED_VALUE"""),"My Parents")</f>
        <v>My Parents</v>
      </c>
      <c r="F621" s="1" t="str">
        <f ca="1">IFERROR(__xludf.DUMMYFUNCTION("""COMPUTED_VALUE"""),"Yes, I will earn and do that")</f>
        <v>Yes, I will earn and do that</v>
      </c>
      <c r="G621" s="1" t="str">
        <f ca="1">IFERROR(__xludf.DUMMYFUNCTION("""COMPUTED_VALUE"""),"Will work for 3 years or more")</f>
        <v>Will work for 3 years or more</v>
      </c>
      <c r="H621" s="1" t="str">
        <f ca="1">IFERROR(__xludf.DUMMYFUNCTION("""COMPUTED_VALUE"""),"No")</f>
        <v>No</v>
      </c>
      <c r="I621" s="1" t="str">
        <f ca="1">IFERROR(__xludf.DUMMYFUNCTION("""COMPUTED_VALUE"""),"Will NOT work for them")</f>
        <v>Will NOT work for them</v>
      </c>
      <c r="J621" s="1">
        <f ca="1">IFERROR(__xludf.DUMMYFUNCTION("""COMPUTED_VALUE"""),5)</f>
        <v>5</v>
      </c>
      <c r="K621" s="1" t="str">
        <f ca="1">IFERROR(__xludf.DUMMYFUNCTION("""COMPUTED_VALUE"""),"Every Day Office Environment")</f>
        <v>Every Day Office Environment</v>
      </c>
      <c r="L621" s="1" t="str">
        <f ca="1">IFERROR(__xludf.DUMMYFUNCTION("""COMPUTED_VALUE"""),"Employer who appreciates learning and enables that environment")</f>
        <v>Employer who appreciates learning and enables that environment</v>
      </c>
      <c r="M621" s="1" t="str">
        <f ca="1">IFERROR(__xludf.DUMMYFUNCTION("""COMPUTED_VALUE"""),"Self Paced Learning Portals of the Company, Instructor or Expert Learning Programs, Manager Teaching you")</f>
        <v>Self Paced Learning Portals of the Company, Instructor or Expert Learning Programs, Manager Teaching you</v>
      </c>
      <c r="N621" s="1" t="str">
        <f ca="1">IFERROR(__xludf.DUMMYFUNCTION("""COMPUTED_VALUE"""),"Design and Develop amazing software, Work as a freelancer and do my thing my way, Entrepreneur or Start Up, I Want to sell things/Sales")</f>
        <v>Design and Develop amazing software, Work as a freelancer and do my thing my way, Entrepreneur or Start Up, I Want to sell things/Sales</v>
      </c>
      <c r="O621" s="1" t="str">
        <f ca="1">IFERROR(__xludf.DUMMYFUNCTION("""COMPUTED_VALUE"""),"Manager who clearly describes what she/he needs")</f>
        <v>Manager who clearly describes what she/he needs</v>
      </c>
      <c r="P621" s="1" t="str">
        <f ca="1">IFERROR(__xludf.DUMMYFUNCTION("""COMPUTED_VALUE"""),"Work with 7 to 10 or more people in my team")</f>
        <v>Work with 7 to 10 or more people in my team</v>
      </c>
      <c r="Q621" s="1"/>
    </row>
    <row r="622" spans="1:17" ht="13.2" x14ac:dyDescent="0.25">
      <c r="A622" s="2">
        <f ca="1">IFERROR(__xludf.DUMMYFUNCTION("""COMPUTED_VALUE"""),45021.8184388888)</f>
        <v>45021.818438888797</v>
      </c>
      <c r="B622" s="1" t="str">
        <f ca="1">IFERROR(__xludf.DUMMYFUNCTION("""COMPUTED_VALUE"""),"India")</f>
        <v>India</v>
      </c>
      <c r="C622" s="1">
        <f ca="1">IFERROR(__xludf.DUMMYFUNCTION("""COMPUTED_VALUE"""),91)</f>
        <v>91</v>
      </c>
      <c r="D622" s="3" t="str">
        <f ca="1">IFERROR(__xludf.DUMMYFUNCTION("""COMPUTED_VALUE"""),"Female")</f>
        <v>Female</v>
      </c>
      <c r="E622" s="1" t="str">
        <f ca="1">IFERROR(__xludf.DUMMYFUNCTION("""COMPUTED_VALUE"""),"People who have changed the world for better")</f>
        <v>People who have changed the world for better</v>
      </c>
      <c r="F622" s="1" t="str">
        <f ca="1">IFERROR(__xludf.DUMMYFUNCTION("""COMPUTED_VALUE"""),"Yes, I will earn and do that")</f>
        <v>Yes, I will earn and do that</v>
      </c>
      <c r="G622" s="1" t="str">
        <f ca="1">IFERROR(__xludf.DUMMYFUNCTION("""COMPUTED_VALUE"""),"This will be hard to do, but if it is the right company I would try")</f>
        <v>This will be hard to do, but if it is the right company I would try</v>
      </c>
      <c r="H622" s="1" t="str">
        <f ca="1">IFERROR(__xludf.DUMMYFUNCTION("""COMPUTED_VALUE"""),"No")</f>
        <v>No</v>
      </c>
      <c r="I622" s="1" t="str">
        <f ca="1">IFERROR(__xludf.DUMMYFUNCTION("""COMPUTED_VALUE"""),"Will NOT work for them")</f>
        <v>Will NOT work for them</v>
      </c>
      <c r="J622" s="1">
        <f ca="1">IFERROR(__xludf.DUMMYFUNCTION("""COMPUTED_VALUE"""),5)</f>
        <v>5</v>
      </c>
      <c r="K622" s="1" t="str">
        <f ca="1">IFERROR(__xludf.DUMMYFUNCTION("""COMPUTED_VALUE"""),"Fully Remote with Options to travel as and when needed")</f>
        <v>Fully Remote with Options to travel as and when needed</v>
      </c>
      <c r="L622" s="1" t="str">
        <f ca="1">IFERROR(__xludf.DUMMYFUNCTION("""COMPUTED_VALUE"""),"Employer who pushes your limits by enabling an learning environment, and rewards you at the end")</f>
        <v>Employer who pushes your limits by enabling an learning environment, and rewards you at the end</v>
      </c>
      <c r="M6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22" s="1" t="str">
        <f ca="1">IFERROR(__xludf.DUMMYFUNCTION("""COMPUTED_VALUE"""),"Manager who explains what is expected, sets a goal and helps achieve it")</f>
        <v>Manager who explains what is expected, sets a goal and helps achieve it</v>
      </c>
      <c r="P622" s="1" t="str">
        <f ca="1">IFERROR(__xludf.DUMMYFUNCTION("""COMPUTED_VALUE"""),"Work with 5 to 6 people in my team")</f>
        <v>Work with 5 to 6 people in my team</v>
      </c>
      <c r="Q622" s="1"/>
    </row>
    <row r="623" spans="1:17" ht="13.2" x14ac:dyDescent="0.25">
      <c r="A623" s="2">
        <f ca="1">IFERROR(__xludf.DUMMYFUNCTION("""COMPUTED_VALUE"""),45021.826611574)</f>
        <v>45021.826611573997</v>
      </c>
      <c r="B623" s="1" t="str">
        <f ca="1">IFERROR(__xludf.DUMMYFUNCTION("""COMPUTED_VALUE"""),"India")</f>
        <v>India</v>
      </c>
      <c r="C623" s="1">
        <f ca="1">IFERROR(__xludf.DUMMYFUNCTION("""COMPUTED_VALUE"""),711102)</f>
        <v>711102</v>
      </c>
      <c r="D623" s="3" t="str">
        <f ca="1">IFERROR(__xludf.DUMMYFUNCTION("""COMPUTED_VALUE"""),"Male")</f>
        <v>Male</v>
      </c>
      <c r="E623" s="1" t="str">
        <f ca="1">IFERROR(__xludf.DUMMYFUNCTION("""COMPUTED_VALUE"""),"Influencers who had successful careers")</f>
        <v>Influencers who had successful careers</v>
      </c>
      <c r="F623" s="1" t="str">
        <f ca="1">IFERROR(__xludf.DUMMYFUNCTION("""COMPUTED_VALUE"""),"Yes, I will earn and do that")</f>
        <v>Yes, I will earn and do that</v>
      </c>
      <c r="G623" s="1" t="str">
        <f ca="1">IFERROR(__xludf.DUMMYFUNCTION("""COMPUTED_VALUE"""),"Will work for 3 years or more")</f>
        <v>Will work for 3 years or more</v>
      </c>
      <c r="H623" s="1" t="str">
        <f ca="1">IFERROR(__xludf.DUMMYFUNCTION("""COMPUTED_VALUE"""),"No")</f>
        <v>No</v>
      </c>
      <c r="I623" s="1" t="str">
        <f ca="1">IFERROR(__xludf.DUMMYFUNCTION("""COMPUTED_VALUE"""),"Will NOT work for them")</f>
        <v>Will NOT work for them</v>
      </c>
      <c r="J623" s="1">
        <f ca="1">IFERROR(__xludf.DUMMYFUNCTION("""COMPUTED_VALUE"""),8)</f>
        <v>8</v>
      </c>
      <c r="K623" s="1" t="str">
        <f ca="1">IFERROR(__xludf.DUMMYFUNCTION("""COMPUTED_VALUE"""),"Every Day Office Environment")</f>
        <v>Every Day Office Environment</v>
      </c>
      <c r="L623" s="1" t="str">
        <f ca="1">IFERROR(__xludf.DUMMYFUNCTION("""COMPUTED_VALUE"""),"Employer who pushes your limits by enabling an learning environment, and rewards you at the end")</f>
        <v>Employer who pushes your limits by enabling an learning environment, and rewards you at the end</v>
      </c>
      <c r="M6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3" s="1" t="str">
        <f ca="1">IFERROR(__xludf.DUMMYFUNCTION("""COMPUTED_VALUE"""),"Manager who explains what is expected, sets a goal and helps achieve it")</f>
        <v>Manager who explains what is expected, sets a goal and helps achieve it</v>
      </c>
      <c r="P623" s="1" t="str">
        <f ca="1">IFERROR(__xludf.DUMMYFUNCTION("""COMPUTED_VALUE"""),"Work with 2 to 3 people in my team")</f>
        <v>Work with 2 to 3 people in my team</v>
      </c>
      <c r="Q623" s="1"/>
    </row>
    <row r="624" spans="1:17" ht="13.2" x14ac:dyDescent="0.25">
      <c r="A624" s="2">
        <f ca="1">IFERROR(__xludf.DUMMYFUNCTION("""COMPUTED_VALUE"""),45021.8289086342)</f>
        <v>45021.828908634197</v>
      </c>
      <c r="B624" s="1" t="str">
        <f ca="1">IFERROR(__xludf.DUMMYFUNCTION("""COMPUTED_VALUE"""),"India")</f>
        <v>India</v>
      </c>
      <c r="C624" s="1">
        <f ca="1">IFERROR(__xludf.DUMMYFUNCTION("""COMPUTED_VALUE"""),678732)</f>
        <v>678732</v>
      </c>
      <c r="D624" s="3" t="str">
        <f ca="1">IFERROR(__xludf.DUMMYFUNCTION("""COMPUTED_VALUE"""),"Female")</f>
        <v>Female</v>
      </c>
      <c r="E624" s="1" t="str">
        <f ca="1">IFERROR(__xludf.DUMMYFUNCTION("""COMPUTED_VALUE"""),"People from my circle, but not family members")</f>
        <v>People from my circle, but not family members</v>
      </c>
      <c r="F624" s="1" t="str">
        <f ca="1">IFERROR(__xludf.DUMMYFUNCTION("""COMPUTED_VALUE"""),"Yes, I will earn and do that")</f>
        <v>Yes, I will earn and do that</v>
      </c>
      <c r="G624" s="1" t="str">
        <f ca="1">IFERROR(__xludf.DUMMYFUNCTION("""COMPUTED_VALUE"""),"This will be hard to do, but if it is the right company I would try")</f>
        <v>This will be hard to do, but if it is the right company I would try</v>
      </c>
      <c r="H624" s="1" t="str">
        <f ca="1">IFERROR(__xludf.DUMMYFUNCTION("""COMPUTED_VALUE"""),"No")</f>
        <v>No</v>
      </c>
      <c r="I624" s="1" t="str">
        <f ca="1">IFERROR(__xludf.DUMMYFUNCTION("""COMPUTED_VALUE"""),"Will NOT work for them")</f>
        <v>Will NOT work for them</v>
      </c>
      <c r="J624" s="1">
        <f ca="1">IFERROR(__xludf.DUMMYFUNCTION("""COMPUTED_VALUE"""),5)</f>
        <v>5</v>
      </c>
      <c r="K624" s="1" t="str">
        <f ca="1">IFERROR(__xludf.DUMMYFUNCTION("""COMPUTED_VALUE"""),"Fully Remote with Options to travel as and when needed")</f>
        <v>Fully Remote with Options to travel as and when needed</v>
      </c>
      <c r="L624" s="1" t="str">
        <f ca="1">IFERROR(__xludf.DUMMYFUNCTION("""COMPUTED_VALUE"""),"Employer who pushes your limits by enabling an learning environment, and rewards you at the end")</f>
        <v>Employer who pushes your limits by enabling an learning environment, and rewards you at the end</v>
      </c>
      <c r="M6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624" s="1" t="str">
        <f ca="1">IFERROR(__xludf.DUMMYFUNCTION("""COMPUTED_VALUE"""),"Manager who explains what is expected, sets a goal and helps achieve it")</f>
        <v>Manager who explains what is expected, sets a goal and helps achieve it</v>
      </c>
      <c r="P624" s="1" t="str">
        <f ca="1">IFERROR(__xludf.DUMMYFUNCTION("""COMPUTED_VALUE"""),"Work alone, Work with 2 to 3 people in my team, Work with 5 to 6 people in my team")</f>
        <v>Work alone, Work with 2 to 3 people in my team, Work with 5 to 6 people in my team</v>
      </c>
      <c r="Q624" s="1"/>
    </row>
    <row r="625" spans="1:17" ht="13.2" x14ac:dyDescent="0.25">
      <c r="A625" s="2">
        <f ca="1">IFERROR(__xludf.DUMMYFUNCTION("""COMPUTED_VALUE"""),45021.8297827546)</f>
        <v>45021.829782754598</v>
      </c>
      <c r="B625" s="1" t="str">
        <f ca="1">IFERROR(__xludf.DUMMYFUNCTION("""COMPUTED_VALUE"""),"India")</f>
        <v>India</v>
      </c>
      <c r="C625" s="1">
        <f ca="1">IFERROR(__xludf.DUMMYFUNCTION("""COMPUTED_VALUE"""),400064)</f>
        <v>400064</v>
      </c>
      <c r="D625" s="3" t="str">
        <f ca="1">IFERROR(__xludf.DUMMYFUNCTION("""COMPUTED_VALUE"""),"Male")</f>
        <v>Male</v>
      </c>
      <c r="E625" s="1" t="str">
        <f ca="1">IFERROR(__xludf.DUMMYFUNCTION("""COMPUTED_VALUE"""),"My Parents")</f>
        <v>My Parents</v>
      </c>
      <c r="F625" s="1" t="str">
        <f ca="1">IFERROR(__xludf.DUMMYFUNCTION("""COMPUTED_VALUE"""),"Yes, I will earn and do that")</f>
        <v>Yes, I will earn and do that</v>
      </c>
      <c r="G625" s="1" t="str">
        <f ca="1">IFERROR(__xludf.DUMMYFUNCTION("""COMPUTED_VALUE"""),"This will be hard to do, but if it is the right company I would try")</f>
        <v>This will be hard to do, but if it is the right company I would try</v>
      </c>
      <c r="H625" s="1" t="str">
        <f ca="1">IFERROR(__xludf.DUMMYFUNCTION("""COMPUTED_VALUE"""),"No")</f>
        <v>No</v>
      </c>
      <c r="I625" s="1" t="str">
        <f ca="1">IFERROR(__xludf.DUMMYFUNCTION("""COMPUTED_VALUE"""),"Will NOT work for them")</f>
        <v>Will NOT work for them</v>
      </c>
      <c r="J625" s="1">
        <f ca="1">IFERROR(__xludf.DUMMYFUNCTION("""COMPUTED_VALUE"""),8)</f>
        <v>8</v>
      </c>
      <c r="K625" s="1" t="str">
        <f ca="1">IFERROR(__xludf.DUMMYFUNCTION("""COMPUTED_VALUE"""),"Every Day Office Environment")</f>
        <v>Every Day Office Environment</v>
      </c>
      <c r="L625" s="1" t="str">
        <f ca="1">IFERROR(__xludf.DUMMYFUNCTION("""COMPUTED_VALUE"""),"Employer who appreciates learning and enables that environment")</f>
        <v>Employer who appreciates learning and enables that environment</v>
      </c>
      <c r="M625" s="1" t="str">
        <f ca="1">IFERROR(__xludf.DUMMYFUNCTION("""COMPUTED_VALUE"""),"Instructor or Expert Learning Programs, Learning by observing others, Manager Teaching you")</f>
        <v>Instructor or Expert Learning Programs, Learning by observing others, Manager Teaching you</v>
      </c>
      <c r="N625"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625" s="1" t="str">
        <f ca="1">IFERROR(__xludf.DUMMYFUNCTION("""COMPUTED_VALUE"""),"Manager who sets goal and helps me achieve it")</f>
        <v>Manager who sets goal and helps me achieve it</v>
      </c>
      <c r="P625" s="1" t="str">
        <f ca="1">IFERROR(__xludf.DUMMYFUNCTION("""COMPUTED_VALUE"""),"Work alone, Work with 7 to 10 or more people in my team, Work with more than 10 people in my team")</f>
        <v>Work alone, Work with 7 to 10 or more people in my team, Work with more than 10 people in my team</v>
      </c>
      <c r="Q625" s="1"/>
    </row>
    <row r="626" spans="1:17" ht="13.2" x14ac:dyDescent="0.25">
      <c r="A626" s="2">
        <f ca="1">IFERROR(__xludf.DUMMYFUNCTION("""COMPUTED_VALUE"""),45021.8301763657)</f>
        <v>45021.8301763657</v>
      </c>
      <c r="B626" s="1" t="str">
        <f ca="1">IFERROR(__xludf.DUMMYFUNCTION("""COMPUTED_VALUE"""),"India")</f>
        <v>India</v>
      </c>
      <c r="C626" s="1">
        <f ca="1">IFERROR(__xludf.DUMMYFUNCTION("""COMPUTED_VALUE"""),500045)</f>
        <v>500045</v>
      </c>
      <c r="D626" s="3" t="str">
        <f ca="1">IFERROR(__xludf.DUMMYFUNCTION("""COMPUTED_VALUE"""),"Male")</f>
        <v>Male</v>
      </c>
      <c r="E626" s="1" t="str">
        <f ca="1">IFERROR(__xludf.DUMMYFUNCTION("""COMPUTED_VALUE"""),"Influencers who had successful careers")</f>
        <v>Influencers who had successful careers</v>
      </c>
      <c r="F626" s="1" t="str">
        <f ca="1">IFERROR(__xludf.DUMMYFUNCTION("""COMPUTED_VALUE"""),"Yes, I will earn and do that")</f>
        <v>Yes, I will earn and do that</v>
      </c>
      <c r="G626" s="1" t="str">
        <f ca="1">IFERROR(__xludf.DUMMYFUNCTION("""COMPUTED_VALUE"""),"This will be hard to do, but if it is the right company I would try")</f>
        <v>This will be hard to do, but if it is the right company I would try</v>
      </c>
      <c r="H626" s="1" t="str">
        <f ca="1">IFERROR(__xludf.DUMMYFUNCTION("""COMPUTED_VALUE"""),"No")</f>
        <v>No</v>
      </c>
      <c r="I626" s="1" t="str">
        <f ca="1">IFERROR(__xludf.DUMMYFUNCTION("""COMPUTED_VALUE"""),"Will NOT work for them")</f>
        <v>Will NOT work for them</v>
      </c>
      <c r="J626" s="1">
        <f ca="1">IFERROR(__xludf.DUMMYFUNCTION("""COMPUTED_VALUE"""),1)</f>
        <v>1</v>
      </c>
      <c r="K626" s="1" t="str">
        <f ca="1">IFERROR(__xludf.DUMMYFUNCTION("""COMPUTED_VALUE"""),"Hybrid Working Environment with less than 3 days a month at office")</f>
        <v>Hybrid Working Environment with less than 3 days a month at office</v>
      </c>
      <c r="L626" s="1" t="str">
        <f ca="1">IFERROR(__xludf.DUMMYFUNCTION("""COMPUTED_VALUE"""),"Employer who rewards learning and enables that environment")</f>
        <v>Employer who rewards learning and enables that environment</v>
      </c>
      <c r="M6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6" s="1" t="str">
        <f ca="1">IFERROR(__xludf.DUMMYFUNCTION("""COMPUTED_VALUE"""),"Manager who explains what is expected, sets a goal and helps achieve it")</f>
        <v>Manager who explains what is expected, sets a goal and helps achieve it</v>
      </c>
      <c r="P626" s="1" t="str">
        <f ca="1">IFERROR(__xludf.DUMMYFUNCTION("""COMPUTED_VALUE"""),"Work with 5 to 6 people in my team")</f>
        <v>Work with 5 to 6 people in my team</v>
      </c>
      <c r="Q626" s="1"/>
    </row>
    <row r="627" spans="1:17" ht="13.2" x14ac:dyDescent="0.25">
      <c r="A627" s="2">
        <f ca="1">IFERROR(__xludf.DUMMYFUNCTION("""COMPUTED_VALUE"""),45021.8309088425)</f>
        <v>45021.830908842501</v>
      </c>
      <c r="B627" s="1" t="str">
        <f ca="1">IFERROR(__xludf.DUMMYFUNCTION("""COMPUTED_VALUE"""),"Others")</f>
        <v>Others</v>
      </c>
      <c r="C627" s="1" t="str">
        <f ca="1">IFERROR(__xludf.DUMMYFUNCTION("""COMPUTED_VALUE"""),"SY23")</f>
        <v>SY23</v>
      </c>
      <c r="D627" s="3" t="str">
        <f ca="1">IFERROR(__xludf.DUMMYFUNCTION("""COMPUTED_VALUE"""),"Male")</f>
        <v>Male</v>
      </c>
      <c r="E627" s="1" t="str">
        <f ca="1">IFERROR(__xludf.DUMMYFUNCTION("""COMPUTED_VALUE"""),"People from my circle, but not family members")</f>
        <v>People from my circle, but not family members</v>
      </c>
      <c r="F627" s="1" t="str">
        <f ca="1">IFERROR(__xludf.DUMMYFUNCTION("""COMPUTED_VALUE"""),"Yes, I will earn and do that")</f>
        <v>Yes, I will earn and do that</v>
      </c>
      <c r="G627" s="1" t="str">
        <f ca="1">IFERROR(__xludf.DUMMYFUNCTION("""COMPUTED_VALUE"""),"This will be hard to do, but if it is the right company I would try")</f>
        <v>This will be hard to do, but if it is the right company I would try</v>
      </c>
      <c r="H627" s="1" t="str">
        <f ca="1">IFERROR(__xludf.DUMMYFUNCTION("""COMPUTED_VALUE"""),"Yes")</f>
        <v>Yes</v>
      </c>
      <c r="I627" s="1" t="str">
        <f ca="1">IFERROR(__xludf.DUMMYFUNCTION("""COMPUTED_VALUE"""),"Will work for them")</f>
        <v>Will work for them</v>
      </c>
      <c r="J627" s="1">
        <f ca="1">IFERROR(__xludf.DUMMYFUNCTION("""COMPUTED_VALUE"""),10)</f>
        <v>10</v>
      </c>
      <c r="K627" s="1" t="str">
        <f ca="1">IFERROR(__xludf.DUMMYFUNCTION("""COMPUTED_VALUE"""),"Hybrid Working Environment with more than 15 days a month at office")</f>
        <v>Hybrid Working Environment with more than 15 days a month at office</v>
      </c>
      <c r="L627" s="1" t="str">
        <f ca="1">IFERROR(__xludf.DUMMYFUNCTION("""COMPUTED_VALUE"""),"Employer who appreciates learning and enables that environment")</f>
        <v>Employer who appreciates learning and enables that environment</v>
      </c>
      <c r="M627" s="1" t="str">
        <f ca="1">IFERROR(__xludf.DUMMYFUNCTION("""COMPUTED_VALUE"""),"Self Paced Learning Portals of the Company, Learning by observing others, Manager Teaching you")</f>
        <v>Self Paced Learning Portals of the Company, Learning by observing others, Manager Teaching you</v>
      </c>
      <c r="N627"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627" s="1" t="str">
        <f ca="1">IFERROR(__xludf.DUMMYFUNCTION("""COMPUTED_VALUE"""),"Manager who explains what is expected, sets a goal and helps achieve it")</f>
        <v>Manager who explains what is expected, sets a goal and helps achieve it</v>
      </c>
      <c r="P627" s="1" t="str">
        <f ca="1">IFERROR(__xludf.DUMMYFUNCTION("""COMPUTED_VALUE"""),"Work alone, Work with 2 to 3 people in my team")</f>
        <v>Work alone, Work with 2 to 3 people in my team</v>
      </c>
      <c r="Q627" s="1"/>
    </row>
    <row r="628" spans="1:17" ht="13.2" x14ac:dyDescent="0.25">
      <c r="A628" s="2">
        <f ca="1">IFERROR(__xludf.DUMMYFUNCTION("""COMPUTED_VALUE"""),45021.8429500578)</f>
        <v>45021.842950057799</v>
      </c>
      <c r="B628" s="1" t="str">
        <f ca="1">IFERROR(__xludf.DUMMYFUNCTION("""COMPUTED_VALUE"""),"India")</f>
        <v>India</v>
      </c>
      <c r="C628" s="1">
        <f ca="1">IFERROR(__xludf.DUMMYFUNCTION("""COMPUTED_VALUE"""),440014)</f>
        <v>440014</v>
      </c>
      <c r="D628" s="3" t="str">
        <f ca="1">IFERROR(__xludf.DUMMYFUNCTION("""COMPUTED_VALUE"""),"Male")</f>
        <v>Male</v>
      </c>
      <c r="E628" s="1" t="str">
        <f ca="1">IFERROR(__xludf.DUMMYFUNCTION("""COMPUTED_VALUE"""),"Influencers who had successful careers")</f>
        <v>Influencers who had successful careers</v>
      </c>
      <c r="F628" s="1" t="str">
        <f ca="1">IFERROR(__xludf.DUMMYFUNCTION("""COMPUTED_VALUE"""),"Yes, I will earn and do that")</f>
        <v>Yes, I will earn and do that</v>
      </c>
      <c r="G628" s="1" t="str">
        <f ca="1">IFERROR(__xludf.DUMMYFUNCTION("""COMPUTED_VALUE"""),"This will be hard to do, but if it is the right company I would try")</f>
        <v>This will be hard to do, but if it is the right company I would try</v>
      </c>
      <c r="H628" s="1" t="str">
        <f ca="1">IFERROR(__xludf.DUMMYFUNCTION("""COMPUTED_VALUE"""),"Yes")</f>
        <v>Yes</v>
      </c>
      <c r="I628" s="1" t="str">
        <f ca="1">IFERROR(__xludf.DUMMYFUNCTION("""COMPUTED_VALUE"""),"Will NOT work for them")</f>
        <v>Will NOT work for them</v>
      </c>
      <c r="J628" s="1">
        <f ca="1">IFERROR(__xludf.DUMMYFUNCTION("""COMPUTED_VALUE"""),4)</f>
        <v>4</v>
      </c>
      <c r="K628" s="1" t="str">
        <f ca="1">IFERROR(__xludf.DUMMYFUNCTION("""COMPUTED_VALUE"""),"Every Day Office Environment")</f>
        <v>Every Day Office Environment</v>
      </c>
      <c r="L628" s="1" t="str">
        <f ca="1">IFERROR(__xludf.DUMMYFUNCTION("""COMPUTED_VALUE"""),"Employer who appreciates learning and enables that environment")</f>
        <v>Employer who appreciates learning and enables that environment</v>
      </c>
      <c r="M628" s="1" t="str">
        <f ca="1">IFERROR(__xludf.DUMMYFUNCTION("""COMPUTED_VALUE"""),"Instructor or Expert Learning Programs, Learning by observing others, Manager Teaching you")</f>
        <v>Instructor or Expert Learning Programs, Learning by observing others, Manager Teaching you</v>
      </c>
      <c r="N628"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628" s="1" t="str">
        <f ca="1">IFERROR(__xludf.DUMMYFUNCTION("""COMPUTED_VALUE"""),"Manager who clearly describes what she/he needs")</f>
        <v>Manager who clearly describes what she/he needs</v>
      </c>
      <c r="P628" s="1" t="str">
        <f ca="1">IFERROR(__xludf.DUMMYFUNCTION("""COMPUTED_VALUE"""),"Work alone")</f>
        <v>Work alone</v>
      </c>
      <c r="Q628" s="1"/>
    </row>
    <row r="629" spans="1:17" ht="13.2" x14ac:dyDescent="0.25">
      <c r="A629" s="2">
        <f ca="1">IFERROR(__xludf.DUMMYFUNCTION("""COMPUTED_VALUE"""),45021.8478199074)</f>
        <v>45021.847819907402</v>
      </c>
      <c r="B629" s="1" t="str">
        <f ca="1">IFERROR(__xludf.DUMMYFUNCTION("""COMPUTED_VALUE"""),"India")</f>
        <v>India</v>
      </c>
      <c r="C629" s="1">
        <f ca="1">IFERROR(__xludf.DUMMYFUNCTION("""COMPUTED_VALUE"""),400059)</f>
        <v>400059</v>
      </c>
      <c r="D629" s="3" t="str">
        <f ca="1">IFERROR(__xludf.DUMMYFUNCTION("""COMPUTED_VALUE"""),"Female")</f>
        <v>Female</v>
      </c>
      <c r="E629" s="1" t="str">
        <f ca="1">IFERROR(__xludf.DUMMYFUNCTION("""COMPUTED_VALUE"""),"People who have changed the world for better")</f>
        <v>People who have changed the world for better</v>
      </c>
      <c r="F629" s="1" t="str">
        <f ca="1">IFERROR(__xludf.DUMMYFUNCTION("""COMPUTED_VALUE"""),"Yes, I will earn and do that")</f>
        <v>Yes, I will earn and do that</v>
      </c>
      <c r="G629" s="1" t="str">
        <f ca="1">IFERROR(__xludf.DUMMYFUNCTION("""COMPUTED_VALUE"""),"This will be hard to do, but if it is the right company I would try")</f>
        <v>This will be hard to do, but if it is the right company I would try</v>
      </c>
      <c r="H629" s="1" t="str">
        <f ca="1">IFERROR(__xludf.DUMMYFUNCTION("""COMPUTED_VALUE"""),"No")</f>
        <v>No</v>
      </c>
      <c r="I629" s="1" t="str">
        <f ca="1">IFERROR(__xludf.DUMMYFUNCTION("""COMPUTED_VALUE"""),"Will NOT work for them")</f>
        <v>Will NOT work for them</v>
      </c>
      <c r="J629" s="1">
        <f ca="1">IFERROR(__xludf.DUMMYFUNCTION("""COMPUTED_VALUE"""),5)</f>
        <v>5</v>
      </c>
      <c r="K629" s="1" t="str">
        <f ca="1">IFERROR(__xludf.DUMMYFUNCTION("""COMPUTED_VALUE"""),"Hybrid Working Environment with less than 3 days a month at office")</f>
        <v>Hybrid Working Environment with less than 3 days a month at office</v>
      </c>
      <c r="L629" s="1" t="str">
        <f ca="1">IFERROR(__xludf.DUMMYFUNCTION("""COMPUTED_VALUE"""),"Employer who pushes your limits by enabling an learning environment, and rewards you at the end")</f>
        <v>Employer who pushes your limits by enabling an learning environment, and rewards you at the end</v>
      </c>
      <c r="M629" s="1" t="str">
        <f ca="1">IFERROR(__xludf.DUMMYFUNCTION("""COMPUTED_VALUE"""),"Instructor or Expert Learning Programs, Learning by observing others, Manager Teaching you")</f>
        <v>Instructor or Expert Learning Programs, Learning by observing others, Manager Teaching you</v>
      </c>
      <c r="N6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29" s="1" t="str">
        <f ca="1">IFERROR(__xludf.DUMMYFUNCTION("""COMPUTED_VALUE"""),"Manager who explains what is expected, sets a goal and helps achieve it")</f>
        <v>Manager who explains what is expected, sets a goal and helps achieve it</v>
      </c>
      <c r="P629" s="1" t="str">
        <f ca="1">IFERROR(__xludf.DUMMYFUNCTION("""COMPUTED_VALUE"""),"Work alone, Work with 2 to 3 people in my team")</f>
        <v>Work alone, Work with 2 to 3 people in my team</v>
      </c>
      <c r="Q629" s="1"/>
    </row>
    <row r="630" spans="1:17" ht="13.2" x14ac:dyDescent="0.25">
      <c r="A630" s="2">
        <f ca="1">IFERROR(__xludf.DUMMYFUNCTION("""COMPUTED_VALUE"""),45021.8485641319)</f>
        <v>45021.848564131898</v>
      </c>
      <c r="B630" s="1" t="str">
        <f ca="1">IFERROR(__xludf.DUMMYFUNCTION("""COMPUTED_VALUE"""),"India")</f>
        <v>India</v>
      </c>
      <c r="C630" s="1">
        <f ca="1">IFERROR(__xludf.DUMMYFUNCTION("""COMPUTED_VALUE"""),442902)</f>
        <v>442902</v>
      </c>
      <c r="D630" s="3" t="str">
        <f ca="1">IFERROR(__xludf.DUMMYFUNCTION("""COMPUTED_VALUE"""),"Male")</f>
        <v>Male</v>
      </c>
      <c r="E630" s="1" t="str">
        <f ca="1">IFERROR(__xludf.DUMMYFUNCTION("""COMPUTED_VALUE"""),"People from my circle, but not family members")</f>
        <v>People from my circle, but not family members</v>
      </c>
      <c r="F630" s="1" t="str">
        <f ca="1">IFERROR(__xludf.DUMMYFUNCTION("""COMPUTED_VALUE"""),"No I would not be pursuing Higher Education outside of India")</f>
        <v>No I would not be pursuing Higher Education outside of India</v>
      </c>
      <c r="G630" s="1" t="str">
        <f ca="1">IFERROR(__xludf.DUMMYFUNCTION("""COMPUTED_VALUE"""),"This will be hard to do, but if it is the right company I would try")</f>
        <v>This will be hard to do, but if it is the right company I would try</v>
      </c>
      <c r="H630" s="1" t="str">
        <f ca="1">IFERROR(__xludf.DUMMYFUNCTION("""COMPUTED_VALUE"""),"No")</f>
        <v>No</v>
      </c>
      <c r="I630" s="1" t="str">
        <f ca="1">IFERROR(__xludf.DUMMYFUNCTION("""COMPUTED_VALUE"""),"Will NOT work for them")</f>
        <v>Will NOT work for them</v>
      </c>
      <c r="J630" s="1">
        <f ca="1">IFERROR(__xludf.DUMMYFUNCTION("""COMPUTED_VALUE"""),5)</f>
        <v>5</v>
      </c>
      <c r="K630" s="1" t="str">
        <f ca="1">IFERROR(__xludf.DUMMYFUNCTION("""COMPUTED_VALUE"""),"Hybrid Working Environment with more than 15 days a month at office")</f>
        <v>Hybrid Working Environment with more than 15 days a month at office</v>
      </c>
      <c r="L630" s="1" t="str">
        <f ca="1">IFERROR(__xludf.DUMMYFUNCTION("""COMPUTED_VALUE"""),"Employer who appreciates learning and enables that environment")</f>
        <v>Employer who appreciates learning and enables that environment</v>
      </c>
      <c r="M63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0"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630" s="1" t="str">
        <f ca="1">IFERROR(__xludf.DUMMYFUNCTION("""COMPUTED_VALUE"""),"Manager who explains what is expected, sets a goal and helps achieve it")</f>
        <v>Manager who explains what is expected, sets a goal and helps achieve it</v>
      </c>
      <c r="P630" s="1" t="str">
        <f ca="1">IFERROR(__xludf.DUMMYFUNCTION("""COMPUTED_VALUE"""),"Work with 2 to 3 people in my team")</f>
        <v>Work with 2 to 3 people in my team</v>
      </c>
      <c r="Q630" s="1"/>
    </row>
    <row r="631" spans="1:17" ht="13.2" x14ac:dyDescent="0.25">
      <c r="A631" s="2">
        <f ca="1">IFERROR(__xludf.DUMMYFUNCTION("""COMPUTED_VALUE"""),45021.8489791435)</f>
        <v>45021.848979143499</v>
      </c>
      <c r="B631" s="1" t="str">
        <f ca="1">IFERROR(__xludf.DUMMYFUNCTION("""COMPUTED_VALUE"""),"India")</f>
        <v>India</v>
      </c>
      <c r="C631" s="1">
        <f ca="1">IFERROR(__xludf.DUMMYFUNCTION("""COMPUTED_VALUE"""),600088)</f>
        <v>600088</v>
      </c>
      <c r="D631" s="3" t="str">
        <f ca="1">IFERROR(__xludf.DUMMYFUNCTION("""COMPUTED_VALUE"""),"Male")</f>
        <v>Male</v>
      </c>
      <c r="E631" s="1" t="str">
        <f ca="1">IFERROR(__xludf.DUMMYFUNCTION("""COMPUTED_VALUE"""),"My Parents")</f>
        <v>My Parents</v>
      </c>
      <c r="F631" s="1" t="str">
        <f ca="1">IFERROR(__xludf.DUMMYFUNCTION("""COMPUTED_VALUE"""),"No I would not be pursuing Higher Education outside of India")</f>
        <v>No I would not be pursuing Higher Education outside of India</v>
      </c>
      <c r="G631" s="1" t="str">
        <f ca="1">IFERROR(__xludf.DUMMYFUNCTION("""COMPUTED_VALUE"""),"Will work for 3 years or more")</f>
        <v>Will work for 3 years or more</v>
      </c>
      <c r="H631" s="1" t="str">
        <f ca="1">IFERROR(__xludf.DUMMYFUNCTION("""COMPUTED_VALUE"""),"No")</f>
        <v>No</v>
      </c>
      <c r="I631" s="1" t="str">
        <f ca="1">IFERROR(__xludf.DUMMYFUNCTION("""COMPUTED_VALUE"""),"Will work for them")</f>
        <v>Will work for them</v>
      </c>
      <c r="J631" s="1">
        <f ca="1">IFERROR(__xludf.DUMMYFUNCTION("""COMPUTED_VALUE"""),4)</f>
        <v>4</v>
      </c>
      <c r="K631" s="1" t="str">
        <f ca="1">IFERROR(__xludf.DUMMYFUNCTION("""COMPUTED_VALUE"""),"Hybrid Working Environment with more than 15 days a month at office")</f>
        <v>Hybrid Working Environment with more than 15 days a month at office</v>
      </c>
      <c r="L631" s="1" t="str">
        <f ca="1">IFERROR(__xludf.DUMMYFUNCTION("""COMPUTED_VALUE"""),"Employer who pushes your limits by enabling an learning environment, and rewards you at the end")</f>
        <v>Employer who pushes your limits by enabling an learning environment, and rewards you at the end</v>
      </c>
      <c r="M6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631" s="1" t="str">
        <f ca="1">IFERROR(__xludf.DUMMYFUNCTION("""COMPUTED_VALUE"""),"Manager who sets goal and helps me achieve it")</f>
        <v>Manager who sets goal and helps me achieve it</v>
      </c>
      <c r="P631" s="1" t="str">
        <f ca="1">IFERROR(__xludf.DUMMYFUNCTION("""COMPUTED_VALUE"""),"Work with 5 to 6 people in my team")</f>
        <v>Work with 5 to 6 people in my team</v>
      </c>
      <c r="Q631" s="1"/>
    </row>
    <row r="632" spans="1:17" ht="13.2" x14ac:dyDescent="0.25">
      <c r="A632" s="2">
        <f ca="1">IFERROR(__xludf.DUMMYFUNCTION("""COMPUTED_VALUE"""),45021.850055162)</f>
        <v>45021.850055162002</v>
      </c>
      <c r="B632" s="1" t="str">
        <f ca="1">IFERROR(__xludf.DUMMYFUNCTION("""COMPUTED_VALUE"""),"India")</f>
        <v>India</v>
      </c>
      <c r="C632" s="1">
        <f ca="1">IFERROR(__xludf.DUMMYFUNCTION("""COMPUTED_VALUE"""),641402)</f>
        <v>641402</v>
      </c>
      <c r="D632" s="3" t="str">
        <f ca="1">IFERROR(__xludf.DUMMYFUNCTION("""COMPUTED_VALUE"""),"Female")</f>
        <v>Female</v>
      </c>
      <c r="E632" s="1" t="str">
        <f ca="1">IFERROR(__xludf.DUMMYFUNCTION("""COMPUTED_VALUE"""),"My Parents")</f>
        <v>My Parents</v>
      </c>
      <c r="F632" s="1" t="str">
        <f ca="1">IFERROR(__xludf.DUMMYFUNCTION("""COMPUTED_VALUE"""),"No, But if someone could bare the cost I will")</f>
        <v>No, But if someone could bare the cost I will</v>
      </c>
      <c r="G632" s="1" t="str">
        <f ca="1">IFERROR(__xludf.DUMMYFUNCTION("""COMPUTED_VALUE"""),"No way")</f>
        <v>No way</v>
      </c>
      <c r="H632" s="1" t="str">
        <f ca="1">IFERROR(__xludf.DUMMYFUNCTION("""COMPUTED_VALUE"""),"No")</f>
        <v>No</v>
      </c>
      <c r="I632" s="1" t="str">
        <f ca="1">IFERROR(__xludf.DUMMYFUNCTION("""COMPUTED_VALUE"""),"Will work for them")</f>
        <v>Will work for them</v>
      </c>
      <c r="J632" s="1">
        <f ca="1">IFERROR(__xludf.DUMMYFUNCTION("""COMPUTED_VALUE"""),4)</f>
        <v>4</v>
      </c>
      <c r="K632" s="1" t="str">
        <f ca="1">IFERROR(__xludf.DUMMYFUNCTION("""COMPUTED_VALUE"""),"Hybrid Working Environment with less than 3 days a month at office")</f>
        <v>Hybrid Working Environment with less than 3 days a month at office</v>
      </c>
      <c r="L632" s="1" t="str">
        <f ca="1">IFERROR(__xludf.DUMMYFUNCTION("""COMPUTED_VALUE"""),"Employer who appreciates learning and enables that environment")</f>
        <v>Employer who appreciates learning and enables that environment</v>
      </c>
      <c r="M63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632" s="1" t="str">
        <f ca="1">IFERROR(__xludf.DUMMYFUNCTION("""COMPUTED_VALUE"""),"Teaching in any of the institutes/colleges/online or offline, Build and develop a Team, Design and Develop amazing software, I Want to sell things/Sales")</f>
        <v>Teaching in any of the institutes/colleges/online or offline, Build and develop a Team, Design and Develop amazing software, I Want to sell things/Sales</v>
      </c>
      <c r="O632" s="1" t="str">
        <f ca="1">IFERROR(__xludf.DUMMYFUNCTION("""COMPUTED_VALUE"""),"Manager who clearly describes what she/he needs")</f>
        <v>Manager who clearly describes what she/he needs</v>
      </c>
      <c r="P632" s="1" t="str">
        <f ca="1">IFERROR(__xludf.DUMMYFUNCTION("""COMPUTED_VALUE"""),"Work with more than 10 people in my team")</f>
        <v>Work with more than 10 people in my team</v>
      </c>
      <c r="Q632" s="1"/>
    </row>
    <row r="633" spans="1:17" ht="13.2" x14ac:dyDescent="0.25">
      <c r="A633" s="2">
        <f ca="1">IFERROR(__xludf.DUMMYFUNCTION("""COMPUTED_VALUE"""),45021.85120103)</f>
        <v>45021.851201029996</v>
      </c>
      <c r="B633" s="1" t="str">
        <f ca="1">IFERROR(__xludf.DUMMYFUNCTION("""COMPUTED_VALUE"""),"India")</f>
        <v>India</v>
      </c>
      <c r="C633" s="1">
        <f ca="1">IFERROR(__xludf.DUMMYFUNCTION("""COMPUTED_VALUE"""),606601)</f>
        <v>606601</v>
      </c>
      <c r="D633" s="3" t="str">
        <f ca="1">IFERROR(__xludf.DUMMYFUNCTION("""COMPUTED_VALUE"""),"Male")</f>
        <v>Male</v>
      </c>
      <c r="E633" s="1" t="str">
        <f ca="1">IFERROR(__xludf.DUMMYFUNCTION("""COMPUTED_VALUE"""),"Influencers who had successful careers")</f>
        <v>Influencers who had successful careers</v>
      </c>
      <c r="F633" s="1" t="str">
        <f ca="1">IFERROR(__xludf.DUMMYFUNCTION("""COMPUTED_VALUE"""),"Yes, I will earn and do that")</f>
        <v>Yes, I will earn and do that</v>
      </c>
      <c r="G633" s="1" t="str">
        <f ca="1">IFERROR(__xludf.DUMMYFUNCTION("""COMPUTED_VALUE"""),"Will work for 3 years or more")</f>
        <v>Will work for 3 years or more</v>
      </c>
      <c r="H633" s="1" t="str">
        <f ca="1">IFERROR(__xludf.DUMMYFUNCTION("""COMPUTED_VALUE"""),"Yes")</f>
        <v>Yes</v>
      </c>
      <c r="I633" s="1" t="str">
        <f ca="1">IFERROR(__xludf.DUMMYFUNCTION("""COMPUTED_VALUE"""),"Will NOT work for them")</f>
        <v>Will NOT work for them</v>
      </c>
      <c r="J633" s="1">
        <f ca="1">IFERROR(__xludf.DUMMYFUNCTION("""COMPUTED_VALUE"""),7)</f>
        <v>7</v>
      </c>
      <c r="K633" s="1" t="str">
        <f ca="1">IFERROR(__xludf.DUMMYFUNCTION("""COMPUTED_VALUE"""),"Hybrid Working Environment with more than 15 days a month at office")</f>
        <v>Hybrid Working Environment with more than 15 days a month at office</v>
      </c>
      <c r="L633" s="1" t="str">
        <f ca="1">IFERROR(__xludf.DUMMYFUNCTION("""COMPUTED_VALUE"""),"Employer who appreciates learning and enables that environment")</f>
        <v>Employer who appreciates learning and enables that environment</v>
      </c>
      <c r="M633" s="1" t="str">
        <f ca="1">IFERROR(__xludf.DUMMYFUNCTION("""COMPUTED_VALUE"""),"Instructor or Expert Learning Programs, Learning by observing others, Manager Teaching you")</f>
        <v>Instructor or Expert Learning Programs, Learning by observing others, Manager Teaching you</v>
      </c>
      <c r="N633"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633" s="1" t="str">
        <f ca="1">IFERROR(__xludf.DUMMYFUNCTION("""COMPUTED_VALUE"""),"Manager who explains what is expected, sets a goal and helps achieve it")</f>
        <v>Manager who explains what is expected, sets a goal and helps achieve it</v>
      </c>
      <c r="P633" s="1" t="str">
        <f ca="1">IFERROR(__xludf.DUMMYFUNCTION("""COMPUTED_VALUE"""),"Work with 5 to 6 people in my team")</f>
        <v>Work with 5 to 6 people in my team</v>
      </c>
      <c r="Q633" s="1"/>
    </row>
    <row r="634" spans="1:17" ht="13.2" x14ac:dyDescent="0.25">
      <c r="A634" s="2">
        <f ca="1">IFERROR(__xludf.DUMMYFUNCTION("""COMPUTED_VALUE"""),45021.8537056018)</f>
        <v>45021.853705601803</v>
      </c>
      <c r="B634" s="1" t="str">
        <f ca="1">IFERROR(__xludf.DUMMYFUNCTION("""COMPUTED_VALUE"""),"India")</f>
        <v>India</v>
      </c>
      <c r="C634" s="1">
        <f ca="1">IFERROR(__xludf.DUMMYFUNCTION("""COMPUTED_VALUE"""),400075)</f>
        <v>400075</v>
      </c>
      <c r="D634" s="3" t="str">
        <f ca="1">IFERROR(__xludf.DUMMYFUNCTION("""COMPUTED_VALUE"""),"Female")</f>
        <v>Female</v>
      </c>
      <c r="E634" s="1" t="str">
        <f ca="1">IFERROR(__xludf.DUMMYFUNCTION("""COMPUTED_VALUE"""),"My Parents")</f>
        <v>My Parents</v>
      </c>
      <c r="F634" s="1" t="str">
        <f ca="1">IFERROR(__xludf.DUMMYFUNCTION("""COMPUTED_VALUE"""),"No I would not be pursuing Higher Education outside of India")</f>
        <v>No I would not be pursuing Higher Education outside of India</v>
      </c>
      <c r="G634" s="1" t="str">
        <f ca="1">IFERROR(__xludf.DUMMYFUNCTION("""COMPUTED_VALUE"""),"This will be hard to do, but if it is the right company I would try")</f>
        <v>This will be hard to do, but if it is the right company I would try</v>
      </c>
      <c r="H634" s="1" t="str">
        <f ca="1">IFERROR(__xludf.DUMMYFUNCTION("""COMPUTED_VALUE"""),"No")</f>
        <v>No</v>
      </c>
      <c r="I634" s="1" t="str">
        <f ca="1">IFERROR(__xludf.DUMMYFUNCTION("""COMPUTED_VALUE"""),"Will work for them")</f>
        <v>Will work for them</v>
      </c>
      <c r="J634" s="1">
        <f ca="1">IFERROR(__xludf.DUMMYFUNCTION("""COMPUTED_VALUE"""),5)</f>
        <v>5</v>
      </c>
      <c r="K634" s="1" t="str">
        <f ca="1">IFERROR(__xludf.DUMMYFUNCTION("""COMPUTED_VALUE"""),"Every Day Office Environment")</f>
        <v>Every Day Office Environment</v>
      </c>
      <c r="L634" s="1" t="str">
        <f ca="1">IFERROR(__xludf.DUMMYFUNCTION("""COMPUTED_VALUE"""),"Employer who pushes your limits by enabling an learning environment, and rewards you at the end")</f>
        <v>Employer who pushes your limits by enabling an learning environment, and rewards you at the end</v>
      </c>
      <c r="M634" s="1" t="str">
        <f ca="1">IFERROR(__xludf.DUMMYFUNCTION("""COMPUTED_VALUE"""),"Instructor or Expert Learning Programs, Learning by observing others, Manager Teaching you")</f>
        <v>Instructor or Expert Learning Programs, Learning by observing others, Manager Teaching you</v>
      </c>
      <c r="N634"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34" s="1" t="str">
        <f ca="1">IFERROR(__xludf.DUMMYFUNCTION("""COMPUTED_VALUE"""),"Manager who explains what is expected, sets a goal and helps achieve it")</f>
        <v>Manager who explains what is expected, sets a goal and helps achieve it</v>
      </c>
      <c r="P634" s="1" t="str">
        <f ca="1">IFERROR(__xludf.DUMMYFUNCTION("""COMPUTED_VALUE"""),"Work with 5 to 6 people in my team")</f>
        <v>Work with 5 to 6 people in my team</v>
      </c>
      <c r="Q634" s="1"/>
    </row>
    <row r="635" spans="1:17" ht="13.2" x14ac:dyDescent="0.25">
      <c r="A635" s="2">
        <f ca="1">IFERROR(__xludf.DUMMYFUNCTION("""COMPUTED_VALUE"""),45021.8540334722)</f>
        <v>45021.854033472198</v>
      </c>
      <c r="B635" s="1" t="str">
        <f ca="1">IFERROR(__xludf.DUMMYFUNCTION("""COMPUTED_VALUE"""),"Others")</f>
        <v>Others</v>
      </c>
      <c r="C635" s="1">
        <f ca="1">IFERROR(__xludf.DUMMYFUNCTION("""COMPUTED_VALUE"""),58200)</f>
        <v>58200</v>
      </c>
      <c r="D635" s="3" t="str">
        <f ca="1">IFERROR(__xludf.DUMMYFUNCTION("""COMPUTED_VALUE"""),"Male")</f>
        <v>Male</v>
      </c>
      <c r="E635" s="1" t="str">
        <f ca="1">IFERROR(__xludf.DUMMYFUNCTION("""COMPUTED_VALUE"""),"Social Media like LinkedIn")</f>
        <v>Social Media like LinkedIn</v>
      </c>
      <c r="F635" s="1" t="str">
        <f ca="1">IFERROR(__xludf.DUMMYFUNCTION("""COMPUTED_VALUE"""),"No, But if someone could bare the cost I will")</f>
        <v>No, But if someone could bare the cost I will</v>
      </c>
      <c r="G635" s="1" t="str">
        <f ca="1">IFERROR(__xludf.DUMMYFUNCTION("""COMPUTED_VALUE"""),"Will work for 3 years or more")</f>
        <v>Will work for 3 years or more</v>
      </c>
      <c r="H635" s="1" t="str">
        <f ca="1">IFERROR(__xludf.DUMMYFUNCTION("""COMPUTED_VALUE"""),"No")</f>
        <v>No</v>
      </c>
      <c r="I635" s="1" t="str">
        <f ca="1">IFERROR(__xludf.DUMMYFUNCTION("""COMPUTED_VALUE"""),"Will NOT work for them")</f>
        <v>Will NOT work for them</v>
      </c>
      <c r="J635" s="1">
        <f ca="1">IFERROR(__xludf.DUMMYFUNCTION("""COMPUTED_VALUE"""),7)</f>
        <v>7</v>
      </c>
      <c r="K635" s="1" t="str">
        <f ca="1">IFERROR(__xludf.DUMMYFUNCTION("""COMPUTED_VALUE"""),"Fully Remote with Options to travel as and when needed")</f>
        <v>Fully Remote with Options to travel as and when needed</v>
      </c>
      <c r="L635" s="1" t="str">
        <f ca="1">IFERROR(__xludf.DUMMYFUNCTION("""COMPUTED_VALUE"""),"Employer who pushes your limits by enabling an learning environment, and rewards you at the end")</f>
        <v>Employer who pushes your limits by enabling an learning environment, and rewards you at the end</v>
      </c>
      <c r="M6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35" s="1" t="str">
        <f ca="1">IFERROR(__xludf.DUMMYFUNCTION("""COMPUTED_VALUE"""),"Business Operations in any organization, Work in a BPO setup for some well known client, Work as a freelancer and do my thing my way, I Want to sell things/Sales")</f>
        <v>Business Operations in any organization, Work in a BPO setup for some well known client, Work as a freelancer and do my thing my way, I Want to sell things/Sales</v>
      </c>
      <c r="O635" s="1" t="str">
        <f ca="1">IFERROR(__xludf.DUMMYFUNCTION("""COMPUTED_VALUE"""),"Manager who explains what is expected, sets a goal and helps achieve it")</f>
        <v>Manager who explains what is expected, sets a goal and helps achieve it</v>
      </c>
      <c r="P635" s="1" t="str">
        <f ca="1">IFERROR(__xludf.DUMMYFUNCTION("""COMPUTED_VALUE"""),"Work with more than 10 people in my team")</f>
        <v>Work with more than 10 people in my team</v>
      </c>
      <c r="Q635" s="1"/>
    </row>
    <row r="636" spans="1:17" ht="13.2" x14ac:dyDescent="0.25">
      <c r="A636" s="2">
        <f ca="1">IFERROR(__xludf.DUMMYFUNCTION("""COMPUTED_VALUE"""),45021.8549622685)</f>
        <v>45021.854962268502</v>
      </c>
      <c r="B636" s="1" t="str">
        <f ca="1">IFERROR(__xludf.DUMMYFUNCTION("""COMPUTED_VALUE"""),"India")</f>
        <v>India</v>
      </c>
      <c r="C636" s="1">
        <f ca="1">IFERROR(__xludf.DUMMYFUNCTION("""COMPUTED_VALUE"""),400067)</f>
        <v>400067</v>
      </c>
      <c r="D636" s="3" t="str">
        <f ca="1">IFERROR(__xludf.DUMMYFUNCTION("""COMPUTED_VALUE"""),"Male")</f>
        <v>Male</v>
      </c>
      <c r="E636" s="1" t="str">
        <f ca="1">IFERROR(__xludf.DUMMYFUNCTION("""COMPUTED_VALUE"""),"People who have changed the world for better")</f>
        <v>People who have changed the world for better</v>
      </c>
      <c r="F636" s="1" t="str">
        <f ca="1">IFERROR(__xludf.DUMMYFUNCTION("""COMPUTED_VALUE"""),"No I would not be pursuing Higher Education outside of India")</f>
        <v>No I would not be pursuing Higher Education outside of India</v>
      </c>
      <c r="G636" s="1" t="str">
        <f ca="1">IFERROR(__xludf.DUMMYFUNCTION("""COMPUTED_VALUE"""),"This will be hard to do, but if it is the right company I would try")</f>
        <v>This will be hard to do, but if it is the right company I would try</v>
      </c>
      <c r="H636" s="1" t="str">
        <f ca="1">IFERROR(__xludf.DUMMYFUNCTION("""COMPUTED_VALUE"""),"No")</f>
        <v>No</v>
      </c>
      <c r="I636" s="1" t="str">
        <f ca="1">IFERROR(__xludf.DUMMYFUNCTION("""COMPUTED_VALUE"""),"Will NOT work for them")</f>
        <v>Will NOT work for them</v>
      </c>
      <c r="J636" s="1">
        <f ca="1">IFERROR(__xludf.DUMMYFUNCTION("""COMPUTED_VALUE"""),4)</f>
        <v>4</v>
      </c>
      <c r="K636" s="1" t="str">
        <f ca="1">IFERROR(__xludf.DUMMYFUNCTION("""COMPUTED_VALUE"""),"Hybrid Working Environment with more than 15 days a month at office")</f>
        <v>Hybrid Working Environment with more than 15 days a month at office</v>
      </c>
      <c r="L636" s="1" t="str">
        <f ca="1">IFERROR(__xludf.DUMMYFUNCTION("""COMPUTED_VALUE"""),"Employer who pushes your limits by enabling an learning environment, and rewards you at the end")</f>
        <v>Employer who pushes your limits by enabling an learning environment, and rewards you at the end</v>
      </c>
      <c r="M6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636" s="1" t="str">
        <f ca="1">IFERROR(__xludf.DUMMYFUNCTION("""COMPUTED_VALUE"""),"Manager who explains what is expected, sets a goal and helps achieve it")</f>
        <v>Manager who explains what is expected, sets a goal and helps achieve it</v>
      </c>
      <c r="P636" s="1" t="str">
        <f ca="1">IFERROR(__xludf.DUMMYFUNCTION("""COMPUTED_VALUE"""),"Work with 5 to 6 people in my team")</f>
        <v>Work with 5 to 6 people in my team</v>
      </c>
      <c r="Q636" s="1"/>
    </row>
    <row r="637" spans="1:17" ht="13.2" x14ac:dyDescent="0.25">
      <c r="A637" s="2">
        <f ca="1">IFERROR(__xludf.DUMMYFUNCTION("""COMPUTED_VALUE"""),45021.8559769675)</f>
        <v>45021.855976967498</v>
      </c>
      <c r="B637" s="1" t="str">
        <f ca="1">IFERROR(__xludf.DUMMYFUNCTION("""COMPUTED_VALUE"""),"India")</f>
        <v>India</v>
      </c>
      <c r="C637" s="1">
        <f ca="1">IFERROR(__xludf.DUMMYFUNCTION("""COMPUTED_VALUE"""),452002)</f>
        <v>452002</v>
      </c>
      <c r="D637" s="3" t="str">
        <f ca="1">IFERROR(__xludf.DUMMYFUNCTION("""COMPUTED_VALUE"""),"Male")</f>
        <v>Male</v>
      </c>
      <c r="E637" s="1" t="str">
        <f ca="1">IFERROR(__xludf.DUMMYFUNCTION("""COMPUTED_VALUE"""),"My Parents")</f>
        <v>My Parents</v>
      </c>
      <c r="F637" s="1" t="str">
        <f ca="1">IFERROR(__xludf.DUMMYFUNCTION("""COMPUTED_VALUE"""),"Yes, I will earn and do that")</f>
        <v>Yes, I will earn and do that</v>
      </c>
      <c r="G637" s="1" t="str">
        <f ca="1">IFERROR(__xludf.DUMMYFUNCTION("""COMPUTED_VALUE"""),"This will be hard to do, but if it is the right company I would try")</f>
        <v>This will be hard to do, but if it is the right company I would try</v>
      </c>
      <c r="H637" s="1" t="str">
        <f ca="1">IFERROR(__xludf.DUMMYFUNCTION("""COMPUTED_VALUE"""),"Yes")</f>
        <v>Yes</v>
      </c>
      <c r="I637" s="1" t="str">
        <f ca="1">IFERROR(__xludf.DUMMYFUNCTION("""COMPUTED_VALUE"""),"Will NOT work for them")</f>
        <v>Will NOT work for them</v>
      </c>
      <c r="J637" s="1">
        <f ca="1">IFERROR(__xludf.DUMMYFUNCTION("""COMPUTED_VALUE"""),2)</f>
        <v>2</v>
      </c>
      <c r="K637" s="1" t="str">
        <f ca="1">IFERROR(__xludf.DUMMYFUNCTION("""COMPUTED_VALUE"""),"Every Day Office Environment")</f>
        <v>Every Day Office Environment</v>
      </c>
      <c r="L637" s="1" t="str">
        <f ca="1">IFERROR(__xludf.DUMMYFUNCTION("""COMPUTED_VALUE"""),"Employer who appreciates learning and enables that environment")</f>
        <v>Employer who appreciates learning and enables that environment</v>
      </c>
      <c r="M63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37"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637" s="1" t="str">
        <f ca="1">IFERROR(__xludf.DUMMYFUNCTION("""COMPUTED_VALUE"""),"Manager who sets goal and helps me achieve it")</f>
        <v>Manager who sets goal and helps me achieve it</v>
      </c>
      <c r="P637" s="1" t="str">
        <f ca="1">IFERROR(__xludf.DUMMYFUNCTION("""COMPUTED_VALUE"""),"Work with 2 to 3 people in my team, Work with 5 to 6 people in my team")</f>
        <v>Work with 2 to 3 people in my team, Work with 5 to 6 people in my team</v>
      </c>
      <c r="Q637" s="1"/>
    </row>
    <row r="638" spans="1:17" ht="13.2" x14ac:dyDescent="0.25">
      <c r="A638" s="2">
        <f ca="1">IFERROR(__xludf.DUMMYFUNCTION("""COMPUTED_VALUE"""),45021.8583358449)</f>
        <v>45021.858335844903</v>
      </c>
      <c r="B638" s="1" t="str">
        <f ca="1">IFERROR(__xludf.DUMMYFUNCTION("""COMPUTED_VALUE"""),"India")</f>
        <v>India</v>
      </c>
      <c r="C638" s="1">
        <f ca="1">IFERROR(__xludf.DUMMYFUNCTION("""COMPUTED_VALUE"""),522101)</f>
        <v>522101</v>
      </c>
      <c r="D638" s="3" t="str">
        <f ca="1">IFERROR(__xludf.DUMMYFUNCTION("""COMPUTED_VALUE"""),"Male")</f>
        <v>Male</v>
      </c>
      <c r="E638" s="1" t="str">
        <f ca="1">IFERROR(__xludf.DUMMYFUNCTION("""COMPUTED_VALUE"""),"People who have changed the world for better")</f>
        <v>People who have changed the world for better</v>
      </c>
      <c r="F638" s="1" t="str">
        <f ca="1">IFERROR(__xludf.DUMMYFUNCTION("""COMPUTED_VALUE"""),"No I would not be pursuing Higher Education outside of India")</f>
        <v>No I would not be pursuing Higher Education outside of India</v>
      </c>
      <c r="G638" s="1" t="str">
        <f ca="1">IFERROR(__xludf.DUMMYFUNCTION("""COMPUTED_VALUE"""),"This will be hard to do, but if it is the right company I would try")</f>
        <v>This will be hard to do, but if it is the right company I would try</v>
      </c>
      <c r="H638" s="1" t="str">
        <f ca="1">IFERROR(__xludf.DUMMYFUNCTION("""COMPUTED_VALUE"""),"No")</f>
        <v>No</v>
      </c>
      <c r="I638" s="1" t="str">
        <f ca="1">IFERROR(__xludf.DUMMYFUNCTION("""COMPUTED_VALUE"""),"Will NOT work for them")</f>
        <v>Will NOT work for them</v>
      </c>
      <c r="J638" s="1">
        <f ca="1">IFERROR(__xludf.DUMMYFUNCTION("""COMPUTED_VALUE"""),5)</f>
        <v>5</v>
      </c>
      <c r="K638" s="1" t="str">
        <f ca="1">IFERROR(__xludf.DUMMYFUNCTION("""COMPUTED_VALUE"""),"Fully Remote with Options to travel as and when needed")</f>
        <v>Fully Remote with Options to travel as and when needed</v>
      </c>
      <c r="L638" s="1" t="str">
        <f ca="1">IFERROR(__xludf.DUMMYFUNCTION("""COMPUTED_VALUE"""),"Employer who pushes your limits by enabling an learning environment, and rewards you at the end")</f>
        <v>Employer who pushes your limits by enabling an learning environment, and rewards you at the end</v>
      </c>
      <c r="M63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38" s="1" t="str">
        <f ca="1">IFERROR(__xludf.DUMMYFUNCTION("""COMPUTED_VALUE"""),"Business Operations in any organization, Manage and drive End-to-End Projects or Products, Design and Develop amazing software, Work as a freelancer and do my thing my way")</f>
        <v>Business Operations in any organization, Manage and drive End-to-End Projects or Products, Design and Develop amazing software, Work as a freelancer and do my thing my way</v>
      </c>
      <c r="O638" s="1" t="str">
        <f ca="1">IFERROR(__xludf.DUMMYFUNCTION("""COMPUTED_VALUE"""),"Manager who clearly describes what she/he needs")</f>
        <v>Manager who clearly describes what she/he needs</v>
      </c>
      <c r="P638" s="1" t="str">
        <f ca="1">IFERROR(__xludf.DUMMYFUNCTION("""COMPUTED_VALUE"""),"Work with 5 to 6 people in my team")</f>
        <v>Work with 5 to 6 people in my team</v>
      </c>
      <c r="Q638" s="1"/>
    </row>
    <row r="639" spans="1:17" ht="13.2" x14ac:dyDescent="0.25">
      <c r="A639" s="2">
        <f ca="1">IFERROR(__xludf.DUMMYFUNCTION("""COMPUTED_VALUE"""),45021.8602489814)</f>
        <v>45021.8602489814</v>
      </c>
      <c r="B639" s="1" t="str">
        <f ca="1">IFERROR(__xludf.DUMMYFUNCTION("""COMPUTED_VALUE"""),"India")</f>
        <v>India</v>
      </c>
      <c r="C639" s="1">
        <f ca="1">IFERROR(__xludf.DUMMYFUNCTION("""COMPUTED_VALUE"""),560023)</f>
        <v>560023</v>
      </c>
      <c r="D639" s="3" t="str">
        <f ca="1">IFERROR(__xludf.DUMMYFUNCTION("""COMPUTED_VALUE"""),"Female")</f>
        <v>Female</v>
      </c>
      <c r="E639" s="1" t="str">
        <f ca="1">IFERROR(__xludf.DUMMYFUNCTION("""COMPUTED_VALUE"""),"People who have changed the world for better")</f>
        <v>People who have changed the world for better</v>
      </c>
      <c r="F639" s="1" t="str">
        <f ca="1">IFERROR(__xludf.DUMMYFUNCTION("""COMPUTED_VALUE"""),"Yes, I will earn and do that")</f>
        <v>Yes, I will earn and do that</v>
      </c>
      <c r="G639" s="1" t="str">
        <f ca="1">IFERROR(__xludf.DUMMYFUNCTION("""COMPUTED_VALUE"""),"This will be hard to do, but if it is the right company I would try")</f>
        <v>This will be hard to do, but if it is the right company I would try</v>
      </c>
      <c r="H639" s="1" t="str">
        <f ca="1">IFERROR(__xludf.DUMMYFUNCTION("""COMPUTED_VALUE"""),"No")</f>
        <v>No</v>
      </c>
      <c r="I639" s="1" t="str">
        <f ca="1">IFERROR(__xludf.DUMMYFUNCTION("""COMPUTED_VALUE"""),"Will NOT work for them")</f>
        <v>Will NOT work for them</v>
      </c>
      <c r="J639" s="1">
        <f ca="1">IFERROR(__xludf.DUMMYFUNCTION("""COMPUTED_VALUE"""),4)</f>
        <v>4</v>
      </c>
      <c r="K639" s="1" t="str">
        <f ca="1">IFERROR(__xludf.DUMMYFUNCTION("""COMPUTED_VALUE"""),"Hybrid Working Environment with more than 15 days a month at office")</f>
        <v>Hybrid Working Environment with more than 15 days a month at office</v>
      </c>
      <c r="L639" s="1" t="str">
        <f ca="1">IFERROR(__xludf.DUMMYFUNCTION("""COMPUTED_VALUE"""),"Employer who pushes your limits by enabling an learning environment, and rewards you at the end")</f>
        <v>Employer who pushes your limits by enabling an learning environment, and rewards you at the end</v>
      </c>
      <c r="M639" s="1" t="str">
        <f ca="1">IFERROR(__xludf.DUMMYFUNCTION("""COMPUTED_VALUE"""),"Self Paced Learning Portals of the Company, Instructor or Expert Learning Programs, Manager Teaching you")</f>
        <v>Self Paced Learning Portals of the Company, Instructor or Expert Learning Programs, Manager Teaching you</v>
      </c>
      <c r="N6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39" s="1" t="str">
        <f ca="1">IFERROR(__xludf.DUMMYFUNCTION("""COMPUTED_VALUE"""),"Manager who explains what is expected, sets a goal and helps achieve it")</f>
        <v>Manager who explains what is expected, sets a goal and helps achieve it</v>
      </c>
      <c r="P639" s="1" t="str">
        <f ca="1">IFERROR(__xludf.DUMMYFUNCTION("""COMPUTED_VALUE"""),"Work with 2 to 3 people in my team")</f>
        <v>Work with 2 to 3 people in my team</v>
      </c>
      <c r="Q639" s="1"/>
    </row>
    <row r="640" spans="1:17" ht="13.2" x14ac:dyDescent="0.25">
      <c r="A640" s="2">
        <f ca="1">IFERROR(__xludf.DUMMYFUNCTION("""COMPUTED_VALUE"""),45021.8647848842)</f>
        <v>45021.864784884201</v>
      </c>
      <c r="B640" s="1" t="str">
        <f ca="1">IFERROR(__xludf.DUMMYFUNCTION("""COMPUTED_VALUE"""),"India")</f>
        <v>India</v>
      </c>
      <c r="C640" s="1">
        <f ca="1">IFERROR(__xludf.DUMMYFUNCTION("""COMPUTED_VALUE"""),442902)</f>
        <v>442902</v>
      </c>
      <c r="D640" s="3" t="str">
        <f ca="1">IFERROR(__xludf.DUMMYFUNCTION("""COMPUTED_VALUE"""),"Female")</f>
        <v>Female</v>
      </c>
      <c r="E640" s="1" t="str">
        <f ca="1">IFERROR(__xludf.DUMMYFUNCTION("""COMPUTED_VALUE"""),"My Parents")</f>
        <v>My Parents</v>
      </c>
      <c r="F640" s="1" t="str">
        <f ca="1">IFERROR(__xludf.DUMMYFUNCTION("""COMPUTED_VALUE"""),"No, But if someone could bare the cost I will")</f>
        <v>No, But if someone could bare the cost I will</v>
      </c>
      <c r="G640" s="1" t="str">
        <f ca="1">IFERROR(__xludf.DUMMYFUNCTION("""COMPUTED_VALUE"""),"This will be hard to do, but if it is the right company I would try")</f>
        <v>This will be hard to do, but if it is the right company I would try</v>
      </c>
      <c r="H640" s="1" t="str">
        <f ca="1">IFERROR(__xludf.DUMMYFUNCTION("""COMPUTED_VALUE"""),"No")</f>
        <v>No</v>
      </c>
      <c r="I640" s="1" t="str">
        <f ca="1">IFERROR(__xludf.DUMMYFUNCTION("""COMPUTED_VALUE"""),"Will NOT work for them")</f>
        <v>Will NOT work for them</v>
      </c>
      <c r="J640" s="1">
        <f ca="1">IFERROR(__xludf.DUMMYFUNCTION("""COMPUTED_VALUE"""),5)</f>
        <v>5</v>
      </c>
      <c r="K640" s="1" t="str">
        <f ca="1">IFERROR(__xludf.DUMMYFUNCTION("""COMPUTED_VALUE"""),"Hybrid Working Environment with more than 15 days a month at office")</f>
        <v>Hybrid Working Environment with more than 15 days a month at office</v>
      </c>
      <c r="L640" s="1" t="str">
        <f ca="1">IFERROR(__xludf.DUMMYFUNCTION("""COMPUTED_VALUE"""),"Employer who pushes your limits by enabling an learning environment, and rewards you at the end")</f>
        <v>Employer who pushes your limits by enabling an learning environment, and rewards you at the end</v>
      </c>
      <c r="M64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40"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640" s="1" t="str">
        <f ca="1">IFERROR(__xludf.DUMMYFUNCTION("""COMPUTED_VALUE"""),"Manager who sets goal and helps me achieve it")</f>
        <v>Manager who sets goal and helps me achieve it</v>
      </c>
      <c r="P640" s="1" t="str">
        <f ca="1">IFERROR(__xludf.DUMMYFUNCTION("""COMPUTED_VALUE"""),"Work with 7 to 10 or more people in my team")</f>
        <v>Work with 7 to 10 or more people in my team</v>
      </c>
      <c r="Q640" s="1"/>
    </row>
    <row r="641" spans="1:17" ht="13.2" x14ac:dyDescent="0.25">
      <c r="A641" s="2">
        <f ca="1">IFERROR(__xludf.DUMMYFUNCTION("""COMPUTED_VALUE"""),45021.864796655)</f>
        <v>45021.864796654998</v>
      </c>
      <c r="B641" s="1" t="str">
        <f ca="1">IFERROR(__xludf.DUMMYFUNCTION("""COMPUTED_VALUE"""),"India")</f>
        <v>India</v>
      </c>
      <c r="C641" s="1">
        <f ca="1">IFERROR(__xludf.DUMMYFUNCTION("""COMPUTED_VALUE"""),442902)</f>
        <v>442902</v>
      </c>
      <c r="D641" s="3" t="str">
        <f ca="1">IFERROR(__xludf.DUMMYFUNCTION("""COMPUTED_VALUE"""),"Male")</f>
        <v>Male</v>
      </c>
      <c r="E641" s="1" t="str">
        <f ca="1">IFERROR(__xludf.DUMMYFUNCTION("""COMPUTED_VALUE"""),"My Parents")</f>
        <v>My Parents</v>
      </c>
      <c r="F641" s="1" t="str">
        <f ca="1">IFERROR(__xludf.DUMMYFUNCTION("""COMPUTED_VALUE"""),"No, But if someone could bare the cost I will")</f>
        <v>No, But if someone could bare the cost I will</v>
      </c>
      <c r="G641" s="1" t="str">
        <f ca="1">IFERROR(__xludf.DUMMYFUNCTION("""COMPUTED_VALUE"""),"This will be hard to do, but if it is the right company I would try")</f>
        <v>This will be hard to do, but if it is the right company I would try</v>
      </c>
      <c r="H641" s="1" t="str">
        <f ca="1">IFERROR(__xludf.DUMMYFUNCTION("""COMPUTED_VALUE"""),"No")</f>
        <v>No</v>
      </c>
      <c r="I641" s="1" t="str">
        <f ca="1">IFERROR(__xludf.DUMMYFUNCTION("""COMPUTED_VALUE"""),"Will NOT work for them")</f>
        <v>Will NOT work for them</v>
      </c>
      <c r="J641" s="1">
        <f ca="1">IFERROR(__xludf.DUMMYFUNCTION("""COMPUTED_VALUE"""),5)</f>
        <v>5</v>
      </c>
      <c r="K641" s="1" t="str">
        <f ca="1">IFERROR(__xludf.DUMMYFUNCTION("""COMPUTED_VALUE"""),"Fully Remote with Options to travel as and when needed")</f>
        <v>Fully Remote with Options to travel as and when needed</v>
      </c>
      <c r="L641" s="1" t="str">
        <f ca="1">IFERROR(__xludf.DUMMYFUNCTION("""COMPUTED_VALUE"""),"Employer who pushes your limits and doesn't enables learning environment and never rewards you")</f>
        <v>Employer who pushes your limits and doesn't enables learning environment and never rewards you</v>
      </c>
      <c r="M64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4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41" s="1" t="str">
        <f ca="1">IFERROR(__xludf.DUMMYFUNCTION("""COMPUTED_VALUE"""),"Manager who explains what is expected, sets a goal and helps achieve it")</f>
        <v>Manager who explains what is expected, sets a goal and helps achieve it</v>
      </c>
      <c r="P641" s="1" t="str">
        <f ca="1">IFERROR(__xludf.DUMMYFUNCTION("""COMPUTED_VALUE"""),"Work with 7 to 10 or more people in my team")</f>
        <v>Work with 7 to 10 or more people in my team</v>
      </c>
      <c r="Q641" s="1"/>
    </row>
    <row r="642" spans="1:17" ht="13.2" x14ac:dyDescent="0.25">
      <c r="A642" s="2">
        <f ca="1">IFERROR(__xludf.DUMMYFUNCTION("""COMPUTED_VALUE"""),45021.8711031018)</f>
        <v>45021.871103101803</v>
      </c>
      <c r="B642" s="1" t="str">
        <f ca="1">IFERROR(__xludf.DUMMYFUNCTION("""COMPUTED_VALUE"""),"India")</f>
        <v>India</v>
      </c>
      <c r="C642" s="1">
        <f ca="1">IFERROR(__xludf.DUMMYFUNCTION("""COMPUTED_VALUE"""),560034)</f>
        <v>560034</v>
      </c>
      <c r="D642" s="3" t="str">
        <f ca="1">IFERROR(__xludf.DUMMYFUNCTION("""COMPUTED_VALUE"""),"Male")</f>
        <v>Male</v>
      </c>
      <c r="E642" s="1" t="str">
        <f ca="1">IFERROR(__xludf.DUMMYFUNCTION("""COMPUTED_VALUE"""),"Influencers who had successful careers")</f>
        <v>Influencers who had successful careers</v>
      </c>
      <c r="F642" s="1" t="str">
        <f ca="1">IFERROR(__xludf.DUMMYFUNCTION("""COMPUTED_VALUE"""),"Yes, I will earn and do that")</f>
        <v>Yes, I will earn and do that</v>
      </c>
      <c r="G642" s="1" t="str">
        <f ca="1">IFERROR(__xludf.DUMMYFUNCTION("""COMPUTED_VALUE"""),"This will be hard to do, but if it is the right company I would try")</f>
        <v>This will be hard to do, but if it is the right company I would try</v>
      </c>
      <c r="H642" s="1" t="str">
        <f ca="1">IFERROR(__xludf.DUMMYFUNCTION("""COMPUTED_VALUE"""),"No")</f>
        <v>No</v>
      </c>
      <c r="I642" s="1" t="str">
        <f ca="1">IFERROR(__xludf.DUMMYFUNCTION("""COMPUTED_VALUE"""),"Will NOT work for them")</f>
        <v>Will NOT work for them</v>
      </c>
      <c r="J642" s="1">
        <f ca="1">IFERROR(__xludf.DUMMYFUNCTION("""COMPUTED_VALUE"""),6)</f>
        <v>6</v>
      </c>
      <c r="K642" s="1" t="str">
        <f ca="1">IFERROR(__xludf.DUMMYFUNCTION("""COMPUTED_VALUE"""),"Hybrid Working Environment with more than 15 days a month at office")</f>
        <v>Hybrid Working Environment with more than 15 days a month at office</v>
      </c>
      <c r="L642" s="1" t="str">
        <f ca="1">IFERROR(__xludf.DUMMYFUNCTION("""COMPUTED_VALUE"""),"Employer who rewards learning and enables that environment")</f>
        <v>Employer who rewards learning and enables that environment</v>
      </c>
      <c r="M642" s="1" t="str">
        <f ca="1">IFERROR(__xludf.DUMMYFUNCTION("""COMPUTED_VALUE"""),"Instructor or Expert Learning Programs, Learning by observing others, Manager Teaching you")</f>
        <v>Instructor or Expert Learning Programs, Learning by observing others, Manager Teaching you</v>
      </c>
      <c r="N642"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642" s="1" t="str">
        <f ca="1">IFERROR(__xludf.DUMMYFUNCTION("""COMPUTED_VALUE"""),"Manager who explains what is expected, sets a goal and helps achieve it")</f>
        <v>Manager who explains what is expected, sets a goal and helps achieve it</v>
      </c>
      <c r="P642" s="1" t="str">
        <f ca="1">IFERROR(__xludf.DUMMYFUNCTION("""COMPUTED_VALUE"""),"Work alone, Work with 7 to 10 or more people in my team, Work with more than 10 people in my team")</f>
        <v>Work alone, Work with 7 to 10 or more people in my team, Work with more than 10 people in my team</v>
      </c>
      <c r="Q642" s="1"/>
    </row>
    <row r="643" spans="1:17" ht="13.2" x14ac:dyDescent="0.25">
      <c r="A643" s="2">
        <f ca="1">IFERROR(__xludf.DUMMYFUNCTION("""COMPUTED_VALUE"""),45021.8754044791)</f>
        <v>45021.875404479099</v>
      </c>
      <c r="B643" s="1" t="str">
        <f ca="1">IFERROR(__xludf.DUMMYFUNCTION("""COMPUTED_VALUE"""),"India")</f>
        <v>India</v>
      </c>
      <c r="C643" s="1">
        <f ca="1">IFERROR(__xludf.DUMMYFUNCTION("""COMPUTED_VALUE"""),560064)</f>
        <v>560064</v>
      </c>
      <c r="D643" s="3" t="str">
        <f ca="1">IFERROR(__xludf.DUMMYFUNCTION("""COMPUTED_VALUE"""),"Male")</f>
        <v>Male</v>
      </c>
      <c r="E643" s="1" t="str">
        <f ca="1">IFERROR(__xludf.DUMMYFUNCTION("""COMPUTED_VALUE"""),"My Parents")</f>
        <v>My Parents</v>
      </c>
      <c r="F643" s="1" t="str">
        <f ca="1">IFERROR(__xludf.DUMMYFUNCTION("""COMPUTED_VALUE"""),"Yes, I will earn and do that")</f>
        <v>Yes, I will earn and do that</v>
      </c>
      <c r="G643" s="1" t="str">
        <f ca="1">IFERROR(__xludf.DUMMYFUNCTION("""COMPUTED_VALUE"""),"This will be hard to do, but if it is the right company I would try")</f>
        <v>This will be hard to do, but if it is the right company I would try</v>
      </c>
      <c r="H643" s="1" t="str">
        <f ca="1">IFERROR(__xludf.DUMMYFUNCTION("""COMPUTED_VALUE"""),"No")</f>
        <v>No</v>
      </c>
      <c r="I643" s="1" t="str">
        <f ca="1">IFERROR(__xludf.DUMMYFUNCTION("""COMPUTED_VALUE"""),"Will NOT work for them")</f>
        <v>Will NOT work for them</v>
      </c>
      <c r="J643" s="1">
        <f ca="1">IFERROR(__xludf.DUMMYFUNCTION("""COMPUTED_VALUE"""),5)</f>
        <v>5</v>
      </c>
      <c r="K643" s="1" t="str">
        <f ca="1">IFERROR(__xludf.DUMMYFUNCTION("""COMPUTED_VALUE"""),"Hybrid Working Environment with more than 15 days a month at office")</f>
        <v>Hybrid Working Environment with more than 15 days a month at office</v>
      </c>
      <c r="L643" s="1" t="str">
        <f ca="1">IFERROR(__xludf.DUMMYFUNCTION("""COMPUTED_VALUE"""),"Employer who rewards learning and enables that environment")</f>
        <v>Employer who rewards learning and enables that environment</v>
      </c>
      <c r="M643" s="1" t="str">
        <f ca="1">IFERROR(__xludf.DUMMYFUNCTION("""COMPUTED_VALUE"""),"Self Paced Learning Portals of the Company, Instructor or Expert Learning Programs, Manager Teaching you")</f>
        <v>Self Paced Learning Portals of the Company, Instructor or Expert Learning Programs, Manager Teaching you</v>
      </c>
      <c r="N643"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643" s="1" t="str">
        <f ca="1">IFERROR(__xludf.DUMMYFUNCTION("""COMPUTED_VALUE"""),"Manager who explains what is expected, sets a goal and helps achieve it")</f>
        <v>Manager who explains what is expected, sets a goal and helps achieve it</v>
      </c>
      <c r="P643" s="1" t="str">
        <f ca="1">IFERROR(__xludf.DUMMYFUNCTION("""COMPUTED_VALUE"""),"Work with 5 to 6 people in my team")</f>
        <v>Work with 5 to 6 people in my team</v>
      </c>
      <c r="Q643" s="1"/>
    </row>
    <row r="644" spans="1:17" ht="13.2" x14ac:dyDescent="0.25">
      <c r="A644" s="2">
        <f ca="1">IFERROR(__xludf.DUMMYFUNCTION("""COMPUTED_VALUE"""),45021.8755624074)</f>
        <v>45021.875562407397</v>
      </c>
      <c r="B644" s="1" t="str">
        <f ca="1">IFERROR(__xludf.DUMMYFUNCTION("""COMPUTED_VALUE"""),"India")</f>
        <v>India</v>
      </c>
      <c r="C644" s="1">
        <f ca="1">IFERROR(__xludf.DUMMYFUNCTION("""COMPUTED_VALUE"""),560004)</f>
        <v>560004</v>
      </c>
      <c r="D644" s="3" t="str">
        <f ca="1">IFERROR(__xludf.DUMMYFUNCTION("""COMPUTED_VALUE"""),"Female")</f>
        <v>Female</v>
      </c>
      <c r="E644" s="1" t="str">
        <f ca="1">IFERROR(__xludf.DUMMYFUNCTION("""COMPUTED_VALUE"""),"People from my circle, but not family members")</f>
        <v>People from my circle, but not family members</v>
      </c>
      <c r="F644" s="1" t="str">
        <f ca="1">IFERROR(__xludf.DUMMYFUNCTION("""COMPUTED_VALUE"""),"Yes, I will earn and do that")</f>
        <v>Yes, I will earn and do that</v>
      </c>
      <c r="G644" s="1" t="str">
        <f ca="1">IFERROR(__xludf.DUMMYFUNCTION("""COMPUTED_VALUE"""),"This will be hard to do, but if it is the right company I would try")</f>
        <v>This will be hard to do, but if it is the right company I would try</v>
      </c>
      <c r="H644" s="1" t="str">
        <f ca="1">IFERROR(__xludf.DUMMYFUNCTION("""COMPUTED_VALUE"""),"No")</f>
        <v>No</v>
      </c>
      <c r="I644" s="1" t="str">
        <f ca="1">IFERROR(__xludf.DUMMYFUNCTION("""COMPUTED_VALUE"""),"Will NOT work for them")</f>
        <v>Will NOT work for them</v>
      </c>
      <c r="J644" s="1">
        <f ca="1">IFERROR(__xludf.DUMMYFUNCTION("""COMPUTED_VALUE"""),7)</f>
        <v>7</v>
      </c>
      <c r="K644" s="1" t="str">
        <f ca="1">IFERROR(__xludf.DUMMYFUNCTION("""COMPUTED_VALUE"""),"Fully Remote with Options to travel as and when needed")</f>
        <v>Fully Remote with Options to travel as and when needed</v>
      </c>
      <c r="L644" s="1" t="str">
        <f ca="1">IFERROR(__xludf.DUMMYFUNCTION("""COMPUTED_VALUE"""),"Employer who pushes your limits by enabling an learning environment, and rewards you at the end")</f>
        <v>Employer who pushes your limits by enabling an learning environment, and rewards you at the end</v>
      </c>
      <c r="M6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4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44" s="1" t="str">
        <f ca="1">IFERROR(__xludf.DUMMYFUNCTION("""COMPUTED_VALUE"""),"Manager who explains what is expected, sets a goal and helps achieve it")</f>
        <v>Manager who explains what is expected, sets a goal and helps achieve it</v>
      </c>
      <c r="P644" s="1" t="str">
        <f ca="1">IFERROR(__xludf.DUMMYFUNCTION("""COMPUTED_VALUE"""),"Work with 5 to 6 people in my team")</f>
        <v>Work with 5 to 6 people in my team</v>
      </c>
      <c r="Q644" s="1"/>
    </row>
    <row r="645" spans="1:17" ht="13.2" x14ac:dyDescent="0.25">
      <c r="A645" s="2">
        <f ca="1">IFERROR(__xludf.DUMMYFUNCTION("""COMPUTED_VALUE"""),45021.8786224189)</f>
        <v>45021.878622418903</v>
      </c>
      <c r="B645" s="1" t="str">
        <f ca="1">IFERROR(__xludf.DUMMYFUNCTION("""COMPUTED_VALUE"""),"India")</f>
        <v>India</v>
      </c>
      <c r="C645" s="1">
        <f ca="1">IFERROR(__xludf.DUMMYFUNCTION("""COMPUTED_VALUE"""),603103)</f>
        <v>603103</v>
      </c>
      <c r="D645" s="3" t="str">
        <f ca="1">IFERROR(__xludf.DUMMYFUNCTION("""COMPUTED_VALUE"""),"Female")</f>
        <v>Female</v>
      </c>
      <c r="E645" s="1" t="str">
        <f ca="1">IFERROR(__xludf.DUMMYFUNCTION("""COMPUTED_VALUE"""),"Influencers who had successful careers")</f>
        <v>Influencers who had successful careers</v>
      </c>
      <c r="F645" s="1" t="str">
        <f ca="1">IFERROR(__xludf.DUMMYFUNCTION("""COMPUTED_VALUE"""),"No, But if someone could bare the cost I will")</f>
        <v>No, But if someone could bare the cost I will</v>
      </c>
      <c r="G645" s="1" t="str">
        <f ca="1">IFERROR(__xludf.DUMMYFUNCTION("""COMPUTED_VALUE"""),"This will be hard to do, but if it is the right company I would try")</f>
        <v>This will be hard to do, but if it is the right company I would try</v>
      </c>
      <c r="H645" s="1" t="str">
        <f ca="1">IFERROR(__xludf.DUMMYFUNCTION("""COMPUTED_VALUE"""),"No")</f>
        <v>No</v>
      </c>
      <c r="I645" s="1" t="str">
        <f ca="1">IFERROR(__xludf.DUMMYFUNCTION("""COMPUTED_VALUE"""),"Will NOT work for them")</f>
        <v>Will NOT work for them</v>
      </c>
      <c r="J645" s="1">
        <f ca="1">IFERROR(__xludf.DUMMYFUNCTION("""COMPUTED_VALUE"""),1)</f>
        <v>1</v>
      </c>
      <c r="K645" s="1" t="str">
        <f ca="1">IFERROR(__xludf.DUMMYFUNCTION("""COMPUTED_VALUE"""),"Hybrid Working Environment with less than 3 days a month at office")</f>
        <v>Hybrid Working Environment with less than 3 days a month at office</v>
      </c>
      <c r="L645" s="1" t="str">
        <f ca="1">IFERROR(__xludf.DUMMYFUNCTION("""COMPUTED_VALUE"""),"Employer who appreciates learning and enables that environment")</f>
        <v>Employer who appreciates learning and enables that environment</v>
      </c>
      <c r="M645" s="1" t="str">
        <f ca="1">IFERROR(__xludf.DUMMYFUNCTION("""COMPUTED_VALUE"""),"Self Paced Learning Portals of the Company, Learning by observing others, Manager Teaching you")</f>
        <v>Self Paced Learning Portals of the Company, Learning by observing others, Manager Teaching you</v>
      </c>
      <c r="N64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45" s="1" t="str">
        <f ca="1">IFERROR(__xludf.DUMMYFUNCTION("""COMPUTED_VALUE"""),"Manager who sets unrealistic targets")</f>
        <v>Manager who sets unrealistic targets</v>
      </c>
      <c r="P645" s="1" t="str">
        <f ca="1">IFERROR(__xludf.DUMMYFUNCTION("""COMPUTED_VALUE"""),"Work with 7 to 10 or more people in my team")</f>
        <v>Work with 7 to 10 or more people in my team</v>
      </c>
      <c r="Q645" s="1"/>
    </row>
    <row r="646" spans="1:17" ht="13.2" x14ac:dyDescent="0.25">
      <c r="A646" s="2">
        <f ca="1">IFERROR(__xludf.DUMMYFUNCTION("""COMPUTED_VALUE"""),45021.8788733912)</f>
        <v>45021.878873391201</v>
      </c>
      <c r="B646" s="1" t="str">
        <f ca="1">IFERROR(__xludf.DUMMYFUNCTION("""COMPUTED_VALUE"""),"India")</f>
        <v>India</v>
      </c>
      <c r="C646" s="1">
        <f ca="1">IFERROR(__xludf.DUMMYFUNCTION("""COMPUTED_VALUE"""),144003)</f>
        <v>144003</v>
      </c>
      <c r="D646" s="3" t="str">
        <f ca="1">IFERROR(__xludf.DUMMYFUNCTION("""COMPUTED_VALUE"""),"Male")</f>
        <v>Male</v>
      </c>
      <c r="E646" s="1" t="str">
        <f ca="1">IFERROR(__xludf.DUMMYFUNCTION("""COMPUTED_VALUE"""),"My Parents")</f>
        <v>My Parents</v>
      </c>
      <c r="F646" s="1" t="str">
        <f ca="1">IFERROR(__xludf.DUMMYFUNCTION("""COMPUTED_VALUE"""),"No I would not be pursuing Higher Education outside of India")</f>
        <v>No I would not be pursuing Higher Education outside of India</v>
      </c>
      <c r="G646" s="1" t="str">
        <f ca="1">IFERROR(__xludf.DUMMYFUNCTION("""COMPUTED_VALUE"""),"No way")</f>
        <v>No way</v>
      </c>
      <c r="H646" s="1" t="str">
        <f ca="1">IFERROR(__xludf.DUMMYFUNCTION("""COMPUTED_VALUE"""),"No")</f>
        <v>No</v>
      </c>
      <c r="I646" s="1" t="str">
        <f ca="1">IFERROR(__xludf.DUMMYFUNCTION("""COMPUTED_VALUE"""),"Will NOT work for them")</f>
        <v>Will NOT work for them</v>
      </c>
      <c r="J646" s="1">
        <f ca="1">IFERROR(__xludf.DUMMYFUNCTION("""COMPUTED_VALUE"""),1)</f>
        <v>1</v>
      </c>
      <c r="K646" s="1" t="str">
        <f ca="1">IFERROR(__xludf.DUMMYFUNCTION("""COMPUTED_VALUE"""),"Every Day Office Environment")</f>
        <v>Every Day Office Environment</v>
      </c>
      <c r="L646" s="1" t="str">
        <f ca="1">IFERROR(__xludf.DUMMYFUNCTION("""COMPUTED_VALUE"""),"Employer who pushes your limits by enabling an learning environment, and rewards you at the end")</f>
        <v>Employer who pushes your limits by enabling an learning environment, and rewards you at the end</v>
      </c>
      <c r="M6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4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46" s="1" t="str">
        <f ca="1">IFERROR(__xludf.DUMMYFUNCTION("""COMPUTED_VALUE"""),"Manager who explains what is expected, sets a goal and helps achieve it")</f>
        <v>Manager who explains what is expected, sets a goal and helps achieve it</v>
      </c>
      <c r="P646" s="1" t="str">
        <f ca="1">IFERROR(__xludf.DUMMYFUNCTION("""COMPUTED_VALUE"""),"Work with 5 to 6 people in my team")</f>
        <v>Work with 5 to 6 people in my team</v>
      </c>
      <c r="Q646" s="1"/>
    </row>
    <row r="647" spans="1:17" ht="13.2" x14ac:dyDescent="0.25">
      <c r="A647" s="2">
        <f ca="1">IFERROR(__xludf.DUMMYFUNCTION("""COMPUTED_VALUE"""),45021.8795318402)</f>
        <v>45021.879531840197</v>
      </c>
      <c r="B647" s="1" t="str">
        <f ca="1">IFERROR(__xludf.DUMMYFUNCTION("""COMPUTED_VALUE"""),"India")</f>
        <v>India</v>
      </c>
      <c r="C647" s="1">
        <f ca="1">IFERROR(__xludf.DUMMYFUNCTION("""COMPUTED_VALUE"""),800003)</f>
        <v>800003</v>
      </c>
      <c r="D647" s="3" t="str">
        <f ca="1">IFERROR(__xludf.DUMMYFUNCTION("""COMPUTED_VALUE"""),"Female")</f>
        <v>Female</v>
      </c>
      <c r="E647" s="1" t="str">
        <f ca="1">IFERROR(__xludf.DUMMYFUNCTION("""COMPUTED_VALUE"""),"My Parents")</f>
        <v>My Parents</v>
      </c>
      <c r="F647" s="1" t="str">
        <f ca="1">IFERROR(__xludf.DUMMYFUNCTION("""COMPUTED_VALUE"""),"Yes, I will earn and do that")</f>
        <v>Yes, I will earn and do that</v>
      </c>
      <c r="G647" s="1" t="str">
        <f ca="1">IFERROR(__xludf.DUMMYFUNCTION("""COMPUTED_VALUE"""),"No way")</f>
        <v>No way</v>
      </c>
      <c r="H647" s="1" t="str">
        <f ca="1">IFERROR(__xludf.DUMMYFUNCTION("""COMPUTED_VALUE"""),"No")</f>
        <v>No</v>
      </c>
      <c r="I647" s="1" t="str">
        <f ca="1">IFERROR(__xludf.DUMMYFUNCTION("""COMPUTED_VALUE"""),"Will NOT work for them")</f>
        <v>Will NOT work for them</v>
      </c>
      <c r="J647" s="1">
        <f ca="1">IFERROR(__xludf.DUMMYFUNCTION("""COMPUTED_VALUE"""),2)</f>
        <v>2</v>
      </c>
      <c r="K647" s="1" t="str">
        <f ca="1">IFERROR(__xludf.DUMMYFUNCTION("""COMPUTED_VALUE"""),"Every Day Office Environment")</f>
        <v>Every Day Office Environment</v>
      </c>
      <c r="L647" s="1" t="str">
        <f ca="1">IFERROR(__xludf.DUMMYFUNCTION("""COMPUTED_VALUE"""),"Employers who appreciates learning but doesn't enables an learning environment")</f>
        <v>Employers who appreciates learning but doesn't enables an learning environment</v>
      </c>
      <c r="M64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47"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647" s="1" t="str">
        <f ca="1">IFERROR(__xludf.DUMMYFUNCTION("""COMPUTED_VALUE"""),"Manager who sets targets and expects me to achieve it")</f>
        <v>Manager who sets targets and expects me to achieve it</v>
      </c>
      <c r="P647" s="1" t="str">
        <f ca="1">IFERROR(__xludf.DUMMYFUNCTION("""COMPUTED_VALUE"""),"Work alone, Work with 2 to 3 people in my team")</f>
        <v>Work alone, Work with 2 to 3 people in my team</v>
      </c>
      <c r="Q647" s="1"/>
    </row>
    <row r="648" spans="1:17" ht="13.2" x14ac:dyDescent="0.25">
      <c r="A648" s="2">
        <f ca="1">IFERROR(__xludf.DUMMYFUNCTION("""COMPUTED_VALUE"""),45021.8810998611)</f>
        <v>45021.881099861101</v>
      </c>
      <c r="B648" s="1" t="str">
        <f ca="1">IFERROR(__xludf.DUMMYFUNCTION("""COMPUTED_VALUE"""),"India")</f>
        <v>India</v>
      </c>
      <c r="C648" s="1">
        <f ca="1">IFERROR(__xludf.DUMMYFUNCTION("""COMPUTED_VALUE"""),380058)</f>
        <v>380058</v>
      </c>
      <c r="D648" s="3" t="str">
        <f ca="1">IFERROR(__xludf.DUMMYFUNCTION("""COMPUTED_VALUE"""),"Female")</f>
        <v>Female</v>
      </c>
      <c r="E648" s="1" t="str">
        <f ca="1">IFERROR(__xludf.DUMMYFUNCTION("""COMPUTED_VALUE"""),"Social Media like LinkedIn")</f>
        <v>Social Media like LinkedIn</v>
      </c>
      <c r="F648" s="1" t="str">
        <f ca="1">IFERROR(__xludf.DUMMYFUNCTION("""COMPUTED_VALUE"""),"No, But if someone could bare the cost I will")</f>
        <v>No, But if someone could bare the cost I will</v>
      </c>
      <c r="G648" s="1" t="str">
        <f ca="1">IFERROR(__xludf.DUMMYFUNCTION("""COMPUTED_VALUE"""),"This will be hard to do, but if it is the right company I would try")</f>
        <v>This will be hard to do, but if it is the right company I would try</v>
      </c>
      <c r="H648" s="1" t="str">
        <f ca="1">IFERROR(__xludf.DUMMYFUNCTION("""COMPUTED_VALUE"""),"No")</f>
        <v>No</v>
      </c>
      <c r="I648" s="1" t="str">
        <f ca="1">IFERROR(__xludf.DUMMYFUNCTION("""COMPUTED_VALUE"""),"Will NOT work for them")</f>
        <v>Will NOT work for them</v>
      </c>
      <c r="J648" s="1">
        <f ca="1">IFERROR(__xludf.DUMMYFUNCTION("""COMPUTED_VALUE"""),2)</f>
        <v>2</v>
      </c>
      <c r="K648" s="1" t="str">
        <f ca="1">IFERROR(__xludf.DUMMYFUNCTION("""COMPUTED_VALUE"""),"Hybrid Working Environment with less than 3 days a month at office")</f>
        <v>Hybrid Working Environment with less than 3 days a month at office</v>
      </c>
      <c r="L648" s="1" t="str">
        <f ca="1">IFERROR(__xludf.DUMMYFUNCTION("""COMPUTED_VALUE"""),"Employer who rewards learning and enables that environment")</f>
        <v>Employer who rewards learning and enables that environment</v>
      </c>
      <c r="M64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4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48" s="1" t="str">
        <f ca="1">IFERROR(__xludf.DUMMYFUNCTION("""COMPUTED_VALUE"""),"Manager who explains what is expected, sets a goal and helps achieve it")</f>
        <v>Manager who explains what is expected, sets a goal and helps achieve it</v>
      </c>
      <c r="P648" s="1" t="str">
        <f ca="1">IFERROR(__xludf.DUMMYFUNCTION("""COMPUTED_VALUE"""),"Work with 2 to 3 people in my team")</f>
        <v>Work with 2 to 3 people in my team</v>
      </c>
      <c r="Q648" s="1"/>
    </row>
    <row r="649" spans="1:17" ht="13.2" x14ac:dyDescent="0.25">
      <c r="A649" s="2">
        <f ca="1">IFERROR(__xludf.DUMMYFUNCTION("""COMPUTED_VALUE"""),45021.8811337615)</f>
        <v>45021.881133761497</v>
      </c>
      <c r="B649" s="1" t="str">
        <f ca="1">IFERROR(__xludf.DUMMYFUNCTION("""COMPUTED_VALUE"""),"India")</f>
        <v>India</v>
      </c>
      <c r="C649" s="1">
        <f ca="1">IFERROR(__xludf.DUMMYFUNCTION("""COMPUTED_VALUE"""),400037)</f>
        <v>400037</v>
      </c>
      <c r="D649" s="3" t="str">
        <f ca="1">IFERROR(__xludf.DUMMYFUNCTION("""COMPUTED_VALUE"""),"Male")</f>
        <v>Male</v>
      </c>
      <c r="E649" s="1" t="str">
        <f ca="1">IFERROR(__xludf.DUMMYFUNCTION("""COMPUTED_VALUE"""),"Influencers who had successful careers")</f>
        <v>Influencers who had successful careers</v>
      </c>
      <c r="F649" s="1" t="str">
        <f ca="1">IFERROR(__xludf.DUMMYFUNCTION("""COMPUTED_VALUE"""),"No, But if someone could bare the cost I will")</f>
        <v>No, But if someone could bare the cost I will</v>
      </c>
      <c r="G649" s="1" t="str">
        <f ca="1">IFERROR(__xludf.DUMMYFUNCTION("""COMPUTED_VALUE"""),"Will work for 3 years or more")</f>
        <v>Will work for 3 years or more</v>
      </c>
      <c r="H649" s="1" t="str">
        <f ca="1">IFERROR(__xludf.DUMMYFUNCTION("""COMPUTED_VALUE"""),"Yes")</f>
        <v>Yes</v>
      </c>
      <c r="I649" s="1" t="str">
        <f ca="1">IFERROR(__xludf.DUMMYFUNCTION("""COMPUTED_VALUE"""),"Will work for them")</f>
        <v>Will work for them</v>
      </c>
      <c r="J649" s="1">
        <f ca="1">IFERROR(__xludf.DUMMYFUNCTION("""COMPUTED_VALUE"""),3)</f>
        <v>3</v>
      </c>
      <c r="K649" s="1" t="str">
        <f ca="1">IFERROR(__xludf.DUMMYFUNCTION("""COMPUTED_VALUE"""),"Hybrid Working Environment with more than 15 days a month at office")</f>
        <v>Hybrid Working Environment with more than 15 days a month at office</v>
      </c>
      <c r="L649" s="1" t="str">
        <f ca="1">IFERROR(__xludf.DUMMYFUNCTION("""COMPUTED_VALUE"""),"Employer who pushes your limits and doesn't enables learning environment and never rewards you")</f>
        <v>Employer who pushes your limits and doesn't enables learning environment and never rewards you</v>
      </c>
      <c r="M64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4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649" s="1" t="str">
        <f ca="1">IFERROR(__xludf.DUMMYFUNCTION("""COMPUTED_VALUE"""),"Manager who sets goal and helps me achieve it")</f>
        <v>Manager who sets goal and helps me achieve it</v>
      </c>
      <c r="P649" s="1" t="str">
        <f ca="1">IFERROR(__xludf.DUMMYFUNCTION("""COMPUTED_VALUE"""),"Work with 5 to 6 people in my team")</f>
        <v>Work with 5 to 6 people in my team</v>
      </c>
      <c r="Q649" s="1"/>
    </row>
    <row r="650" spans="1:17" ht="13.2" x14ac:dyDescent="0.25">
      <c r="A650" s="2">
        <f ca="1">IFERROR(__xludf.DUMMYFUNCTION("""COMPUTED_VALUE"""),45021.8816676388)</f>
        <v>45021.881667638801</v>
      </c>
      <c r="B650" s="1" t="str">
        <f ca="1">IFERROR(__xludf.DUMMYFUNCTION("""COMPUTED_VALUE"""),"India")</f>
        <v>India</v>
      </c>
      <c r="C650" s="1">
        <f ca="1">IFERROR(__xludf.DUMMYFUNCTION("""COMPUTED_VALUE"""),411040)</f>
        <v>411040</v>
      </c>
      <c r="D650" s="3" t="str">
        <f ca="1">IFERROR(__xludf.DUMMYFUNCTION("""COMPUTED_VALUE"""),"Female")</f>
        <v>Female</v>
      </c>
      <c r="E650" s="1" t="str">
        <f ca="1">IFERROR(__xludf.DUMMYFUNCTION("""COMPUTED_VALUE"""),"My Parents")</f>
        <v>My Parents</v>
      </c>
      <c r="F650" s="1" t="str">
        <f ca="1">IFERROR(__xludf.DUMMYFUNCTION("""COMPUTED_VALUE"""),"Yes, I will earn and do that")</f>
        <v>Yes, I will earn and do that</v>
      </c>
      <c r="G650" s="1" t="str">
        <f ca="1">IFERROR(__xludf.DUMMYFUNCTION("""COMPUTED_VALUE"""),"Will work for 3 years or more")</f>
        <v>Will work for 3 years or more</v>
      </c>
      <c r="H650" s="1" t="str">
        <f ca="1">IFERROR(__xludf.DUMMYFUNCTION("""COMPUTED_VALUE"""),"No")</f>
        <v>No</v>
      </c>
      <c r="I650" s="1" t="str">
        <f ca="1">IFERROR(__xludf.DUMMYFUNCTION("""COMPUTED_VALUE"""),"Will NOT work for them")</f>
        <v>Will NOT work for them</v>
      </c>
      <c r="J650" s="1">
        <f ca="1">IFERROR(__xludf.DUMMYFUNCTION("""COMPUTED_VALUE"""),1)</f>
        <v>1</v>
      </c>
      <c r="K650" s="1" t="str">
        <f ca="1">IFERROR(__xludf.DUMMYFUNCTION("""COMPUTED_VALUE"""),"Hybrid Working Environment with more than 15 days a month at office")</f>
        <v>Hybrid Working Environment with more than 15 days a month at office</v>
      </c>
      <c r="L650" s="1" t="str">
        <f ca="1">IFERROR(__xludf.DUMMYFUNCTION("""COMPUTED_VALUE"""),"Employer who pushes your limits by enabling an learning environment, and rewards you at the end")</f>
        <v>Employer who pushes your limits by enabling an learning environment, and rewards you at the end</v>
      </c>
      <c r="M6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650" s="1" t="str">
        <f ca="1">IFERROR(__xludf.DUMMYFUNCTION("""COMPUTED_VALUE"""),"Manager who clearly describes what she/he needs")</f>
        <v>Manager who clearly describes what she/he needs</v>
      </c>
      <c r="P650" s="1" t="str">
        <f ca="1">IFERROR(__xludf.DUMMYFUNCTION("""COMPUTED_VALUE"""),"Work with 2 to 3 people in my team")</f>
        <v>Work with 2 to 3 people in my team</v>
      </c>
      <c r="Q650" s="1"/>
    </row>
    <row r="651" spans="1:17" ht="13.2" x14ac:dyDescent="0.25">
      <c r="A651" s="2">
        <f ca="1">IFERROR(__xludf.DUMMYFUNCTION("""COMPUTED_VALUE"""),45021.8837193981)</f>
        <v>45021.883719398102</v>
      </c>
      <c r="B651" s="1" t="str">
        <f ca="1">IFERROR(__xludf.DUMMYFUNCTION("""COMPUTED_VALUE"""),"India")</f>
        <v>India</v>
      </c>
      <c r="C651" s="1">
        <f ca="1">IFERROR(__xludf.DUMMYFUNCTION("""COMPUTED_VALUE"""),631209)</f>
        <v>631209</v>
      </c>
      <c r="D651" s="3" t="str">
        <f ca="1">IFERROR(__xludf.DUMMYFUNCTION("""COMPUTED_VALUE"""),"Female")</f>
        <v>Female</v>
      </c>
      <c r="E651" s="1" t="str">
        <f ca="1">IFERROR(__xludf.DUMMYFUNCTION("""COMPUTED_VALUE"""),"My Parents")</f>
        <v>My Parents</v>
      </c>
      <c r="F651" s="1" t="str">
        <f ca="1">IFERROR(__xludf.DUMMYFUNCTION("""COMPUTED_VALUE"""),"No I would not be pursuing Higher Education outside of India")</f>
        <v>No I would not be pursuing Higher Education outside of India</v>
      </c>
      <c r="G651" s="1" t="str">
        <f ca="1">IFERROR(__xludf.DUMMYFUNCTION("""COMPUTED_VALUE"""),"Will work for 3 years or more")</f>
        <v>Will work for 3 years or more</v>
      </c>
      <c r="H651" s="1" t="str">
        <f ca="1">IFERROR(__xludf.DUMMYFUNCTION("""COMPUTED_VALUE"""),"Yes")</f>
        <v>Yes</v>
      </c>
      <c r="I651" s="1" t="str">
        <f ca="1">IFERROR(__xludf.DUMMYFUNCTION("""COMPUTED_VALUE"""),"Will NOT work for them")</f>
        <v>Will NOT work for them</v>
      </c>
      <c r="J651" s="1">
        <f ca="1">IFERROR(__xludf.DUMMYFUNCTION("""COMPUTED_VALUE"""),5)</f>
        <v>5</v>
      </c>
      <c r="K651" s="1" t="str">
        <f ca="1">IFERROR(__xludf.DUMMYFUNCTION("""COMPUTED_VALUE"""),"Every Day Office Environment")</f>
        <v>Every Day Office Environment</v>
      </c>
      <c r="L651" s="1" t="str">
        <f ca="1">IFERROR(__xludf.DUMMYFUNCTION("""COMPUTED_VALUE"""),"Employer who appreciates learning and enables that environment")</f>
        <v>Employer who appreciates learning and enables that environment</v>
      </c>
      <c r="M651"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51"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651" s="1" t="str">
        <f ca="1">IFERROR(__xludf.DUMMYFUNCTION("""COMPUTED_VALUE"""),"Manager who sets goal and helps me achieve it")</f>
        <v>Manager who sets goal and helps me achieve it</v>
      </c>
      <c r="P651" s="1" t="str">
        <f ca="1">IFERROR(__xludf.DUMMYFUNCTION("""COMPUTED_VALUE"""),"Work with 5 to 6 people in my team")</f>
        <v>Work with 5 to 6 people in my team</v>
      </c>
      <c r="Q651" s="1"/>
    </row>
    <row r="652" spans="1:17" ht="13.2" x14ac:dyDescent="0.25">
      <c r="A652" s="2">
        <f ca="1">IFERROR(__xludf.DUMMYFUNCTION("""COMPUTED_VALUE"""),45021.884564456)</f>
        <v>45021.884564455999</v>
      </c>
      <c r="B652" s="1" t="str">
        <f ca="1">IFERROR(__xludf.DUMMYFUNCTION("""COMPUTED_VALUE"""),"India")</f>
        <v>India</v>
      </c>
      <c r="C652" s="1">
        <f ca="1">IFERROR(__xludf.DUMMYFUNCTION("""COMPUTED_VALUE"""),364002)</f>
        <v>364002</v>
      </c>
      <c r="D652" s="3" t="str">
        <f ca="1">IFERROR(__xludf.DUMMYFUNCTION("""COMPUTED_VALUE"""),"Female")</f>
        <v>Female</v>
      </c>
      <c r="E652" s="1" t="str">
        <f ca="1">IFERROR(__xludf.DUMMYFUNCTION("""COMPUTED_VALUE"""),"My Parents")</f>
        <v>My Parents</v>
      </c>
      <c r="F652" s="1" t="str">
        <f ca="1">IFERROR(__xludf.DUMMYFUNCTION("""COMPUTED_VALUE"""),"No, But if someone could bare the cost I will")</f>
        <v>No, But if someone could bare the cost I will</v>
      </c>
      <c r="G652" s="1" t="str">
        <f ca="1">IFERROR(__xludf.DUMMYFUNCTION("""COMPUTED_VALUE"""),"This will be hard to do, but if it is the right company I would try")</f>
        <v>This will be hard to do, but if it is the right company I would try</v>
      </c>
      <c r="H652" s="1" t="str">
        <f ca="1">IFERROR(__xludf.DUMMYFUNCTION("""COMPUTED_VALUE"""),"Yes")</f>
        <v>Yes</v>
      </c>
      <c r="I652" s="1" t="str">
        <f ca="1">IFERROR(__xludf.DUMMYFUNCTION("""COMPUTED_VALUE"""),"Will work for them")</f>
        <v>Will work for them</v>
      </c>
      <c r="J652" s="1">
        <f ca="1">IFERROR(__xludf.DUMMYFUNCTION("""COMPUTED_VALUE"""),1)</f>
        <v>1</v>
      </c>
      <c r="K652" s="1" t="str">
        <f ca="1">IFERROR(__xludf.DUMMYFUNCTION("""COMPUTED_VALUE"""),"Fully Remote with Options to travel as and when needed")</f>
        <v>Fully Remote with Options to travel as and when needed</v>
      </c>
      <c r="L652" s="1" t="str">
        <f ca="1">IFERROR(__xludf.DUMMYFUNCTION("""COMPUTED_VALUE"""),"Employer who pushes your limits by enabling an learning environment, and rewards you at the end")</f>
        <v>Employer who pushes your limits by enabling an learning environment, and rewards you at the end</v>
      </c>
      <c r="M652"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652" s="1" t="str">
        <f ca="1">IFERROR(__xludf.DUMMYFUNCTION("""COMPUTED_VALUE"""),"Design and Creative strategy in any company, Build and develop a Team, Become a content Creator in some platform, Entrepreneur or Start Up")</f>
        <v>Design and Creative strategy in any company, Build and develop a Team, Become a content Creator in some platform, Entrepreneur or Start Up</v>
      </c>
      <c r="O652" s="1" t="str">
        <f ca="1">IFERROR(__xludf.DUMMYFUNCTION("""COMPUTED_VALUE"""),"Manager who explains what is expected, sets a goal and helps achieve it")</f>
        <v>Manager who explains what is expected, sets a goal and helps achieve it</v>
      </c>
      <c r="P652" s="1" t="str">
        <f ca="1">IFERROR(__xludf.DUMMYFUNCTION("""COMPUTED_VALUE"""),"Work with 5 to 6 people in my team")</f>
        <v>Work with 5 to 6 people in my team</v>
      </c>
      <c r="Q652" s="1"/>
    </row>
    <row r="653" spans="1:17" ht="13.2" x14ac:dyDescent="0.25">
      <c r="A653" s="2">
        <f ca="1">IFERROR(__xludf.DUMMYFUNCTION("""COMPUTED_VALUE"""),45021.8871447222)</f>
        <v>45021.887144722197</v>
      </c>
      <c r="B653" s="1" t="str">
        <f ca="1">IFERROR(__xludf.DUMMYFUNCTION("""COMPUTED_VALUE"""),"India")</f>
        <v>India</v>
      </c>
      <c r="C653" s="1">
        <f ca="1">IFERROR(__xludf.DUMMYFUNCTION("""COMPUTED_VALUE"""),500088)</f>
        <v>500088</v>
      </c>
      <c r="D653" s="3" t="str">
        <f ca="1">IFERROR(__xludf.DUMMYFUNCTION("""COMPUTED_VALUE"""),"Female")</f>
        <v>Female</v>
      </c>
      <c r="E653" s="1" t="str">
        <f ca="1">IFERROR(__xludf.DUMMYFUNCTION("""COMPUTED_VALUE"""),"My Parents")</f>
        <v>My Parents</v>
      </c>
      <c r="F653" s="1" t="str">
        <f ca="1">IFERROR(__xludf.DUMMYFUNCTION("""COMPUTED_VALUE"""),"Yes, I will earn and do that")</f>
        <v>Yes, I will earn and do that</v>
      </c>
      <c r="G653" s="1" t="str">
        <f ca="1">IFERROR(__xludf.DUMMYFUNCTION("""COMPUTED_VALUE"""),"This will be hard to do, but if it is the right company I would try")</f>
        <v>This will be hard to do, but if it is the right company I would try</v>
      </c>
      <c r="H653" s="1" t="str">
        <f ca="1">IFERROR(__xludf.DUMMYFUNCTION("""COMPUTED_VALUE"""),"No")</f>
        <v>No</v>
      </c>
      <c r="I653" s="1" t="str">
        <f ca="1">IFERROR(__xludf.DUMMYFUNCTION("""COMPUTED_VALUE"""),"Will NOT work for them")</f>
        <v>Will NOT work for them</v>
      </c>
      <c r="J653" s="1">
        <f ca="1">IFERROR(__xludf.DUMMYFUNCTION("""COMPUTED_VALUE"""),5)</f>
        <v>5</v>
      </c>
      <c r="K653" s="1" t="str">
        <f ca="1">IFERROR(__xludf.DUMMYFUNCTION("""COMPUTED_VALUE"""),"Fully Remote with Options to travel as and when needed")</f>
        <v>Fully Remote with Options to travel as and when needed</v>
      </c>
      <c r="L653" s="1" t="str">
        <f ca="1">IFERROR(__xludf.DUMMYFUNCTION("""COMPUTED_VALUE"""),"Employer who pushes your limits by enabling an learning environment, and rewards you at the end")</f>
        <v>Employer who pushes your limits by enabling an learning environment, and rewards you at the end</v>
      </c>
      <c r="M6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5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53" s="1" t="str">
        <f ca="1">IFERROR(__xludf.DUMMYFUNCTION("""COMPUTED_VALUE"""),"Manager who explains what is expected, sets a goal and helps achieve it")</f>
        <v>Manager who explains what is expected, sets a goal and helps achieve it</v>
      </c>
      <c r="P653" s="1" t="str">
        <f ca="1">IFERROR(__xludf.DUMMYFUNCTION("""COMPUTED_VALUE"""),"Work with 5 to 6 people in my team")</f>
        <v>Work with 5 to 6 people in my team</v>
      </c>
      <c r="Q653" s="1"/>
    </row>
    <row r="654" spans="1:17" ht="13.2" x14ac:dyDescent="0.25">
      <c r="A654" s="2">
        <f ca="1">IFERROR(__xludf.DUMMYFUNCTION("""COMPUTED_VALUE"""),45021.8883457638)</f>
        <v>45021.8883457638</v>
      </c>
      <c r="B654" s="1" t="str">
        <f ca="1">IFERROR(__xludf.DUMMYFUNCTION("""COMPUTED_VALUE"""),"India")</f>
        <v>India</v>
      </c>
      <c r="C654" s="1">
        <f ca="1">IFERROR(__xludf.DUMMYFUNCTION("""COMPUTED_VALUE"""),524002)</f>
        <v>524002</v>
      </c>
      <c r="D654" s="3" t="str">
        <f ca="1">IFERROR(__xludf.DUMMYFUNCTION("""COMPUTED_VALUE"""),"Male")</f>
        <v>Male</v>
      </c>
      <c r="E654" s="1" t="str">
        <f ca="1">IFERROR(__xludf.DUMMYFUNCTION("""COMPUTED_VALUE"""),"Influencers who had successful careers")</f>
        <v>Influencers who had successful careers</v>
      </c>
      <c r="F654" s="1" t="str">
        <f ca="1">IFERROR(__xludf.DUMMYFUNCTION("""COMPUTED_VALUE"""),"No, But if someone could bare the cost I will")</f>
        <v>No, But if someone could bare the cost I will</v>
      </c>
      <c r="G654" s="1" t="str">
        <f ca="1">IFERROR(__xludf.DUMMYFUNCTION("""COMPUTED_VALUE"""),"This will be hard to do, but if it is the right company I would try")</f>
        <v>This will be hard to do, but if it is the right company I would try</v>
      </c>
      <c r="H654" s="1" t="str">
        <f ca="1">IFERROR(__xludf.DUMMYFUNCTION("""COMPUTED_VALUE"""),"No")</f>
        <v>No</v>
      </c>
      <c r="I654" s="1" t="str">
        <f ca="1">IFERROR(__xludf.DUMMYFUNCTION("""COMPUTED_VALUE"""),"Will NOT work for them")</f>
        <v>Will NOT work for them</v>
      </c>
      <c r="J654" s="1">
        <f ca="1">IFERROR(__xludf.DUMMYFUNCTION("""COMPUTED_VALUE"""),6)</f>
        <v>6</v>
      </c>
      <c r="K654" s="1" t="str">
        <f ca="1">IFERROR(__xludf.DUMMYFUNCTION("""COMPUTED_VALUE"""),"Fully Remote with Options to travel as and when needed")</f>
        <v>Fully Remote with Options to travel as and when needed</v>
      </c>
      <c r="L654" s="1" t="str">
        <f ca="1">IFERROR(__xludf.DUMMYFUNCTION("""COMPUTED_VALUE"""),"Employer who pushes your limits by enabling an learning environment, and rewards you at the end")</f>
        <v>Employer who pushes your limits by enabling an learning environment, and rewards you at the end</v>
      </c>
      <c r="M654" s="1" t="str">
        <f ca="1">IFERROR(__xludf.DUMMYFUNCTION("""COMPUTED_VALUE"""),"Self Paced Learning Portals of the Company, Instructor or Expert Learning Programs, Manager Teaching you")</f>
        <v>Self Paced Learning Portals of the Company, Instructor or Expert Learning Programs, Manager Teaching you</v>
      </c>
      <c r="N6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654" s="1" t="str">
        <f ca="1">IFERROR(__xludf.DUMMYFUNCTION("""COMPUTED_VALUE"""),"Manager who explains what is expected, sets a goal and helps achieve it")</f>
        <v>Manager who explains what is expected, sets a goal and helps achieve it</v>
      </c>
      <c r="P654" s="1" t="str">
        <f ca="1">IFERROR(__xludf.DUMMYFUNCTION("""COMPUTED_VALUE"""),"Work with 5 to 6 people in my team")</f>
        <v>Work with 5 to 6 people in my team</v>
      </c>
      <c r="Q654" s="1"/>
    </row>
    <row r="655" spans="1:17" ht="13.2" x14ac:dyDescent="0.25">
      <c r="A655" s="2">
        <f ca="1">IFERROR(__xludf.DUMMYFUNCTION("""COMPUTED_VALUE"""),45021.8886641087)</f>
        <v>45021.888664108701</v>
      </c>
      <c r="B655" s="1" t="str">
        <f ca="1">IFERROR(__xludf.DUMMYFUNCTION("""COMPUTED_VALUE"""),"India")</f>
        <v>India</v>
      </c>
      <c r="C655" s="1">
        <f ca="1">IFERROR(__xludf.DUMMYFUNCTION("""COMPUTED_VALUE"""),110059)</f>
        <v>110059</v>
      </c>
      <c r="D655" s="3" t="str">
        <f ca="1">IFERROR(__xludf.DUMMYFUNCTION("""COMPUTED_VALUE"""),"Male")</f>
        <v>Male</v>
      </c>
      <c r="E655" s="1" t="str">
        <f ca="1">IFERROR(__xludf.DUMMYFUNCTION("""COMPUTED_VALUE"""),"My Parents")</f>
        <v>My Parents</v>
      </c>
      <c r="F655" s="1" t="str">
        <f ca="1">IFERROR(__xludf.DUMMYFUNCTION("""COMPUTED_VALUE"""),"No, But if someone could bare the cost I will")</f>
        <v>No, But if someone could bare the cost I will</v>
      </c>
      <c r="G655" s="1" t="str">
        <f ca="1">IFERROR(__xludf.DUMMYFUNCTION("""COMPUTED_VALUE"""),"This will be hard to do, but if it is the right company I would try")</f>
        <v>This will be hard to do, but if it is the right company I would try</v>
      </c>
      <c r="H655" s="1" t="str">
        <f ca="1">IFERROR(__xludf.DUMMYFUNCTION("""COMPUTED_VALUE"""),"No")</f>
        <v>No</v>
      </c>
      <c r="I655" s="1" t="str">
        <f ca="1">IFERROR(__xludf.DUMMYFUNCTION("""COMPUTED_VALUE"""),"Will NOT work for them")</f>
        <v>Will NOT work for them</v>
      </c>
      <c r="J655" s="1">
        <f ca="1">IFERROR(__xludf.DUMMYFUNCTION("""COMPUTED_VALUE"""),7)</f>
        <v>7</v>
      </c>
      <c r="K655" s="1" t="str">
        <f ca="1">IFERROR(__xludf.DUMMYFUNCTION("""COMPUTED_VALUE"""),"Hybrid Working Environment with more than 15 days a month at office")</f>
        <v>Hybrid Working Environment with more than 15 days a month at office</v>
      </c>
      <c r="L655" s="1" t="str">
        <f ca="1">IFERROR(__xludf.DUMMYFUNCTION("""COMPUTED_VALUE"""),"Employer who pushes your limits by enabling an learning environment, and rewards you at the end")</f>
        <v>Employer who pushes your limits by enabling an learning environment, and rewards you at the end</v>
      </c>
      <c r="M6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5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55" s="1" t="str">
        <f ca="1">IFERROR(__xludf.DUMMYFUNCTION("""COMPUTED_VALUE"""),"Manager who sets targets and expects me to achieve it")</f>
        <v>Manager who sets targets and expects me to achieve it</v>
      </c>
      <c r="P655" s="1" t="str">
        <f ca="1">IFERROR(__xludf.DUMMYFUNCTION("""COMPUTED_VALUE"""),"Work alone, Work with 2 to 3 people in my team, Work with 5 to 6 people in my team")</f>
        <v>Work alone, Work with 2 to 3 people in my team, Work with 5 to 6 people in my team</v>
      </c>
      <c r="Q655" s="1"/>
    </row>
    <row r="656" spans="1:17" ht="13.2" x14ac:dyDescent="0.25">
      <c r="A656" s="2">
        <f ca="1">IFERROR(__xludf.DUMMYFUNCTION("""COMPUTED_VALUE"""),45021.8915075347)</f>
        <v>45021.891507534703</v>
      </c>
      <c r="B656" s="1" t="str">
        <f ca="1">IFERROR(__xludf.DUMMYFUNCTION("""COMPUTED_VALUE"""),"India")</f>
        <v>India</v>
      </c>
      <c r="C656" s="1">
        <f ca="1">IFERROR(__xludf.DUMMYFUNCTION("""COMPUTED_VALUE"""),20201)</f>
        <v>20201</v>
      </c>
      <c r="D656" s="3" t="str">
        <f ca="1">IFERROR(__xludf.DUMMYFUNCTION("""COMPUTED_VALUE"""),"Male")</f>
        <v>Male</v>
      </c>
      <c r="E656" s="1" t="str">
        <f ca="1">IFERROR(__xludf.DUMMYFUNCTION("""COMPUTED_VALUE"""),"People from my circle, but not family members")</f>
        <v>People from my circle, but not family members</v>
      </c>
      <c r="F656" s="1" t="str">
        <f ca="1">IFERROR(__xludf.DUMMYFUNCTION("""COMPUTED_VALUE"""),"Yes, I will earn and do that")</f>
        <v>Yes, I will earn and do that</v>
      </c>
      <c r="G656" s="1" t="str">
        <f ca="1">IFERROR(__xludf.DUMMYFUNCTION("""COMPUTED_VALUE"""),"No way")</f>
        <v>No way</v>
      </c>
      <c r="H656" s="1" t="str">
        <f ca="1">IFERROR(__xludf.DUMMYFUNCTION("""COMPUTED_VALUE"""),"No")</f>
        <v>No</v>
      </c>
      <c r="I656" s="1" t="str">
        <f ca="1">IFERROR(__xludf.DUMMYFUNCTION("""COMPUTED_VALUE"""),"Will work for them")</f>
        <v>Will work for them</v>
      </c>
      <c r="J656" s="1">
        <f ca="1">IFERROR(__xludf.DUMMYFUNCTION("""COMPUTED_VALUE"""),3)</f>
        <v>3</v>
      </c>
      <c r="K656" s="1" t="str">
        <f ca="1">IFERROR(__xludf.DUMMYFUNCTION("""COMPUTED_VALUE"""),"Fully Remote with No option to visit offices")</f>
        <v>Fully Remote with No option to visit offices</v>
      </c>
      <c r="L656" s="1" t="str">
        <f ca="1">IFERROR(__xludf.DUMMYFUNCTION("""COMPUTED_VALUE"""),"Employers who appreciates learning but doesn't enables an learning environment")</f>
        <v>Employers who appreciates learning but doesn't enables an learning environment</v>
      </c>
      <c r="M65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56"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656" s="1" t="str">
        <f ca="1">IFERROR(__xludf.DUMMYFUNCTION("""COMPUTED_VALUE"""),"Manager who sets goal and helps me achieve it")</f>
        <v>Manager who sets goal and helps me achieve it</v>
      </c>
      <c r="P65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656" s="1"/>
    </row>
    <row r="657" spans="1:17" ht="13.2" x14ac:dyDescent="0.25">
      <c r="A657" s="2">
        <f ca="1">IFERROR(__xludf.DUMMYFUNCTION("""COMPUTED_VALUE"""),45021.8947746875)</f>
        <v>45021.894774687498</v>
      </c>
      <c r="B657" s="1" t="str">
        <f ca="1">IFERROR(__xludf.DUMMYFUNCTION("""COMPUTED_VALUE"""),"India")</f>
        <v>India</v>
      </c>
      <c r="C657" s="1">
        <f ca="1">IFERROR(__xludf.DUMMYFUNCTION("""COMPUTED_VALUE"""),800001)</f>
        <v>800001</v>
      </c>
      <c r="D657" s="3" t="str">
        <f ca="1">IFERROR(__xludf.DUMMYFUNCTION("""COMPUTED_VALUE"""),"Male")</f>
        <v>Male</v>
      </c>
      <c r="E657" s="1" t="str">
        <f ca="1">IFERROR(__xludf.DUMMYFUNCTION("""COMPUTED_VALUE"""),"Social Media like LinkedIn")</f>
        <v>Social Media like LinkedIn</v>
      </c>
      <c r="F657" s="1" t="str">
        <f ca="1">IFERROR(__xludf.DUMMYFUNCTION("""COMPUTED_VALUE"""),"Yes, I will earn and do that")</f>
        <v>Yes, I will earn and do that</v>
      </c>
      <c r="G657" s="1" t="str">
        <f ca="1">IFERROR(__xludf.DUMMYFUNCTION("""COMPUTED_VALUE"""),"No way")</f>
        <v>No way</v>
      </c>
      <c r="H657" s="1" t="str">
        <f ca="1">IFERROR(__xludf.DUMMYFUNCTION("""COMPUTED_VALUE"""),"Yes")</f>
        <v>Yes</v>
      </c>
      <c r="I657" s="1" t="str">
        <f ca="1">IFERROR(__xludf.DUMMYFUNCTION("""COMPUTED_VALUE"""),"Will work for them")</f>
        <v>Will work for them</v>
      </c>
      <c r="J657" s="1">
        <f ca="1">IFERROR(__xludf.DUMMYFUNCTION("""COMPUTED_VALUE"""),5)</f>
        <v>5</v>
      </c>
      <c r="K657" s="1" t="str">
        <f ca="1">IFERROR(__xludf.DUMMYFUNCTION("""COMPUTED_VALUE"""),"Hybrid Working Environment with more than 15 days a month at office")</f>
        <v>Hybrid Working Environment with more than 15 days a month at office</v>
      </c>
      <c r="L657" s="1" t="str">
        <f ca="1">IFERROR(__xludf.DUMMYFUNCTION("""COMPUTED_VALUE"""),"Employer who pushes your limits and doesn't enables learning environment and never rewards you")</f>
        <v>Employer who pushes your limits and doesn't enables learning environment and never rewards you</v>
      </c>
      <c r="M65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65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657" s="1" t="str">
        <f ca="1">IFERROR(__xludf.DUMMYFUNCTION("""COMPUTED_VALUE"""),"Manager who explains what is expected, sets a goal and helps achieve it")</f>
        <v>Manager who explains what is expected, sets a goal and helps achieve it</v>
      </c>
      <c r="P657" s="1" t="str">
        <f ca="1">IFERROR(__xludf.DUMMYFUNCTION("""COMPUTED_VALUE"""),"Work with 7 to 10 or more people in my team")</f>
        <v>Work with 7 to 10 or more people in my team</v>
      </c>
      <c r="Q657" s="1"/>
    </row>
    <row r="658" spans="1:17" ht="13.2" x14ac:dyDescent="0.25">
      <c r="A658" s="2">
        <f ca="1">IFERROR(__xludf.DUMMYFUNCTION("""COMPUTED_VALUE"""),45021.8951543634)</f>
        <v>45021.895154363403</v>
      </c>
      <c r="B658" s="1" t="str">
        <f ca="1">IFERROR(__xludf.DUMMYFUNCTION("""COMPUTED_VALUE"""),"India")</f>
        <v>India</v>
      </c>
      <c r="C658" s="1">
        <f ca="1">IFERROR(__xludf.DUMMYFUNCTION("""COMPUTED_VALUE"""),515571)</f>
        <v>515571</v>
      </c>
      <c r="D658" s="3" t="str">
        <f ca="1">IFERROR(__xludf.DUMMYFUNCTION("""COMPUTED_VALUE"""),"Male")</f>
        <v>Male</v>
      </c>
      <c r="E658" s="1" t="str">
        <f ca="1">IFERROR(__xludf.DUMMYFUNCTION("""COMPUTED_VALUE"""),"My Parents")</f>
        <v>My Parents</v>
      </c>
      <c r="F658" s="1" t="str">
        <f ca="1">IFERROR(__xludf.DUMMYFUNCTION("""COMPUTED_VALUE"""),"Yes, I will earn and do that")</f>
        <v>Yes, I will earn and do that</v>
      </c>
      <c r="G658" s="1" t="str">
        <f ca="1">IFERROR(__xludf.DUMMYFUNCTION("""COMPUTED_VALUE"""),"Will work for 3 years or more")</f>
        <v>Will work for 3 years or more</v>
      </c>
      <c r="H658" s="1" t="str">
        <f ca="1">IFERROR(__xludf.DUMMYFUNCTION("""COMPUTED_VALUE"""),"Yes")</f>
        <v>Yes</v>
      </c>
      <c r="I658" s="1" t="str">
        <f ca="1">IFERROR(__xludf.DUMMYFUNCTION("""COMPUTED_VALUE"""),"Will work for them")</f>
        <v>Will work for them</v>
      </c>
      <c r="J658" s="1">
        <f ca="1">IFERROR(__xludf.DUMMYFUNCTION("""COMPUTED_VALUE"""),9)</f>
        <v>9</v>
      </c>
      <c r="K658" s="1" t="str">
        <f ca="1">IFERROR(__xludf.DUMMYFUNCTION("""COMPUTED_VALUE"""),"Every Day Office Environment")</f>
        <v>Every Day Office Environment</v>
      </c>
      <c r="L658" s="1" t="str">
        <f ca="1">IFERROR(__xludf.DUMMYFUNCTION("""COMPUTED_VALUE"""),"Employer who pushes your limits by enabling an learning environment, and rewards you at the end")</f>
        <v>Employer who pushes your limits by enabling an learning environment, and rewards you at the end</v>
      </c>
      <c r="M65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5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58" s="1" t="str">
        <f ca="1">IFERROR(__xludf.DUMMYFUNCTION("""COMPUTED_VALUE"""),"Manager who clearly describes what she/he needs")</f>
        <v>Manager who clearly describes what she/he needs</v>
      </c>
      <c r="P658" s="1" t="str">
        <f ca="1">IFERROR(__xludf.DUMMYFUNCTION("""COMPUTED_VALUE"""),"Work with 5 to 6 people in my team")</f>
        <v>Work with 5 to 6 people in my team</v>
      </c>
      <c r="Q658" s="1"/>
    </row>
    <row r="659" spans="1:17" ht="13.2" x14ac:dyDescent="0.25">
      <c r="A659" s="2">
        <f ca="1">IFERROR(__xludf.DUMMYFUNCTION("""COMPUTED_VALUE"""),45021.8964926273)</f>
        <v>45021.896492627297</v>
      </c>
      <c r="B659" s="1" t="str">
        <f ca="1">IFERROR(__xludf.DUMMYFUNCTION("""COMPUTED_VALUE"""),"India")</f>
        <v>India</v>
      </c>
      <c r="C659" s="1">
        <f ca="1">IFERROR(__xludf.DUMMYFUNCTION("""COMPUTED_VALUE"""),517503)</f>
        <v>517503</v>
      </c>
      <c r="D659" s="3" t="str">
        <f ca="1">IFERROR(__xludf.DUMMYFUNCTION("""COMPUTED_VALUE"""),"Male")</f>
        <v>Male</v>
      </c>
      <c r="E659" s="1" t="str">
        <f ca="1">IFERROR(__xludf.DUMMYFUNCTION("""COMPUTED_VALUE"""),"Influencers who had successful careers")</f>
        <v>Influencers who had successful careers</v>
      </c>
      <c r="F659" s="1" t="str">
        <f ca="1">IFERROR(__xludf.DUMMYFUNCTION("""COMPUTED_VALUE"""),"No I would not be pursuing Higher Education outside of India")</f>
        <v>No I would not be pursuing Higher Education outside of India</v>
      </c>
      <c r="G659" s="1" t="str">
        <f ca="1">IFERROR(__xludf.DUMMYFUNCTION("""COMPUTED_VALUE"""),"This will be hard to do, but if it is the right company I would try")</f>
        <v>This will be hard to do, but if it is the right company I would try</v>
      </c>
      <c r="H659" s="1" t="str">
        <f ca="1">IFERROR(__xludf.DUMMYFUNCTION("""COMPUTED_VALUE"""),"Yes")</f>
        <v>Yes</v>
      </c>
      <c r="I659" s="1" t="str">
        <f ca="1">IFERROR(__xludf.DUMMYFUNCTION("""COMPUTED_VALUE"""),"Will work for them")</f>
        <v>Will work for them</v>
      </c>
      <c r="J659" s="1">
        <f ca="1">IFERROR(__xludf.DUMMYFUNCTION("""COMPUTED_VALUE"""),5)</f>
        <v>5</v>
      </c>
      <c r="K659" s="1" t="str">
        <f ca="1">IFERROR(__xludf.DUMMYFUNCTION("""COMPUTED_VALUE"""),"Fully Remote with No option to visit offices")</f>
        <v>Fully Remote with No option to visit offices</v>
      </c>
      <c r="L659" s="1" t="str">
        <f ca="1">IFERROR(__xludf.DUMMYFUNCTION("""COMPUTED_VALUE"""),"Employer who rewards learning and enables that environment")</f>
        <v>Employer who rewards learning and enables that environment</v>
      </c>
      <c r="M659" s="1" t="str">
        <f ca="1">IFERROR(__xludf.DUMMYFUNCTION("""COMPUTED_VALUE"""),"Learning by observing others, Self Purchased Course from External Platforms, Manager Teaching you")</f>
        <v>Learning by observing others, Self Purchased Course from External Platforms, Manager Teaching you</v>
      </c>
      <c r="N659"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659" s="1" t="str">
        <f ca="1">IFERROR(__xludf.DUMMYFUNCTION("""COMPUTED_VALUE"""),"Manager who sets goal and helps me achieve it")</f>
        <v>Manager who sets goal and helps me achieve it</v>
      </c>
      <c r="P659" s="1" t="str">
        <f ca="1">IFERROR(__xludf.DUMMYFUNCTION("""COMPUTED_VALUE"""),"Work with 5 to 6 people in my team")</f>
        <v>Work with 5 to 6 people in my team</v>
      </c>
      <c r="Q659" s="1"/>
    </row>
    <row r="660" spans="1:17" ht="13.2" x14ac:dyDescent="0.25">
      <c r="A660" s="2">
        <f ca="1">IFERROR(__xludf.DUMMYFUNCTION("""COMPUTED_VALUE"""),45021.8974137731)</f>
        <v>45021.897413773098</v>
      </c>
      <c r="B660" s="1" t="str">
        <f ca="1">IFERROR(__xludf.DUMMYFUNCTION("""COMPUTED_VALUE"""),"India")</f>
        <v>India</v>
      </c>
      <c r="C660" s="1">
        <f ca="1">IFERROR(__xludf.DUMMYFUNCTION("""COMPUTED_VALUE"""),201306)</f>
        <v>201306</v>
      </c>
      <c r="D660" s="3" t="str">
        <f ca="1">IFERROR(__xludf.DUMMYFUNCTION("""COMPUTED_VALUE"""),"Female")</f>
        <v>Female</v>
      </c>
      <c r="E660" s="1" t="str">
        <f ca="1">IFERROR(__xludf.DUMMYFUNCTION("""COMPUTED_VALUE"""),"People who have changed the world for better")</f>
        <v>People who have changed the world for better</v>
      </c>
      <c r="F660" s="1" t="str">
        <f ca="1">IFERROR(__xludf.DUMMYFUNCTION("""COMPUTED_VALUE"""),"No I would not be pursuing Higher Education outside of India")</f>
        <v>No I would not be pursuing Higher Education outside of India</v>
      </c>
      <c r="G660" s="1" t="str">
        <f ca="1">IFERROR(__xludf.DUMMYFUNCTION("""COMPUTED_VALUE"""),"Will work for 3 years or more")</f>
        <v>Will work for 3 years or more</v>
      </c>
      <c r="H660" s="1" t="str">
        <f ca="1">IFERROR(__xludf.DUMMYFUNCTION("""COMPUTED_VALUE"""),"No")</f>
        <v>No</v>
      </c>
      <c r="I660" s="1" t="str">
        <f ca="1">IFERROR(__xludf.DUMMYFUNCTION("""COMPUTED_VALUE"""),"Will NOT work for them")</f>
        <v>Will NOT work for them</v>
      </c>
      <c r="J660" s="1">
        <f ca="1">IFERROR(__xludf.DUMMYFUNCTION("""COMPUTED_VALUE"""),2)</f>
        <v>2</v>
      </c>
      <c r="K660" s="1" t="str">
        <f ca="1">IFERROR(__xludf.DUMMYFUNCTION("""COMPUTED_VALUE"""),"Fully Remote with Options to travel as and when needed")</f>
        <v>Fully Remote with Options to travel as and when needed</v>
      </c>
      <c r="L660" s="1" t="str">
        <f ca="1">IFERROR(__xludf.DUMMYFUNCTION("""COMPUTED_VALUE"""),"Employer who appreciates learning and enables that environment")</f>
        <v>Employer who appreciates learning and enables that environment</v>
      </c>
      <c r="M66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6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660" s="1" t="str">
        <f ca="1">IFERROR(__xludf.DUMMYFUNCTION("""COMPUTED_VALUE"""),"Manager who explains what is expected, sets a goal and helps achieve it")</f>
        <v>Manager who explains what is expected, sets a goal and helps achieve it</v>
      </c>
      <c r="P66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60" s="1"/>
    </row>
    <row r="661" spans="1:17" ht="13.2" x14ac:dyDescent="0.25">
      <c r="A661" s="2">
        <f ca="1">IFERROR(__xludf.DUMMYFUNCTION("""COMPUTED_VALUE"""),45021.8974579513)</f>
        <v>45021.897457951301</v>
      </c>
      <c r="B661" s="1" t="str">
        <f ca="1">IFERROR(__xludf.DUMMYFUNCTION("""COMPUTED_VALUE"""),"India")</f>
        <v>India</v>
      </c>
      <c r="C661" s="1">
        <f ca="1">IFERROR(__xludf.DUMMYFUNCTION("""COMPUTED_VALUE"""),602024)</f>
        <v>602024</v>
      </c>
      <c r="D661" s="3" t="str">
        <f ca="1">IFERROR(__xludf.DUMMYFUNCTION("""COMPUTED_VALUE"""),"Female")</f>
        <v>Female</v>
      </c>
      <c r="E661" s="1" t="str">
        <f ca="1">IFERROR(__xludf.DUMMYFUNCTION("""COMPUTED_VALUE"""),"My Parents")</f>
        <v>My Parents</v>
      </c>
      <c r="F661" s="1" t="str">
        <f ca="1">IFERROR(__xludf.DUMMYFUNCTION("""COMPUTED_VALUE"""),"No, But if someone could bare the cost I will")</f>
        <v>No, But if someone could bare the cost I will</v>
      </c>
      <c r="G661" s="1" t="str">
        <f ca="1">IFERROR(__xludf.DUMMYFUNCTION("""COMPUTED_VALUE"""),"This will be hard to do, but if it is the right company I would try")</f>
        <v>This will be hard to do, but if it is the right company I would try</v>
      </c>
      <c r="H661" s="1" t="str">
        <f ca="1">IFERROR(__xludf.DUMMYFUNCTION("""COMPUTED_VALUE"""),"No")</f>
        <v>No</v>
      </c>
      <c r="I661" s="1" t="str">
        <f ca="1">IFERROR(__xludf.DUMMYFUNCTION("""COMPUTED_VALUE"""),"Will NOT work for them")</f>
        <v>Will NOT work for them</v>
      </c>
      <c r="J661" s="1">
        <f ca="1">IFERROR(__xludf.DUMMYFUNCTION("""COMPUTED_VALUE"""),5)</f>
        <v>5</v>
      </c>
      <c r="K661" s="1" t="str">
        <f ca="1">IFERROR(__xludf.DUMMYFUNCTION("""COMPUTED_VALUE"""),"Hybrid Working Environment with less than 3 days a month at office")</f>
        <v>Hybrid Working Environment with less than 3 days a month at office</v>
      </c>
      <c r="L661" s="1" t="str">
        <f ca="1">IFERROR(__xludf.DUMMYFUNCTION("""COMPUTED_VALUE"""),"Employer who pushes your limits by enabling an learning environment, and rewards you at the end")</f>
        <v>Employer who pushes your limits by enabling an learning environment, and rewards you at the end</v>
      </c>
      <c r="M66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6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661" s="1" t="str">
        <f ca="1">IFERROR(__xludf.DUMMYFUNCTION("""COMPUTED_VALUE"""),"Manager who sets goal and helps me achieve it")</f>
        <v>Manager who sets goal and helps me achieve it</v>
      </c>
      <c r="P661" s="1" t="str">
        <f ca="1">IFERROR(__xludf.DUMMYFUNCTION("""COMPUTED_VALUE"""),"Work with 7 to 10 or more people in my team, Work with more than 10 people in my team")</f>
        <v>Work with 7 to 10 or more people in my team, Work with more than 10 people in my team</v>
      </c>
      <c r="Q661" s="1"/>
    </row>
    <row r="662" spans="1:17" ht="13.2" x14ac:dyDescent="0.25">
      <c r="A662" s="2">
        <f ca="1">IFERROR(__xludf.DUMMYFUNCTION("""COMPUTED_VALUE"""),45021.8999191666)</f>
        <v>45021.899919166601</v>
      </c>
      <c r="B662" s="1" t="str">
        <f ca="1">IFERROR(__xludf.DUMMYFUNCTION("""COMPUTED_VALUE"""),"India")</f>
        <v>India</v>
      </c>
      <c r="C662" s="1">
        <f ca="1">IFERROR(__xludf.DUMMYFUNCTION("""COMPUTED_VALUE"""),517501)</f>
        <v>517501</v>
      </c>
      <c r="D662" s="3" t="str">
        <f ca="1">IFERROR(__xludf.DUMMYFUNCTION("""COMPUTED_VALUE"""),"Male")</f>
        <v>Male</v>
      </c>
      <c r="E662" s="1" t="str">
        <f ca="1">IFERROR(__xludf.DUMMYFUNCTION("""COMPUTED_VALUE"""),"My Parents")</f>
        <v>My Parents</v>
      </c>
      <c r="F662" s="1" t="str">
        <f ca="1">IFERROR(__xludf.DUMMYFUNCTION("""COMPUTED_VALUE"""),"Yes, I will earn and do that")</f>
        <v>Yes, I will earn and do that</v>
      </c>
      <c r="G662" s="1" t="str">
        <f ca="1">IFERROR(__xludf.DUMMYFUNCTION("""COMPUTED_VALUE"""),"Will work for 3 years or more")</f>
        <v>Will work for 3 years or more</v>
      </c>
      <c r="H662" s="1" t="str">
        <f ca="1">IFERROR(__xludf.DUMMYFUNCTION("""COMPUTED_VALUE"""),"Yes")</f>
        <v>Yes</v>
      </c>
      <c r="I662" s="1" t="str">
        <f ca="1">IFERROR(__xludf.DUMMYFUNCTION("""COMPUTED_VALUE"""),"Will work for them")</f>
        <v>Will work for them</v>
      </c>
      <c r="J662" s="1">
        <f ca="1">IFERROR(__xludf.DUMMYFUNCTION("""COMPUTED_VALUE"""),1)</f>
        <v>1</v>
      </c>
      <c r="K662" s="1" t="str">
        <f ca="1">IFERROR(__xludf.DUMMYFUNCTION("""COMPUTED_VALUE"""),"Hybrid Working Environment with more than 15 days a month at office")</f>
        <v>Hybrid Working Environment with more than 15 days a month at office</v>
      </c>
      <c r="L662" s="1" t="str">
        <f ca="1">IFERROR(__xludf.DUMMYFUNCTION("""COMPUTED_VALUE"""),"Employer who appreciates learning and enables that environment")</f>
        <v>Employer who appreciates learning and enables that environment</v>
      </c>
      <c r="M66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62" s="1" t="str">
        <f ca="1">IFERROR(__xludf.DUMMYFUNCTION("""COMPUTED_VALUE"""),"Teaching in any of the institutes/colleges/online or offline, Build and develop a Team, Work as a freelancer and do my thing my way, I Want to sell things/Sales")</f>
        <v>Teaching in any of the institutes/colleges/online or offline, Build and develop a Team, Work as a freelancer and do my thing my way, I Want to sell things/Sales</v>
      </c>
      <c r="O662" s="1" t="str">
        <f ca="1">IFERROR(__xludf.DUMMYFUNCTION("""COMPUTED_VALUE"""),"Manager who sets goal and helps me achieve it")</f>
        <v>Manager who sets goal and helps me achieve it</v>
      </c>
      <c r="P662" s="1" t="str">
        <f ca="1">IFERROR(__xludf.DUMMYFUNCTION("""COMPUTED_VALUE"""),"Work alone")</f>
        <v>Work alone</v>
      </c>
      <c r="Q662" s="1"/>
    </row>
    <row r="663" spans="1:17" ht="13.2" x14ac:dyDescent="0.25">
      <c r="A663" s="2">
        <f ca="1">IFERROR(__xludf.DUMMYFUNCTION("""COMPUTED_VALUE"""),45021.9001611805)</f>
        <v>45021.9001611805</v>
      </c>
      <c r="B663" s="1" t="str">
        <f ca="1">IFERROR(__xludf.DUMMYFUNCTION("""COMPUTED_VALUE"""),"India")</f>
        <v>India</v>
      </c>
      <c r="C663" s="1">
        <f ca="1">IFERROR(__xludf.DUMMYFUNCTION("""COMPUTED_VALUE"""),560064)</f>
        <v>560064</v>
      </c>
      <c r="D663" s="3" t="str">
        <f ca="1">IFERROR(__xludf.DUMMYFUNCTION("""COMPUTED_VALUE"""),"Male")</f>
        <v>Male</v>
      </c>
      <c r="E663" s="1" t="str">
        <f ca="1">IFERROR(__xludf.DUMMYFUNCTION("""COMPUTED_VALUE"""),"Influencers who had successful careers")</f>
        <v>Influencers who had successful careers</v>
      </c>
      <c r="F663" s="1" t="str">
        <f ca="1">IFERROR(__xludf.DUMMYFUNCTION("""COMPUTED_VALUE"""),"No, But if someone could bare the cost I will")</f>
        <v>No, But if someone could bare the cost I will</v>
      </c>
      <c r="G663" s="1" t="str">
        <f ca="1">IFERROR(__xludf.DUMMYFUNCTION("""COMPUTED_VALUE"""),"This will be hard to do, but if it is the right company I would try")</f>
        <v>This will be hard to do, but if it is the right company I would try</v>
      </c>
      <c r="H663" s="1" t="str">
        <f ca="1">IFERROR(__xludf.DUMMYFUNCTION("""COMPUTED_VALUE"""),"No")</f>
        <v>No</v>
      </c>
      <c r="I663" s="1" t="str">
        <f ca="1">IFERROR(__xludf.DUMMYFUNCTION("""COMPUTED_VALUE"""),"Will NOT work for them")</f>
        <v>Will NOT work for them</v>
      </c>
      <c r="J663" s="1">
        <f ca="1">IFERROR(__xludf.DUMMYFUNCTION("""COMPUTED_VALUE"""),4)</f>
        <v>4</v>
      </c>
      <c r="K663" s="1" t="str">
        <f ca="1">IFERROR(__xludf.DUMMYFUNCTION("""COMPUTED_VALUE"""),"Hybrid Working Environment with more than 15 days a month at office")</f>
        <v>Hybrid Working Environment with more than 15 days a month at office</v>
      </c>
      <c r="L663" s="1" t="str">
        <f ca="1">IFERROR(__xludf.DUMMYFUNCTION("""COMPUTED_VALUE"""),"Employer who rewards learning and enables that environment")</f>
        <v>Employer who rewards learning and enables that environment</v>
      </c>
      <c r="M66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663" s="1" t="str">
        <f ca="1">IFERROR(__xludf.DUMMYFUNCTION("""COMPUTED_VALUE"""),"Business Operations in any organization, Work in a BPO setup for some well known client, Entrepreneur or Start Up, I Want to sell things/Sales")</f>
        <v>Business Operations in any organization, Work in a BPO setup for some well known client, Entrepreneur or Start Up, I Want to sell things/Sales</v>
      </c>
      <c r="O663" s="1" t="str">
        <f ca="1">IFERROR(__xludf.DUMMYFUNCTION("""COMPUTED_VALUE"""),"Manager who explains what is expected, sets a goal and helps achieve it")</f>
        <v>Manager who explains what is expected, sets a goal and helps achieve it</v>
      </c>
      <c r="P663" s="1" t="str">
        <f ca="1">IFERROR(__xludf.DUMMYFUNCTION("""COMPUTED_VALUE"""),"Work with 2 to 3 people in my team, Work with 5 to 6 people in my team")</f>
        <v>Work with 2 to 3 people in my team, Work with 5 to 6 people in my team</v>
      </c>
      <c r="Q663" s="1"/>
    </row>
    <row r="664" spans="1:17" ht="13.2" x14ac:dyDescent="0.25">
      <c r="A664" s="2">
        <f ca="1">IFERROR(__xludf.DUMMYFUNCTION("""COMPUTED_VALUE"""),45021.900895243)</f>
        <v>45021.900895243001</v>
      </c>
      <c r="B664" s="1" t="str">
        <f ca="1">IFERROR(__xludf.DUMMYFUNCTION("""COMPUTED_VALUE"""),"India")</f>
        <v>India</v>
      </c>
      <c r="C664" s="1">
        <f ca="1">IFERROR(__xludf.DUMMYFUNCTION("""COMPUTED_VALUE"""),422101)</f>
        <v>422101</v>
      </c>
      <c r="D664" s="3" t="str">
        <f ca="1">IFERROR(__xludf.DUMMYFUNCTION("""COMPUTED_VALUE"""),"Male")</f>
        <v>Male</v>
      </c>
      <c r="E664" s="1" t="str">
        <f ca="1">IFERROR(__xludf.DUMMYFUNCTION("""COMPUTED_VALUE"""),"Social Media like LinkedIn")</f>
        <v>Social Media like LinkedIn</v>
      </c>
      <c r="F664" s="1" t="str">
        <f ca="1">IFERROR(__xludf.DUMMYFUNCTION("""COMPUTED_VALUE"""),"Yes, I will earn and do that")</f>
        <v>Yes, I will earn and do that</v>
      </c>
      <c r="G664" s="1" t="str">
        <f ca="1">IFERROR(__xludf.DUMMYFUNCTION("""COMPUTED_VALUE"""),"Will work for 3 years or more")</f>
        <v>Will work for 3 years or more</v>
      </c>
      <c r="H664" s="1" t="str">
        <f ca="1">IFERROR(__xludf.DUMMYFUNCTION("""COMPUTED_VALUE"""),"Yes")</f>
        <v>Yes</v>
      </c>
      <c r="I664" s="1" t="str">
        <f ca="1">IFERROR(__xludf.DUMMYFUNCTION("""COMPUTED_VALUE"""),"Will NOT work for them")</f>
        <v>Will NOT work for them</v>
      </c>
      <c r="J664" s="1">
        <f ca="1">IFERROR(__xludf.DUMMYFUNCTION("""COMPUTED_VALUE"""),5)</f>
        <v>5</v>
      </c>
      <c r="K664" s="1" t="str">
        <f ca="1">IFERROR(__xludf.DUMMYFUNCTION("""COMPUTED_VALUE"""),"Fully Remote with No option to visit offices")</f>
        <v>Fully Remote with No option to visit offices</v>
      </c>
      <c r="L664" s="1" t="str">
        <f ca="1">IFERROR(__xludf.DUMMYFUNCTION("""COMPUTED_VALUE"""),"Employer who appreciates learning and enables that environment")</f>
        <v>Employer who appreciates learning and enables that environment</v>
      </c>
      <c r="M66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6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664" s="1" t="str">
        <f ca="1">IFERROR(__xludf.DUMMYFUNCTION("""COMPUTED_VALUE"""),"Manager who explains what is expected, sets a goal and helps achieve it")</f>
        <v>Manager who explains what is expected, sets a goal and helps achieve it</v>
      </c>
      <c r="P664"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664" s="1"/>
    </row>
    <row r="665" spans="1:17" ht="13.2" x14ac:dyDescent="0.25">
      <c r="A665" s="2">
        <f ca="1">IFERROR(__xludf.DUMMYFUNCTION("""COMPUTED_VALUE"""),45021.9010560879)</f>
        <v>45021.901056087903</v>
      </c>
      <c r="B665" s="1" t="str">
        <f ca="1">IFERROR(__xludf.DUMMYFUNCTION("""COMPUTED_VALUE"""),"India")</f>
        <v>India</v>
      </c>
      <c r="C665" s="1">
        <f ca="1">IFERROR(__xludf.DUMMYFUNCTION("""COMPUTED_VALUE"""),560064)</f>
        <v>560064</v>
      </c>
      <c r="D665" s="3" t="str">
        <f ca="1">IFERROR(__xludf.DUMMYFUNCTION("""COMPUTED_VALUE"""),"Female")</f>
        <v>Female</v>
      </c>
      <c r="E665" s="1" t="str">
        <f ca="1">IFERROR(__xludf.DUMMYFUNCTION("""COMPUTED_VALUE"""),"My Parents")</f>
        <v>My Parents</v>
      </c>
      <c r="F665" s="1" t="str">
        <f ca="1">IFERROR(__xludf.DUMMYFUNCTION("""COMPUTED_VALUE"""),"No, But if someone could bare the cost I will")</f>
        <v>No, But if someone could bare the cost I will</v>
      </c>
      <c r="G665" s="1" t="str">
        <f ca="1">IFERROR(__xludf.DUMMYFUNCTION("""COMPUTED_VALUE"""),"This will be hard to do, but if it is the right company I would try")</f>
        <v>This will be hard to do, but if it is the right company I would try</v>
      </c>
      <c r="H665" s="1" t="str">
        <f ca="1">IFERROR(__xludf.DUMMYFUNCTION("""COMPUTED_VALUE"""),"No")</f>
        <v>No</v>
      </c>
      <c r="I665" s="1" t="str">
        <f ca="1">IFERROR(__xludf.DUMMYFUNCTION("""COMPUTED_VALUE"""),"Will NOT work for them")</f>
        <v>Will NOT work for them</v>
      </c>
      <c r="J665" s="1">
        <f ca="1">IFERROR(__xludf.DUMMYFUNCTION("""COMPUTED_VALUE"""),5)</f>
        <v>5</v>
      </c>
      <c r="K665" s="1" t="str">
        <f ca="1">IFERROR(__xludf.DUMMYFUNCTION("""COMPUTED_VALUE"""),"Fully Remote with Options to travel as and when needed")</f>
        <v>Fully Remote with Options to travel as and when needed</v>
      </c>
      <c r="L665" s="1" t="str">
        <f ca="1">IFERROR(__xludf.DUMMYFUNCTION("""COMPUTED_VALUE"""),"Employer who pushes your limits by enabling an learning environment, and rewards you at the end")</f>
        <v>Employer who pushes your limits by enabling an learning environment, and rewards you at the end</v>
      </c>
      <c r="M6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5" s="1" t="str">
        <f ca="1">IFERROR(__xludf.DUMMYFUNCTION("""COMPUTED_VALUE"""),"Build and develop a Team, Look deeply into Data and generate insights, Become a content Creator in some platform, Entrepreneur or Start Up")</f>
        <v>Build and develop a Team, Look deeply into Data and generate insights, Become a content Creator in some platform, Entrepreneur or Start Up</v>
      </c>
      <c r="O665" s="1" t="str">
        <f ca="1">IFERROR(__xludf.DUMMYFUNCTION("""COMPUTED_VALUE"""),"Manager who explains what is expected, sets a goal and helps achieve it")</f>
        <v>Manager who explains what is expected, sets a goal and helps achieve it</v>
      </c>
      <c r="P665" s="1" t="str">
        <f ca="1">IFERROR(__xludf.DUMMYFUNCTION("""COMPUTED_VALUE"""),"Work with 5 to 6 people in my team")</f>
        <v>Work with 5 to 6 people in my team</v>
      </c>
      <c r="Q665" s="1"/>
    </row>
    <row r="666" spans="1:17" ht="13.2" x14ac:dyDescent="0.25">
      <c r="A666" s="2">
        <f ca="1">IFERROR(__xludf.DUMMYFUNCTION("""COMPUTED_VALUE"""),45021.9024404861)</f>
        <v>45021.902440486097</v>
      </c>
      <c r="B666" s="1" t="str">
        <f ca="1">IFERROR(__xludf.DUMMYFUNCTION("""COMPUTED_VALUE"""),"India")</f>
        <v>India</v>
      </c>
      <c r="C666" s="1">
        <f ca="1">IFERROR(__xludf.DUMMYFUNCTION("""COMPUTED_VALUE"""),517592)</f>
        <v>517592</v>
      </c>
      <c r="D666" s="3" t="str">
        <f ca="1">IFERROR(__xludf.DUMMYFUNCTION("""COMPUTED_VALUE"""),"Female")</f>
        <v>Female</v>
      </c>
      <c r="E666" s="1" t="str">
        <f ca="1">IFERROR(__xludf.DUMMYFUNCTION("""COMPUTED_VALUE"""),"Influencers who had successful careers")</f>
        <v>Influencers who had successful careers</v>
      </c>
      <c r="F666" s="1" t="str">
        <f ca="1">IFERROR(__xludf.DUMMYFUNCTION("""COMPUTED_VALUE"""),"No I would not be pursuing Higher Education outside of India")</f>
        <v>No I would not be pursuing Higher Education outside of India</v>
      </c>
      <c r="G666" s="1" t="str">
        <f ca="1">IFERROR(__xludf.DUMMYFUNCTION("""COMPUTED_VALUE"""),"This will be hard to do, but if it is the right company I would try")</f>
        <v>This will be hard to do, but if it is the right company I would try</v>
      </c>
      <c r="H666" s="1" t="str">
        <f ca="1">IFERROR(__xludf.DUMMYFUNCTION("""COMPUTED_VALUE"""),"No")</f>
        <v>No</v>
      </c>
      <c r="I666" s="1" t="str">
        <f ca="1">IFERROR(__xludf.DUMMYFUNCTION("""COMPUTED_VALUE"""),"Will NOT work for them")</f>
        <v>Will NOT work for them</v>
      </c>
      <c r="J666" s="1">
        <f ca="1">IFERROR(__xludf.DUMMYFUNCTION("""COMPUTED_VALUE"""),10)</f>
        <v>10</v>
      </c>
      <c r="K666" s="1" t="str">
        <f ca="1">IFERROR(__xludf.DUMMYFUNCTION("""COMPUTED_VALUE"""),"Hybrid Working Environment with less than 3 days a month at office")</f>
        <v>Hybrid Working Environment with less than 3 days a month at office</v>
      </c>
      <c r="L666" s="1" t="str">
        <f ca="1">IFERROR(__xludf.DUMMYFUNCTION("""COMPUTED_VALUE"""),"Employer who pushes your limits by enabling an learning environment, and rewards you at the end")</f>
        <v>Employer who pushes your limits by enabling an learning environment, and rewards you at the end</v>
      </c>
      <c r="M66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66" s="1" t="str">
        <f ca="1">IFERROR(__xludf.DUMMYFUNCTION("""COMPUTED_VALUE"""),"Manage and drive End-to-End Projects or Products, Work in a BPO setup for some well known client, Work as a freelancer and do my thing my way, Entrepreneur or Start Up")</f>
        <v>Manage and drive End-to-End Projects or Products, Work in a BPO setup for some well known client, Work as a freelancer and do my thing my way, Entrepreneur or Start Up</v>
      </c>
      <c r="O666" s="1" t="str">
        <f ca="1">IFERROR(__xludf.DUMMYFUNCTION("""COMPUTED_VALUE"""),"Manager who sets goal and helps me achieve it")</f>
        <v>Manager who sets goal and helps me achieve it</v>
      </c>
      <c r="P666" s="1" t="str">
        <f ca="1">IFERROR(__xludf.DUMMYFUNCTION("""COMPUTED_VALUE"""),"Work with 5 to 6 people in my team")</f>
        <v>Work with 5 to 6 people in my team</v>
      </c>
      <c r="Q666" s="1"/>
    </row>
    <row r="667" spans="1:17" ht="13.2" x14ac:dyDescent="0.25">
      <c r="A667" s="2">
        <f ca="1">IFERROR(__xludf.DUMMYFUNCTION("""COMPUTED_VALUE"""),45021.9030680671)</f>
        <v>45021.903068067099</v>
      </c>
      <c r="B667" s="1" t="str">
        <f ca="1">IFERROR(__xludf.DUMMYFUNCTION("""COMPUTED_VALUE"""),"India")</f>
        <v>India</v>
      </c>
      <c r="C667" s="1">
        <f ca="1">IFERROR(__xludf.DUMMYFUNCTION("""COMPUTED_VALUE"""),641004)</f>
        <v>641004</v>
      </c>
      <c r="D667" s="3" t="str">
        <f ca="1">IFERROR(__xludf.DUMMYFUNCTION("""COMPUTED_VALUE"""),"Female")</f>
        <v>Female</v>
      </c>
      <c r="E667" s="1" t="str">
        <f ca="1">IFERROR(__xludf.DUMMYFUNCTION("""COMPUTED_VALUE"""),"My Parents")</f>
        <v>My Parents</v>
      </c>
      <c r="F667" s="1" t="str">
        <f ca="1">IFERROR(__xludf.DUMMYFUNCTION("""COMPUTED_VALUE"""),"No I would not be pursuing Higher Education outside of India")</f>
        <v>No I would not be pursuing Higher Education outside of India</v>
      </c>
      <c r="G667" s="1" t="str">
        <f ca="1">IFERROR(__xludf.DUMMYFUNCTION("""COMPUTED_VALUE"""),"Will work for 3 years or more")</f>
        <v>Will work for 3 years or more</v>
      </c>
      <c r="H667" s="1" t="str">
        <f ca="1">IFERROR(__xludf.DUMMYFUNCTION("""COMPUTED_VALUE"""),"Yes")</f>
        <v>Yes</v>
      </c>
      <c r="I667" s="1" t="str">
        <f ca="1">IFERROR(__xludf.DUMMYFUNCTION("""COMPUTED_VALUE"""),"Will NOT work for them")</f>
        <v>Will NOT work for them</v>
      </c>
      <c r="J667" s="1">
        <f ca="1">IFERROR(__xludf.DUMMYFUNCTION("""COMPUTED_VALUE"""),6)</f>
        <v>6</v>
      </c>
      <c r="K667" s="1" t="str">
        <f ca="1">IFERROR(__xludf.DUMMYFUNCTION("""COMPUTED_VALUE"""),"Fully Remote with No option to visit offices")</f>
        <v>Fully Remote with No option to visit offices</v>
      </c>
      <c r="L667" s="1" t="str">
        <f ca="1">IFERROR(__xludf.DUMMYFUNCTION("""COMPUTED_VALUE"""),"Employer who appreciates learning and enables that environment")</f>
        <v>Employer who appreciates learning and enables that environment</v>
      </c>
      <c r="M667" s="1" t="str">
        <f ca="1">IFERROR(__xludf.DUMMYFUNCTION("""COMPUTED_VALUE"""),"Instructor or Expert Learning Programs, Learning by observing others, Manager Teaching you")</f>
        <v>Instructor or Expert Learning Programs, Learning by observing others, Manager Teaching you</v>
      </c>
      <c r="N667"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667" s="1" t="str">
        <f ca="1">IFERROR(__xludf.DUMMYFUNCTION("""COMPUTED_VALUE"""),"Manager who explains what is expected, sets a goal and helps achieve it")</f>
        <v>Manager who explains what is expected, sets a goal and helps achieve it</v>
      </c>
      <c r="P667" s="1" t="str">
        <f ca="1">IFERROR(__xludf.DUMMYFUNCTION("""COMPUTED_VALUE"""),"Work alone, Work with 2 to 3 people in my team, Work with 5 to 6 people in my team")</f>
        <v>Work alone, Work with 2 to 3 people in my team, Work with 5 to 6 people in my team</v>
      </c>
      <c r="Q667" s="1"/>
    </row>
    <row r="668" spans="1:17" ht="13.2" x14ac:dyDescent="0.25">
      <c r="A668" s="2">
        <f ca="1">IFERROR(__xludf.DUMMYFUNCTION("""COMPUTED_VALUE"""),45021.9038548611)</f>
        <v>45021.903854861099</v>
      </c>
      <c r="B668" s="1" t="str">
        <f ca="1">IFERROR(__xludf.DUMMYFUNCTION("""COMPUTED_VALUE"""),"India")</f>
        <v>India</v>
      </c>
      <c r="C668" s="1">
        <f ca="1">IFERROR(__xludf.DUMMYFUNCTION("""COMPUTED_VALUE"""),600099)</f>
        <v>600099</v>
      </c>
      <c r="D668" s="3" t="str">
        <f ca="1">IFERROR(__xludf.DUMMYFUNCTION("""COMPUTED_VALUE"""),"Female")</f>
        <v>Female</v>
      </c>
      <c r="E668" s="1" t="str">
        <f ca="1">IFERROR(__xludf.DUMMYFUNCTION("""COMPUTED_VALUE"""),"People who have changed the world for better")</f>
        <v>People who have changed the world for better</v>
      </c>
      <c r="F668" s="1" t="str">
        <f ca="1">IFERROR(__xludf.DUMMYFUNCTION("""COMPUTED_VALUE"""),"Yes, I will earn and do that")</f>
        <v>Yes, I will earn and do that</v>
      </c>
      <c r="G668" s="1" t="str">
        <f ca="1">IFERROR(__xludf.DUMMYFUNCTION("""COMPUTED_VALUE"""),"Will work for 3 years or more")</f>
        <v>Will work for 3 years or more</v>
      </c>
      <c r="H668" s="1" t="str">
        <f ca="1">IFERROR(__xludf.DUMMYFUNCTION("""COMPUTED_VALUE"""),"No")</f>
        <v>No</v>
      </c>
      <c r="I668" s="1" t="str">
        <f ca="1">IFERROR(__xludf.DUMMYFUNCTION("""COMPUTED_VALUE"""),"Will NOT work for them")</f>
        <v>Will NOT work for them</v>
      </c>
      <c r="J668" s="1">
        <f ca="1">IFERROR(__xludf.DUMMYFUNCTION("""COMPUTED_VALUE"""),7)</f>
        <v>7</v>
      </c>
      <c r="K668" s="1" t="str">
        <f ca="1">IFERROR(__xludf.DUMMYFUNCTION("""COMPUTED_VALUE"""),"Hybrid Working Environment with less than 3 days a month at office")</f>
        <v>Hybrid Working Environment with less than 3 days a month at office</v>
      </c>
      <c r="L668" s="1" t="str">
        <f ca="1">IFERROR(__xludf.DUMMYFUNCTION("""COMPUTED_VALUE"""),"Employer who pushes your limits by enabling an learning environment, and rewards you at the end")</f>
        <v>Employer who pushes your limits by enabling an learning environment, and rewards you at the end</v>
      </c>
      <c r="M6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8" s="1" t="str">
        <f ca="1">IFERROR(__xludf.DUMMYFUNCTION("""COMPUTED_VALUE"""),"Design and Creative strategy in any company, Look deeply into Data and generate insights, Work as a freelancer and do my thing my way, Entrepreneur or Start Up")</f>
        <v>Design and Creative strategy in any company, Look deeply into Data and generate insights, Work as a freelancer and do my thing my way, Entrepreneur or Start Up</v>
      </c>
      <c r="O668" s="1" t="str">
        <f ca="1">IFERROR(__xludf.DUMMYFUNCTION("""COMPUTED_VALUE"""),"Manager who explains what is expected, sets a goal and helps achieve it")</f>
        <v>Manager who explains what is expected, sets a goal and helps achieve it</v>
      </c>
      <c r="P668" s="1" t="str">
        <f ca="1">IFERROR(__xludf.DUMMYFUNCTION("""COMPUTED_VALUE"""),"Work alone, Work with 2 to 3 people in my team")</f>
        <v>Work alone, Work with 2 to 3 people in my team</v>
      </c>
      <c r="Q668" s="1"/>
    </row>
    <row r="669" spans="1:17" ht="13.2" x14ac:dyDescent="0.25">
      <c r="A669" s="2">
        <f ca="1">IFERROR(__xludf.DUMMYFUNCTION("""COMPUTED_VALUE"""),45021.9041310762)</f>
        <v>45021.904131076197</v>
      </c>
      <c r="B669" s="1" t="str">
        <f ca="1">IFERROR(__xludf.DUMMYFUNCTION("""COMPUTED_VALUE"""),"India")</f>
        <v>India</v>
      </c>
      <c r="C669" s="1">
        <f ca="1">IFERROR(__xludf.DUMMYFUNCTION("""COMPUTED_VALUE"""),517123)</f>
        <v>517123</v>
      </c>
      <c r="D669" s="3" t="str">
        <f ca="1">IFERROR(__xludf.DUMMYFUNCTION("""COMPUTED_VALUE"""),"Male")</f>
        <v>Male</v>
      </c>
      <c r="E669" s="1" t="str">
        <f ca="1">IFERROR(__xludf.DUMMYFUNCTION("""COMPUTED_VALUE"""),"My Parents")</f>
        <v>My Parents</v>
      </c>
      <c r="F669" s="1" t="str">
        <f ca="1">IFERROR(__xludf.DUMMYFUNCTION("""COMPUTED_VALUE"""),"No, But if someone could bare the cost I will")</f>
        <v>No, But if someone could bare the cost I will</v>
      </c>
      <c r="G669" s="1" t="str">
        <f ca="1">IFERROR(__xludf.DUMMYFUNCTION("""COMPUTED_VALUE"""),"No way")</f>
        <v>No way</v>
      </c>
      <c r="H669" s="1" t="str">
        <f ca="1">IFERROR(__xludf.DUMMYFUNCTION("""COMPUTED_VALUE"""),"No")</f>
        <v>No</v>
      </c>
      <c r="I669" s="1" t="str">
        <f ca="1">IFERROR(__xludf.DUMMYFUNCTION("""COMPUTED_VALUE"""),"Will NOT work for them")</f>
        <v>Will NOT work for them</v>
      </c>
      <c r="J669" s="1">
        <f ca="1">IFERROR(__xludf.DUMMYFUNCTION("""COMPUTED_VALUE"""),1)</f>
        <v>1</v>
      </c>
      <c r="K669" s="1" t="str">
        <f ca="1">IFERROR(__xludf.DUMMYFUNCTION("""COMPUTED_VALUE"""),"Fully Remote with Options to travel as and when needed")</f>
        <v>Fully Remote with Options to travel as and when needed</v>
      </c>
      <c r="L669" s="1" t="str">
        <f ca="1">IFERROR(__xludf.DUMMYFUNCTION("""COMPUTED_VALUE"""),"Employer who rewards learning and enables that environment")</f>
        <v>Employer who rewards learning and enables that environment</v>
      </c>
      <c r="M6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669" s="1" t="str">
        <f ca="1">IFERROR(__xludf.DUMMYFUNCTION("""COMPUTED_VALUE"""),"Manager who clearly describes what she/he needs")</f>
        <v>Manager who clearly describes what she/he needs</v>
      </c>
      <c r="P669"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69" s="1"/>
    </row>
    <row r="670" spans="1:17" ht="13.2" x14ac:dyDescent="0.25">
      <c r="A670" s="2">
        <f ca="1">IFERROR(__xludf.DUMMYFUNCTION("""COMPUTED_VALUE"""),45021.9042666087)</f>
        <v>45021.904266608697</v>
      </c>
      <c r="B670" s="1" t="str">
        <f ca="1">IFERROR(__xludf.DUMMYFUNCTION("""COMPUTED_VALUE"""),"India")</f>
        <v>India</v>
      </c>
      <c r="C670" s="1">
        <f ca="1">IFERROR(__xludf.DUMMYFUNCTION("""COMPUTED_VALUE"""),641015)</f>
        <v>641015</v>
      </c>
      <c r="D670" s="3" t="str">
        <f ca="1">IFERROR(__xludf.DUMMYFUNCTION("""COMPUTED_VALUE"""),"Male")</f>
        <v>Male</v>
      </c>
      <c r="E670" s="1" t="str">
        <f ca="1">IFERROR(__xludf.DUMMYFUNCTION("""COMPUTED_VALUE"""),"My Parents")</f>
        <v>My Parents</v>
      </c>
      <c r="F670" s="1" t="str">
        <f ca="1">IFERROR(__xludf.DUMMYFUNCTION("""COMPUTED_VALUE"""),"Yes, I will earn and do that")</f>
        <v>Yes, I will earn and do that</v>
      </c>
      <c r="G670" s="1" t="str">
        <f ca="1">IFERROR(__xludf.DUMMYFUNCTION("""COMPUTED_VALUE"""),"Will work for 3 years or more")</f>
        <v>Will work for 3 years or more</v>
      </c>
      <c r="H670" s="1" t="str">
        <f ca="1">IFERROR(__xludf.DUMMYFUNCTION("""COMPUTED_VALUE"""),"Yes")</f>
        <v>Yes</v>
      </c>
      <c r="I670" s="1" t="str">
        <f ca="1">IFERROR(__xludf.DUMMYFUNCTION("""COMPUTED_VALUE"""),"Will work for them")</f>
        <v>Will work for them</v>
      </c>
      <c r="J670" s="1">
        <f ca="1">IFERROR(__xludf.DUMMYFUNCTION("""COMPUTED_VALUE"""),10)</f>
        <v>10</v>
      </c>
      <c r="K670" s="1" t="str">
        <f ca="1">IFERROR(__xludf.DUMMYFUNCTION("""COMPUTED_VALUE"""),"Every Day Office Environment")</f>
        <v>Every Day Office Environment</v>
      </c>
      <c r="L670" s="1" t="str">
        <f ca="1">IFERROR(__xludf.DUMMYFUNCTION("""COMPUTED_VALUE"""),"Employers who appreciates learning but doesn't enables an learning environment")</f>
        <v>Employers who appreciates learning but doesn't enables an learning environment</v>
      </c>
      <c r="M670"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670" s="1" t="str">
        <f ca="1">IFERROR(__xludf.DUMMYFUNCTION("""COMPUTED_VALUE"""),"Look deeply into Data and generate insights, Work as a freelancer and do my thing my way, I Want to sell things/Sales, Manufacturing / Oil and Gas/ Construction / Hard Physical Work related")</f>
        <v>Look deeply into Data and generate insights, Work as a freelancer and do my thing my way, I Want to sell things/Sales, Manufacturing / Oil and Gas/ Construction / Hard Physical Work related</v>
      </c>
      <c r="O670" s="1" t="str">
        <f ca="1">IFERROR(__xludf.DUMMYFUNCTION("""COMPUTED_VALUE"""),"Manager who sets goal and helps me achieve it")</f>
        <v>Manager who sets goal and helps me achieve it</v>
      </c>
      <c r="P670" s="1" t="str">
        <f ca="1">IFERROR(__xludf.DUMMYFUNCTION("""COMPUTED_VALUE"""),"Work with 5 to 6 people in my team, Work with more than 10 people in my team")</f>
        <v>Work with 5 to 6 people in my team, Work with more than 10 people in my team</v>
      </c>
      <c r="Q670" s="1"/>
    </row>
    <row r="671" spans="1:17" ht="13.2" x14ac:dyDescent="0.25">
      <c r="A671" s="2">
        <f ca="1">IFERROR(__xludf.DUMMYFUNCTION("""COMPUTED_VALUE"""),45021.9050727083)</f>
        <v>45021.905072708301</v>
      </c>
      <c r="B671" s="1" t="str">
        <f ca="1">IFERROR(__xludf.DUMMYFUNCTION("""COMPUTED_VALUE"""),"India")</f>
        <v>India</v>
      </c>
      <c r="C671" s="1">
        <f ca="1">IFERROR(__xludf.DUMMYFUNCTION("""COMPUTED_VALUE"""),560065)</f>
        <v>560065</v>
      </c>
      <c r="D671" s="3" t="str">
        <f ca="1">IFERROR(__xludf.DUMMYFUNCTION("""COMPUTED_VALUE"""),"Female")</f>
        <v>Female</v>
      </c>
      <c r="E671" s="1" t="str">
        <f ca="1">IFERROR(__xludf.DUMMYFUNCTION("""COMPUTED_VALUE"""),"Influencers who had successful careers")</f>
        <v>Influencers who had successful careers</v>
      </c>
      <c r="F671" s="1" t="str">
        <f ca="1">IFERROR(__xludf.DUMMYFUNCTION("""COMPUTED_VALUE"""),"Yes, I will earn and do that")</f>
        <v>Yes, I will earn and do that</v>
      </c>
      <c r="G671" s="1" t="str">
        <f ca="1">IFERROR(__xludf.DUMMYFUNCTION("""COMPUTED_VALUE"""),"This will be hard to do, but if it is the right company I would try")</f>
        <v>This will be hard to do, but if it is the right company I would try</v>
      </c>
      <c r="H671" s="1" t="str">
        <f ca="1">IFERROR(__xludf.DUMMYFUNCTION("""COMPUTED_VALUE"""),"No")</f>
        <v>No</v>
      </c>
      <c r="I671" s="1" t="str">
        <f ca="1">IFERROR(__xludf.DUMMYFUNCTION("""COMPUTED_VALUE"""),"Will NOT work for them")</f>
        <v>Will NOT work for them</v>
      </c>
      <c r="J671" s="1">
        <f ca="1">IFERROR(__xludf.DUMMYFUNCTION("""COMPUTED_VALUE"""),2)</f>
        <v>2</v>
      </c>
      <c r="K671" s="1" t="str">
        <f ca="1">IFERROR(__xludf.DUMMYFUNCTION("""COMPUTED_VALUE"""),"Hybrid Working Environment with more than 15 days a month at office")</f>
        <v>Hybrid Working Environment with more than 15 days a month at office</v>
      </c>
      <c r="L671" s="1" t="str">
        <f ca="1">IFERROR(__xludf.DUMMYFUNCTION("""COMPUTED_VALUE"""),"Employer who rewards learning and enables that environment")</f>
        <v>Employer who rewards learning and enables that environment</v>
      </c>
      <c r="M671"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71"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671" s="1" t="str">
        <f ca="1">IFERROR(__xludf.DUMMYFUNCTION("""COMPUTED_VALUE"""),"Manager who explains what is expected, sets a goal and helps achieve it")</f>
        <v>Manager who explains what is expected, sets a goal and helps achieve it</v>
      </c>
      <c r="P671" s="1" t="str">
        <f ca="1">IFERROR(__xludf.DUMMYFUNCTION("""COMPUTED_VALUE"""),"Work with more than 10 people in my team")</f>
        <v>Work with more than 10 people in my team</v>
      </c>
      <c r="Q671" s="1"/>
    </row>
    <row r="672" spans="1:17" ht="13.2" x14ac:dyDescent="0.25">
      <c r="A672" s="2">
        <f ca="1">IFERROR(__xludf.DUMMYFUNCTION("""COMPUTED_VALUE"""),45021.9058492939)</f>
        <v>45021.9058492939</v>
      </c>
      <c r="B672" s="1" t="str">
        <f ca="1">IFERROR(__xludf.DUMMYFUNCTION("""COMPUTED_VALUE"""),"India")</f>
        <v>India</v>
      </c>
      <c r="C672" s="1">
        <f ca="1">IFERROR(__xludf.DUMMYFUNCTION("""COMPUTED_VALUE"""),518501)</f>
        <v>518501</v>
      </c>
      <c r="D672" s="3" t="str">
        <f ca="1">IFERROR(__xludf.DUMMYFUNCTION("""COMPUTED_VALUE"""),"Male")</f>
        <v>Male</v>
      </c>
      <c r="E672" s="1" t="str">
        <f ca="1">IFERROR(__xludf.DUMMYFUNCTION("""COMPUTED_VALUE"""),"People who have changed the world for better")</f>
        <v>People who have changed the world for better</v>
      </c>
      <c r="F672" s="1" t="str">
        <f ca="1">IFERROR(__xludf.DUMMYFUNCTION("""COMPUTED_VALUE"""),"Yes, I will earn and do that")</f>
        <v>Yes, I will earn and do that</v>
      </c>
      <c r="G672" s="1" t="str">
        <f ca="1">IFERROR(__xludf.DUMMYFUNCTION("""COMPUTED_VALUE"""),"This will be hard to do, but if it is the right company I would try")</f>
        <v>This will be hard to do, but if it is the right company I would try</v>
      </c>
      <c r="H672" s="1" t="str">
        <f ca="1">IFERROR(__xludf.DUMMYFUNCTION("""COMPUTED_VALUE"""),"No")</f>
        <v>No</v>
      </c>
      <c r="I672" s="1" t="str">
        <f ca="1">IFERROR(__xludf.DUMMYFUNCTION("""COMPUTED_VALUE"""),"Will NOT work for them")</f>
        <v>Will NOT work for them</v>
      </c>
      <c r="J672" s="1">
        <f ca="1">IFERROR(__xludf.DUMMYFUNCTION("""COMPUTED_VALUE"""),6)</f>
        <v>6</v>
      </c>
      <c r="K672" s="1" t="str">
        <f ca="1">IFERROR(__xludf.DUMMYFUNCTION("""COMPUTED_VALUE"""),"Hybrid Working Environment with less than 3 days a month at office")</f>
        <v>Hybrid Working Environment with less than 3 days a month at office</v>
      </c>
      <c r="L672" s="1" t="str">
        <f ca="1">IFERROR(__xludf.DUMMYFUNCTION("""COMPUTED_VALUE"""),"Employer who rewards learning and enables that environment")</f>
        <v>Employer who rewards learning and enables that environment</v>
      </c>
      <c r="M67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7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672" s="1" t="str">
        <f ca="1">IFERROR(__xludf.DUMMYFUNCTION("""COMPUTED_VALUE"""),"Manager who explains what is expected, sets a goal and helps achieve it")</f>
        <v>Manager who explains what is expected, sets a goal and helps achieve it</v>
      </c>
      <c r="P672" s="1" t="str">
        <f ca="1">IFERROR(__xludf.DUMMYFUNCTION("""COMPUTED_VALUE"""),"Work with 5 to 6 people in my team")</f>
        <v>Work with 5 to 6 people in my team</v>
      </c>
      <c r="Q672" s="1"/>
    </row>
    <row r="673" spans="1:17" ht="13.2" x14ac:dyDescent="0.25">
      <c r="A673" s="2">
        <f ca="1">IFERROR(__xludf.DUMMYFUNCTION("""COMPUTED_VALUE"""),45021.9062612731)</f>
        <v>45021.9062612731</v>
      </c>
      <c r="B673" s="1" t="str">
        <f ca="1">IFERROR(__xludf.DUMMYFUNCTION("""COMPUTED_VALUE"""),"India")</f>
        <v>India</v>
      </c>
      <c r="C673" s="1">
        <f ca="1">IFERROR(__xludf.DUMMYFUNCTION("""COMPUTED_VALUE"""),442902)</f>
        <v>442902</v>
      </c>
      <c r="D673" s="3" t="str">
        <f ca="1">IFERROR(__xludf.DUMMYFUNCTION("""COMPUTED_VALUE"""),"Female")</f>
        <v>Female</v>
      </c>
      <c r="E673" s="1" t="str">
        <f ca="1">IFERROR(__xludf.DUMMYFUNCTION("""COMPUTED_VALUE"""),"People from my circle, but not family members")</f>
        <v>People from my circle, but not family members</v>
      </c>
      <c r="F673" s="1" t="str">
        <f ca="1">IFERROR(__xludf.DUMMYFUNCTION("""COMPUTED_VALUE"""),"No I would not be pursuing Higher Education outside of India")</f>
        <v>No I would not be pursuing Higher Education outside of India</v>
      </c>
      <c r="G673" s="1" t="str">
        <f ca="1">IFERROR(__xludf.DUMMYFUNCTION("""COMPUTED_VALUE"""),"This will be hard to do, but if it is the right company I would try")</f>
        <v>This will be hard to do, but if it is the right company I would try</v>
      </c>
      <c r="H673" s="1" t="str">
        <f ca="1">IFERROR(__xludf.DUMMYFUNCTION("""COMPUTED_VALUE"""),"No")</f>
        <v>No</v>
      </c>
      <c r="I673" s="1" t="str">
        <f ca="1">IFERROR(__xludf.DUMMYFUNCTION("""COMPUTED_VALUE"""),"Will NOT work for them")</f>
        <v>Will NOT work for them</v>
      </c>
      <c r="J673" s="1">
        <f ca="1">IFERROR(__xludf.DUMMYFUNCTION("""COMPUTED_VALUE"""),5)</f>
        <v>5</v>
      </c>
      <c r="K673" s="1" t="str">
        <f ca="1">IFERROR(__xludf.DUMMYFUNCTION("""COMPUTED_VALUE"""),"Every Day Office Environment")</f>
        <v>Every Day Office Environment</v>
      </c>
      <c r="L673" s="1" t="str">
        <f ca="1">IFERROR(__xludf.DUMMYFUNCTION("""COMPUTED_VALUE"""),"Employer who pushes your limits by enabling an learning environment, and rewards you at the end")</f>
        <v>Employer who pushes your limits by enabling an learning environment, and rewards you at the end</v>
      </c>
      <c r="M67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73" s="1" t="str">
        <f ca="1">IFERROR(__xludf.DUMMYFUNCTION("""COMPUTED_VALUE"""),"Manager who sets goal and helps me achieve it")</f>
        <v>Manager who sets goal and helps me achieve it</v>
      </c>
      <c r="P673" s="1" t="str">
        <f ca="1">IFERROR(__xludf.DUMMYFUNCTION("""COMPUTED_VALUE"""),"Work with more than 10 people in my team")</f>
        <v>Work with more than 10 people in my team</v>
      </c>
      <c r="Q673" s="1"/>
    </row>
    <row r="674" spans="1:17" ht="13.2" x14ac:dyDescent="0.25">
      <c r="A674" s="2">
        <f ca="1">IFERROR(__xludf.DUMMYFUNCTION("""COMPUTED_VALUE"""),45021.9068706828)</f>
        <v>45021.906870682797</v>
      </c>
      <c r="B674" s="1" t="str">
        <f ca="1">IFERROR(__xludf.DUMMYFUNCTION("""COMPUTED_VALUE"""),"India")</f>
        <v>India</v>
      </c>
      <c r="C674" s="1">
        <f ca="1">IFERROR(__xludf.DUMMYFUNCTION("""COMPUTED_VALUE"""),500036)</f>
        <v>500036</v>
      </c>
      <c r="D674" s="3" t="str">
        <f ca="1">IFERROR(__xludf.DUMMYFUNCTION("""COMPUTED_VALUE"""),"Female")</f>
        <v>Female</v>
      </c>
      <c r="E674" s="1" t="str">
        <f ca="1">IFERROR(__xludf.DUMMYFUNCTION("""COMPUTED_VALUE"""),"My Parents")</f>
        <v>My Parents</v>
      </c>
      <c r="F674" s="1" t="str">
        <f ca="1">IFERROR(__xludf.DUMMYFUNCTION("""COMPUTED_VALUE"""),"Yes, I will earn and do that")</f>
        <v>Yes, I will earn and do that</v>
      </c>
      <c r="G674" s="1" t="str">
        <f ca="1">IFERROR(__xludf.DUMMYFUNCTION("""COMPUTED_VALUE"""),"Will work for 3 years or more")</f>
        <v>Will work for 3 years or more</v>
      </c>
      <c r="H674" s="1" t="str">
        <f ca="1">IFERROR(__xludf.DUMMYFUNCTION("""COMPUTED_VALUE"""),"No")</f>
        <v>No</v>
      </c>
      <c r="I674" s="1" t="str">
        <f ca="1">IFERROR(__xludf.DUMMYFUNCTION("""COMPUTED_VALUE"""),"Will NOT work for them")</f>
        <v>Will NOT work for them</v>
      </c>
      <c r="J674" s="1">
        <f ca="1">IFERROR(__xludf.DUMMYFUNCTION("""COMPUTED_VALUE"""),5)</f>
        <v>5</v>
      </c>
      <c r="K674" s="1" t="str">
        <f ca="1">IFERROR(__xludf.DUMMYFUNCTION("""COMPUTED_VALUE"""),"Every Day Office Environment")</f>
        <v>Every Day Office Environment</v>
      </c>
      <c r="L674" s="1" t="str">
        <f ca="1">IFERROR(__xludf.DUMMYFUNCTION("""COMPUTED_VALUE"""),"Employer who pushes your limits by enabling an learning environment, and rewards you at the end")</f>
        <v>Employer who pushes your limits by enabling an learning environment, and rewards you at the end</v>
      </c>
      <c r="M674" s="1" t="str">
        <f ca="1">IFERROR(__xludf.DUMMYFUNCTION("""COMPUTED_VALUE"""),"Instructor or Expert Learning Programs, Learning by observing others, Manager Teaching you")</f>
        <v>Instructor or Expert Learning Programs, Learning by observing others, Manager Teaching you</v>
      </c>
      <c r="N6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74" s="1" t="str">
        <f ca="1">IFERROR(__xludf.DUMMYFUNCTION("""COMPUTED_VALUE"""),"Manager who sets goal and helps me achieve it")</f>
        <v>Manager who sets goal and helps me achieve it</v>
      </c>
      <c r="P674" s="1" t="str">
        <f ca="1">IFERROR(__xludf.DUMMYFUNCTION("""COMPUTED_VALUE"""),"Work with 5 to 6 people in my team")</f>
        <v>Work with 5 to 6 people in my team</v>
      </c>
      <c r="Q674" s="1"/>
    </row>
    <row r="675" spans="1:17" ht="13.2" x14ac:dyDescent="0.25">
      <c r="A675" s="2">
        <f ca="1">IFERROR(__xludf.DUMMYFUNCTION("""COMPUTED_VALUE"""),45021.9080079166)</f>
        <v>45021.908007916601</v>
      </c>
      <c r="B675" s="1" t="str">
        <f ca="1">IFERROR(__xludf.DUMMYFUNCTION("""COMPUTED_VALUE"""),"India")</f>
        <v>India</v>
      </c>
      <c r="C675" s="1">
        <f ca="1">IFERROR(__xludf.DUMMYFUNCTION("""COMPUTED_VALUE"""),631209)</f>
        <v>631209</v>
      </c>
      <c r="D675" s="3" t="str">
        <f ca="1">IFERROR(__xludf.DUMMYFUNCTION("""COMPUTED_VALUE"""),"Female")</f>
        <v>Female</v>
      </c>
      <c r="E675" s="1" t="str">
        <f ca="1">IFERROR(__xludf.DUMMYFUNCTION("""COMPUTED_VALUE"""),"Influencers who had successful careers")</f>
        <v>Influencers who had successful careers</v>
      </c>
      <c r="F675" s="1" t="str">
        <f ca="1">IFERROR(__xludf.DUMMYFUNCTION("""COMPUTED_VALUE"""),"Yes, I will earn and do that")</f>
        <v>Yes, I will earn and do that</v>
      </c>
      <c r="G675" s="1" t="str">
        <f ca="1">IFERROR(__xludf.DUMMYFUNCTION("""COMPUTED_VALUE"""),"Will work for 3 years or more")</f>
        <v>Will work for 3 years or more</v>
      </c>
      <c r="H675" s="1" t="str">
        <f ca="1">IFERROR(__xludf.DUMMYFUNCTION("""COMPUTED_VALUE"""),"No")</f>
        <v>No</v>
      </c>
      <c r="I675" s="1" t="str">
        <f ca="1">IFERROR(__xludf.DUMMYFUNCTION("""COMPUTED_VALUE"""),"Will NOT work for them")</f>
        <v>Will NOT work for them</v>
      </c>
      <c r="J675" s="1">
        <f ca="1">IFERROR(__xludf.DUMMYFUNCTION("""COMPUTED_VALUE"""),6)</f>
        <v>6</v>
      </c>
      <c r="K675" s="1" t="str">
        <f ca="1">IFERROR(__xludf.DUMMYFUNCTION("""COMPUTED_VALUE"""),"Every Day Office Environment")</f>
        <v>Every Day Office Environment</v>
      </c>
      <c r="L675" s="1" t="str">
        <f ca="1">IFERROR(__xludf.DUMMYFUNCTION("""COMPUTED_VALUE"""),"Employer who rewards learning and enables that environment")</f>
        <v>Employer who rewards learning and enables that environment</v>
      </c>
      <c r="M675"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67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675" s="1" t="str">
        <f ca="1">IFERROR(__xludf.DUMMYFUNCTION("""COMPUTED_VALUE"""),"Manager who sets goal and helps me achieve it")</f>
        <v>Manager who sets goal and helps me achieve it</v>
      </c>
      <c r="P675" s="1" t="str">
        <f ca="1">IFERROR(__xludf.DUMMYFUNCTION("""COMPUTED_VALUE"""),"Work with more than 10 people in my team")</f>
        <v>Work with more than 10 people in my team</v>
      </c>
      <c r="Q675" s="1"/>
    </row>
    <row r="676" spans="1:17" ht="13.2" x14ac:dyDescent="0.25">
      <c r="A676" s="2">
        <f ca="1">IFERROR(__xludf.DUMMYFUNCTION("""COMPUTED_VALUE"""),45021.9109790972)</f>
        <v>45021.9109790972</v>
      </c>
      <c r="B676" s="1" t="str">
        <f ca="1">IFERROR(__xludf.DUMMYFUNCTION("""COMPUTED_VALUE"""),"India")</f>
        <v>India</v>
      </c>
      <c r="C676" s="1">
        <f ca="1">IFERROR(__xludf.DUMMYFUNCTION("""COMPUTED_VALUE"""),632007)</f>
        <v>632007</v>
      </c>
      <c r="D676" s="3" t="str">
        <f ca="1">IFERROR(__xludf.DUMMYFUNCTION("""COMPUTED_VALUE"""),"Female")</f>
        <v>Female</v>
      </c>
      <c r="E676" s="1" t="str">
        <f ca="1">IFERROR(__xludf.DUMMYFUNCTION("""COMPUTED_VALUE"""),"My Parents")</f>
        <v>My Parents</v>
      </c>
      <c r="F676" s="1" t="str">
        <f ca="1">IFERROR(__xludf.DUMMYFUNCTION("""COMPUTED_VALUE"""),"Yes, I will earn and do that")</f>
        <v>Yes, I will earn and do that</v>
      </c>
      <c r="G676" s="1" t="str">
        <f ca="1">IFERROR(__xludf.DUMMYFUNCTION("""COMPUTED_VALUE"""),"Will work for 3 years or more")</f>
        <v>Will work for 3 years or more</v>
      </c>
      <c r="H676" s="1" t="str">
        <f ca="1">IFERROR(__xludf.DUMMYFUNCTION("""COMPUTED_VALUE"""),"Yes")</f>
        <v>Yes</v>
      </c>
      <c r="I676" s="1" t="str">
        <f ca="1">IFERROR(__xludf.DUMMYFUNCTION("""COMPUTED_VALUE"""),"Will work for them")</f>
        <v>Will work for them</v>
      </c>
      <c r="J676" s="1">
        <f ca="1">IFERROR(__xludf.DUMMYFUNCTION("""COMPUTED_VALUE"""),6)</f>
        <v>6</v>
      </c>
      <c r="K676" s="1" t="str">
        <f ca="1">IFERROR(__xludf.DUMMYFUNCTION("""COMPUTED_VALUE"""),"Every Day Office Environment")</f>
        <v>Every Day Office Environment</v>
      </c>
      <c r="L676" s="1" t="str">
        <f ca="1">IFERROR(__xludf.DUMMYFUNCTION("""COMPUTED_VALUE"""),"Employer who rewards learning and enables that environment")</f>
        <v>Employer who rewards learning and enables that environment</v>
      </c>
      <c r="M6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6"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676" s="1" t="str">
        <f ca="1">IFERROR(__xludf.DUMMYFUNCTION("""COMPUTED_VALUE"""),"Manager who sets goal and helps me achieve it")</f>
        <v>Manager who sets goal and helps me achieve it</v>
      </c>
      <c r="P676" s="1" t="str">
        <f ca="1">IFERROR(__xludf.DUMMYFUNCTION("""COMPUTED_VALUE"""),"Work alone")</f>
        <v>Work alone</v>
      </c>
      <c r="Q676" s="1"/>
    </row>
    <row r="677" spans="1:17" ht="13.2" x14ac:dyDescent="0.25">
      <c r="A677" s="2">
        <f ca="1">IFERROR(__xludf.DUMMYFUNCTION("""COMPUTED_VALUE"""),45021.9132312731)</f>
        <v>45021.913231273102</v>
      </c>
      <c r="B677" s="1" t="str">
        <f ca="1">IFERROR(__xludf.DUMMYFUNCTION("""COMPUTED_VALUE"""),"India")</f>
        <v>India</v>
      </c>
      <c r="C677" s="1">
        <f ca="1">IFERROR(__xludf.DUMMYFUNCTION("""COMPUTED_VALUE"""),515721)</f>
        <v>515721</v>
      </c>
      <c r="D677" s="3" t="str">
        <f ca="1">IFERROR(__xludf.DUMMYFUNCTION("""COMPUTED_VALUE"""),"Male")</f>
        <v>Male</v>
      </c>
      <c r="E677" s="1" t="str">
        <f ca="1">IFERROR(__xludf.DUMMYFUNCTION("""COMPUTED_VALUE"""),"People from my circle, but not family members")</f>
        <v>People from my circle, but not family members</v>
      </c>
      <c r="F677" s="1" t="str">
        <f ca="1">IFERROR(__xludf.DUMMYFUNCTION("""COMPUTED_VALUE"""),"Yes, I will earn and do that")</f>
        <v>Yes, I will earn and do that</v>
      </c>
      <c r="G677" s="1" t="str">
        <f ca="1">IFERROR(__xludf.DUMMYFUNCTION("""COMPUTED_VALUE"""),"This will be hard to do, but if it is the right company I would try")</f>
        <v>This will be hard to do, but if it is the right company I would try</v>
      </c>
      <c r="H677" s="1" t="str">
        <f ca="1">IFERROR(__xludf.DUMMYFUNCTION("""COMPUTED_VALUE"""),"No")</f>
        <v>No</v>
      </c>
      <c r="I677" s="1" t="str">
        <f ca="1">IFERROR(__xludf.DUMMYFUNCTION("""COMPUTED_VALUE"""),"Will NOT work for them")</f>
        <v>Will NOT work for them</v>
      </c>
      <c r="J677" s="1">
        <f ca="1">IFERROR(__xludf.DUMMYFUNCTION("""COMPUTED_VALUE"""),5)</f>
        <v>5</v>
      </c>
      <c r="K677" s="1" t="str">
        <f ca="1">IFERROR(__xludf.DUMMYFUNCTION("""COMPUTED_VALUE"""),"Fully Remote with Options to travel as and when needed")</f>
        <v>Fully Remote with Options to travel as and when needed</v>
      </c>
      <c r="L677" s="1" t="str">
        <f ca="1">IFERROR(__xludf.DUMMYFUNCTION("""COMPUTED_VALUE"""),"Employer who rewards learning and enables that environment")</f>
        <v>Employer who rewards learning and enables that environment</v>
      </c>
      <c r="M67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7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677" s="1" t="str">
        <f ca="1">IFERROR(__xludf.DUMMYFUNCTION("""COMPUTED_VALUE"""),"Manager who explains what is expected, sets a goal and helps achieve it")</f>
        <v>Manager who explains what is expected, sets a goal and helps achieve it</v>
      </c>
      <c r="P677" s="1" t="str">
        <f ca="1">IFERROR(__xludf.DUMMYFUNCTION("""COMPUTED_VALUE"""),"Work with 5 to 6 people in my team")</f>
        <v>Work with 5 to 6 people in my team</v>
      </c>
      <c r="Q677" s="1"/>
    </row>
    <row r="678" spans="1:17" ht="13.2" x14ac:dyDescent="0.25">
      <c r="A678" s="2">
        <f ca="1">IFERROR(__xludf.DUMMYFUNCTION("""COMPUTED_VALUE"""),45021.9136563078)</f>
        <v>45021.913656307799</v>
      </c>
      <c r="B678" s="1" t="str">
        <f ca="1">IFERROR(__xludf.DUMMYFUNCTION("""COMPUTED_VALUE"""),"India")</f>
        <v>India</v>
      </c>
      <c r="C678" s="1">
        <f ca="1">IFERROR(__xludf.DUMMYFUNCTION("""COMPUTED_VALUE"""),641015)</f>
        <v>641015</v>
      </c>
      <c r="D678" s="3" t="str">
        <f ca="1">IFERROR(__xludf.DUMMYFUNCTION("""COMPUTED_VALUE"""),"Male")</f>
        <v>Male</v>
      </c>
      <c r="E678" s="1" t="str">
        <f ca="1">IFERROR(__xludf.DUMMYFUNCTION("""COMPUTED_VALUE"""),"People from my circle, but not family members")</f>
        <v>People from my circle, but not family members</v>
      </c>
      <c r="F678" s="1" t="str">
        <f ca="1">IFERROR(__xludf.DUMMYFUNCTION("""COMPUTED_VALUE"""),"Yes, I will earn and do that")</f>
        <v>Yes, I will earn and do that</v>
      </c>
      <c r="G678" s="1" t="str">
        <f ca="1">IFERROR(__xludf.DUMMYFUNCTION("""COMPUTED_VALUE"""),"This will be hard to do, but if it is the right company I would try")</f>
        <v>This will be hard to do, but if it is the right company I would try</v>
      </c>
      <c r="H678" s="1" t="str">
        <f ca="1">IFERROR(__xludf.DUMMYFUNCTION("""COMPUTED_VALUE"""),"No")</f>
        <v>No</v>
      </c>
      <c r="I678" s="1" t="str">
        <f ca="1">IFERROR(__xludf.DUMMYFUNCTION("""COMPUTED_VALUE"""),"Will NOT work for them")</f>
        <v>Will NOT work for them</v>
      </c>
      <c r="J678" s="1">
        <f ca="1">IFERROR(__xludf.DUMMYFUNCTION("""COMPUTED_VALUE"""),5)</f>
        <v>5</v>
      </c>
      <c r="K678" s="1" t="str">
        <f ca="1">IFERROR(__xludf.DUMMYFUNCTION("""COMPUTED_VALUE"""),"Fully Remote with Options to travel as and when needed")</f>
        <v>Fully Remote with Options to travel as and when needed</v>
      </c>
      <c r="L678" s="1" t="str">
        <f ca="1">IFERROR(__xludf.DUMMYFUNCTION("""COMPUTED_VALUE"""),"Employer who rewards learning and enables that environment")</f>
        <v>Employer who rewards learning and enables that environment</v>
      </c>
      <c r="M6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8"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678" s="1" t="str">
        <f ca="1">IFERROR(__xludf.DUMMYFUNCTION("""COMPUTED_VALUE"""),"Manager who explains what is expected, sets a goal and helps achieve it")</f>
        <v>Manager who explains what is expected, sets a goal and helps achieve it</v>
      </c>
      <c r="P678"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78" s="1"/>
    </row>
    <row r="679" spans="1:17" ht="13.2" x14ac:dyDescent="0.25">
      <c r="A679" s="2">
        <f ca="1">IFERROR(__xludf.DUMMYFUNCTION("""COMPUTED_VALUE"""),45021.9136950578)</f>
        <v>45021.913695057803</v>
      </c>
      <c r="B679" s="1" t="str">
        <f ca="1">IFERROR(__xludf.DUMMYFUNCTION("""COMPUTED_VALUE"""),"India")</f>
        <v>India</v>
      </c>
      <c r="C679" s="1">
        <f ca="1">IFERROR(__xludf.DUMMYFUNCTION("""COMPUTED_VALUE"""),500072)</f>
        <v>500072</v>
      </c>
      <c r="D679" s="3" t="str">
        <f ca="1">IFERROR(__xludf.DUMMYFUNCTION("""COMPUTED_VALUE"""),"Male")</f>
        <v>Male</v>
      </c>
      <c r="E679" s="1" t="str">
        <f ca="1">IFERROR(__xludf.DUMMYFUNCTION("""COMPUTED_VALUE"""),"My Parents")</f>
        <v>My Parents</v>
      </c>
      <c r="F679" s="1" t="str">
        <f ca="1">IFERROR(__xludf.DUMMYFUNCTION("""COMPUTED_VALUE"""),"No I would not be pursuing Higher Education outside of India")</f>
        <v>No I would not be pursuing Higher Education outside of India</v>
      </c>
      <c r="G679" s="1" t="str">
        <f ca="1">IFERROR(__xludf.DUMMYFUNCTION("""COMPUTED_VALUE"""),"This will be hard to do, but if it is the right company I would try")</f>
        <v>This will be hard to do, but if it is the right company I would try</v>
      </c>
      <c r="H679" s="1" t="str">
        <f ca="1">IFERROR(__xludf.DUMMYFUNCTION("""COMPUTED_VALUE"""),"Yes")</f>
        <v>Yes</v>
      </c>
      <c r="I679" s="1" t="str">
        <f ca="1">IFERROR(__xludf.DUMMYFUNCTION("""COMPUTED_VALUE"""),"Will NOT work for them")</f>
        <v>Will NOT work for them</v>
      </c>
      <c r="J679" s="1">
        <f ca="1">IFERROR(__xludf.DUMMYFUNCTION("""COMPUTED_VALUE"""),6)</f>
        <v>6</v>
      </c>
      <c r="K679" s="1" t="str">
        <f ca="1">IFERROR(__xludf.DUMMYFUNCTION("""COMPUTED_VALUE"""),"Fully Remote with No option to visit offices")</f>
        <v>Fully Remote with No option to visit offices</v>
      </c>
      <c r="L679" s="1" t="str">
        <f ca="1">IFERROR(__xludf.DUMMYFUNCTION("""COMPUTED_VALUE"""),"Employer who pushes your limits by enabling an learning environment, and rewards you at the end")</f>
        <v>Employer who pushes your limits by enabling an learning environment, and rewards you at the end</v>
      </c>
      <c r="M6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9"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79" s="1" t="str">
        <f ca="1">IFERROR(__xludf.DUMMYFUNCTION("""COMPUTED_VALUE"""),"Manager who clearly describes what she/he needs")</f>
        <v>Manager who clearly describes what she/he needs</v>
      </c>
      <c r="P679" s="1" t="str">
        <f ca="1">IFERROR(__xludf.DUMMYFUNCTION("""COMPUTED_VALUE"""),"Work with 5 to 6 people in my team")</f>
        <v>Work with 5 to 6 people in my team</v>
      </c>
      <c r="Q679" s="1"/>
    </row>
    <row r="680" spans="1:17" ht="13.2" x14ac:dyDescent="0.25">
      <c r="A680" s="2">
        <f ca="1">IFERROR(__xludf.DUMMYFUNCTION("""COMPUTED_VALUE"""),45021.9203919675)</f>
        <v>45021.920391967498</v>
      </c>
      <c r="B680" s="1" t="str">
        <f ca="1">IFERROR(__xludf.DUMMYFUNCTION("""COMPUTED_VALUE"""),"India")</f>
        <v>India</v>
      </c>
      <c r="C680" s="1">
        <f ca="1">IFERROR(__xludf.DUMMYFUNCTION("""COMPUTED_VALUE"""),410206)</f>
        <v>410206</v>
      </c>
      <c r="D680" s="3" t="str">
        <f ca="1">IFERROR(__xludf.DUMMYFUNCTION("""COMPUTED_VALUE"""),"Male")</f>
        <v>Male</v>
      </c>
      <c r="E680" s="1" t="str">
        <f ca="1">IFERROR(__xludf.DUMMYFUNCTION("""COMPUTED_VALUE"""),"People from my circle, but not family members")</f>
        <v>People from my circle, but not family members</v>
      </c>
      <c r="F680" s="1" t="str">
        <f ca="1">IFERROR(__xludf.DUMMYFUNCTION("""COMPUTED_VALUE"""),"No I would not be pursuing Higher Education outside of India")</f>
        <v>No I would not be pursuing Higher Education outside of India</v>
      </c>
      <c r="G680" s="1" t="str">
        <f ca="1">IFERROR(__xludf.DUMMYFUNCTION("""COMPUTED_VALUE"""),"This will be hard to do, but if it is the right company I would try")</f>
        <v>This will be hard to do, but if it is the right company I would try</v>
      </c>
      <c r="H680" s="1" t="str">
        <f ca="1">IFERROR(__xludf.DUMMYFUNCTION("""COMPUTED_VALUE"""),"No")</f>
        <v>No</v>
      </c>
      <c r="I680" s="1" t="str">
        <f ca="1">IFERROR(__xludf.DUMMYFUNCTION("""COMPUTED_VALUE"""),"Will NOT work for them")</f>
        <v>Will NOT work for them</v>
      </c>
      <c r="J680" s="1">
        <f ca="1">IFERROR(__xludf.DUMMYFUNCTION("""COMPUTED_VALUE"""),5)</f>
        <v>5</v>
      </c>
      <c r="K680" s="1" t="str">
        <f ca="1">IFERROR(__xludf.DUMMYFUNCTION("""COMPUTED_VALUE"""),"Fully Remote with No option to visit offices")</f>
        <v>Fully Remote with No option to visit offices</v>
      </c>
      <c r="L680" s="1" t="str">
        <f ca="1">IFERROR(__xludf.DUMMYFUNCTION("""COMPUTED_VALUE"""),"Employer who appreciates learning and enables that environment")</f>
        <v>Employer who appreciates learning and enables that environment</v>
      </c>
      <c r="M68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8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680" s="1" t="str">
        <f ca="1">IFERROR(__xludf.DUMMYFUNCTION("""COMPUTED_VALUE"""),"Manager who explains what is expected, sets a goal and helps achieve it")</f>
        <v>Manager who explains what is expected, sets a goal and helps achieve it</v>
      </c>
      <c r="P680"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680" s="1"/>
    </row>
    <row r="681" spans="1:17" ht="13.2" x14ac:dyDescent="0.25">
      <c r="A681" s="2">
        <f ca="1">IFERROR(__xludf.DUMMYFUNCTION("""COMPUTED_VALUE"""),45021.9209098148)</f>
        <v>45021.920909814799</v>
      </c>
      <c r="B681" s="1" t="str">
        <f ca="1">IFERROR(__xludf.DUMMYFUNCTION("""COMPUTED_VALUE"""),"India")</f>
        <v>India</v>
      </c>
      <c r="C681" s="1">
        <f ca="1">IFERROR(__xludf.DUMMYFUNCTION("""COMPUTED_VALUE"""),577201)</f>
        <v>577201</v>
      </c>
      <c r="D681" s="3" t="str">
        <f ca="1">IFERROR(__xludf.DUMMYFUNCTION("""COMPUTED_VALUE"""),"Female")</f>
        <v>Female</v>
      </c>
      <c r="E681" s="1" t="str">
        <f ca="1">IFERROR(__xludf.DUMMYFUNCTION("""COMPUTED_VALUE"""),"People who have changed the world for better")</f>
        <v>People who have changed the world for better</v>
      </c>
      <c r="F681" s="1" t="str">
        <f ca="1">IFERROR(__xludf.DUMMYFUNCTION("""COMPUTED_VALUE"""),"No I would not be pursuing Higher Education outside of India")</f>
        <v>No I would not be pursuing Higher Education outside of India</v>
      </c>
      <c r="G681" s="1" t="str">
        <f ca="1">IFERROR(__xludf.DUMMYFUNCTION("""COMPUTED_VALUE"""),"Will work for 3 years or more")</f>
        <v>Will work for 3 years or more</v>
      </c>
      <c r="H681" s="1" t="str">
        <f ca="1">IFERROR(__xludf.DUMMYFUNCTION("""COMPUTED_VALUE"""),"No")</f>
        <v>No</v>
      </c>
      <c r="I681" s="1" t="str">
        <f ca="1">IFERROR(__xludf.DUMMYFUNCTION("""COMPUTED_VALUE"""),"Will NOT work for them")</f>
        <v>Will NOT work for them</v>
      </c>
      <c r="J681" s="1">
        <f ca="1">IFERROR(__xludf.DUMMYFUNCTION("""COMPUTED_VALUE"""),1)</f>
        <v>1</v>
      </c>
      <c r="K681" s="1" t="str">
        <f ca="1">IFERROR(__xludf.DUMMYFUNCTION("""COMPUTED_VALUE"""),"Hybrid Working Environment with more than 15 days a month at office")</f>
        <v>Hybrid Working Environment with more than 15 days a month at office</v>
      </c>
      <c r="L681" s="1" t="str">
        <f ca="1">IFERROR(__xludf.DUMMYFUNCTION("""COMPUTED_VALUE"""),"Employer who pushes your limits by enabling an learning environment, and rewards you at the end")</f>
        <v>Employer who pushes your limits by enabling an learning environment, and rewards you at the end</v>
      </c>
      <c r="M68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81"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681" s="1" t="str">
        <f ca="1">IFERROR(__xludf.DUMMYFUNCTION("""COMPUTED_VALUE"""),"Manager who explains what is expected, sets a goal and helps achieve it")</f>
        <v>Manager who explains what is expected, sets a goal and helps achieve it</v>
      </c>
      <c r="P681" s="1" t="str">
        <f ca="1">IFERROR(__xludf.DUMMYFUNCTION("""COMPUTED_VALUE"""),"Work with more than 10 people in my team")</f>
        <v>Work with more than 10 people in my team</v>
      </c>
      <c r="Q681" s="1"/>
    </row>
    <row r="682" spans="1:17" ht="13.2" x14ac:dyDescent="0.25">
      <c r="A682" s="2">
        <f ca="1">IFERROR(__xludf.DUMMYFUNCTION("""COMPUTED_VALUE"""),45021.9227192245)</f>
        <v>45021.922719224502</v>
      </c>
      <c r="B682" s="1" t="str">
        <f ca="1">IFERROR(__xludf.DUMMYFUNCTION("""COMPUTED_VALUE"""),"India")</f>
        <v>India</v>
      </c>
      <c r="C682" s="1">
        <f ca="1">IFERROR(__xludf.DUMMYFUNCTION("""COMPUTED_VALUE"""),632007)</f>
        <v>632007</v>
      </c>
      <c r="D682" s="3" t="str">
        <f ca="1">IFERROR(__xludf.DUMMYFUNCTION("""COMPUTED_VALUE"""),"Male")</f>
        <v>Male</v>
      </c>
      <c r="E682" s="1" t="str">
        <f ca="1">IFERROR(__xludf.DUMMYFUNCTION("""COMPUTED_VALUE"""),"Influencers who had successful careers")</f>
        <v>Influencers who had successful careers</v>
      </c>
      <c r="F682" s="1" t="str">
        <f ca="1">IFERROR(__xludf.DUMMYFUNCTION("""COMPUTED_VALUE"""),"No, But if someone could bare the cost I will")</f>
        <v>No, But if someone could bare the cost I will</v>
      </c>
      <c r="G682" s="1" t="str">
        <f ca="1">IFERROR(__xludf.DUMMYFUNCTION("""COMPUTED_VALUE"""),"This will be hard to do, but if it is the right company I would try")</f>
        <v>This will be hard to do, but if it is the right company I would try</v>
      </c>
      <c r="H682" s="1" t="str">
        <f ca="1">IFERROR(__xludf.DUMMYFUNCTION("""COMPUTED_VALUE"""),"No")</f>
        <v>No</v>
      </c>
      <c r="I682" s="1" t="str">
        <f ca="1">IFERROR(__xludf.DUMMYFUNCTION("""COMPUTED_VALUE"""),"Will NOT work for them")</f>
        <v>Will NOT work for them</v>
      </c>
      <c r="J682" s="1">
        <f ca="1">IFERROR(__xludf.DUMMYFUNCTION("""COMPUTED_VALUE"""),8)</f>
        <v>8</v>
      </c>
      <c r="K682" s="1" t="str">
        <f ca="1">IFERROR(__xludf.DUMMYFUNCTION("""COMPUTED_VALUE"""),"Fully Remote with Options to travel as and when needed")</f>
        <v>Fully Remote with Options to travel as and when needed</v>
      </c>
      <c r="L682" s="1" t="str">
        <f ca="1">IFERROR(__xludf.DUMMYFUNCTION("""COMPUTED_VALUE"""),"Employer who pushes your limits by enabling an learning environment, and rewards you at the end")</f>
        <v>Employer who pushes your limits by enabling an learning environment, and rewards you at the end</v>
      </c>
      <c r="M682" s="1" t="str">
        <f ca="1">IFERROR(__xludf.DUMMYFUNCTION("""COMPUTED_VALUE"""),"Self Paced Learning Portals of the Company, Instructor or Expert Learning Programs, Manager Teaching you")</f>
        <v>Self Paced Learning Portals of the Company, Instructor or Expert Learning Programs, Manager Teaching you</v>
      </c>
      <c r="N68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682" s="1" t="str">
        <f ca="1">IFERROR(__xludf.DUMMYFUNCTION("""COMPUTED_VALUE"""),"Manager who sets goal and helps me achieve it")</f>
        <v>Manager who sets goal and helps me achieve it</v>
      </c>
      <c r="P682" s="1" t="str">
        <f ca="1">IFERROR(__xludf.DUMMYFUNCTION("""COMPUTED_VALUE"""),"Work with 5 to 6 people in my team")</f>
        <v>Work with 5 to 6 people in my team</v>
      </c>
      <c r="Q682" s="1"/>
    </row>
    <row r="683" spans="1:17" ht="13.2" x14ac:dyDescent="0.25">
      <c r="A683" s="2">
        <f ca="1">IFERROR(__xludf.DUMMYFUNCTION("""COMPUTED_VALUE"""),45021.9292091319)</f>
        <v>45021.9292091319</v>
      </c>
      <c r="B683" s="1" t="str">
        <f ca="1">IFERROR(__xludf.DUMMYFUNCTION("""COMPUTED_VALUE"""),"India")</f>
        <v>India</v>
      </c>
      <c r="C683" s="1">
        <f ca="1">IFERROR(__xludf.DUMMYFUNCTION("""COMPUTED_VALUE"""),201009)</f>
        <v>201009</v>
      </c>
      <c r="D683" s="3" t="str">
        <f ca="1">IFERROR(__xludf.DUMMYFUNCTION("""COMPUTED_VALUE"""),"Male")</f>
        <v>Male</v>
      </c>
      <c r="E683" s="1" t="str">
        <f ca="1">IFERROR(__xludf.DUMMYFUNCTION("""COMPUTED_VALUE"""),"People who have changed the world for better")</f>
        <v>People who have changed the world for better</v>
      </c>
      <c r="F683" s="1" t="str">
        <f ca="1">IFERROR(__xludf.DUMMYFUNCTION("""COMPUTED_VALUE"""),"No I would not be pursuing Higher Education outside of India")</f>
        <v>No I would not be pursuing Higher Education outside of India</v>
      </c>
      <c r="G683" s="1" t="str">
        <f ca="1">IFERROR(__xludf.DUMMYFUNCTION("""COMPUTED_VALUE"""),"Will work for 3 years or more")</f>
        <v>Will work for 3 years or more</v>
      </c>
      <c r="H683" s="1" t="str">
        <f ca="1">IFERROR(__xludf.DUMMYFUNCTION("""COMPUTED_VALUE"""),"No")</f>
        <v>No</v>
      </c>
      <c r="I683" s="1" t="str">
        <f ca="1">IFERROR(__xludf.DUMMYFUNCTION("""COMPUTED_VALUE"""),"Will NOT work for them")</f>
        <v>Will NOT work for them</v>
      </c>
      <c r="J683" s="1">
        <f ca="1">IFERROR(__xludf.DUMMYFUNCTION("""COMPUTED_VALUE"""),2)</f>
        <v>2</v>
      </c>
      <c r="K683" s="1" t="str">
        <f ca="1">IFERROR(__xludf.DUMMYFUNCTION("""COMPUTED_VALUE"""),"Hybrid Working Environment with less than 3 days a month at office")</f>
        <v>Hybrid Working Environment with less than 3 days a month at office</v>
      </c>
      <c r="L683" s="1" t="str">
        <f ca="1">IFERROR(__xludf.DUMMYFUNCTION("""COMPUTED_VALUE"""),"Employer who pushes your limits by enabling an learning environment, and rewards you at the end")</f>
        <v>Employer who pushes your limits by enabling an learning environment, and rewards you at the end</v>
      </c>
      <c r="M68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83"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683" s="1" t="str">
        <f ca="1">IFERROR(__xludf.DUMMYFUNCTION("""COMPUTED_VALUE"""),"Manager who explains what is expected, sets a goal and helps achieve it")</f>
        <v>Manager who explains what is expected, sets a goal and helps achieve it</v>
      </c>
      <c r="P683" s="1" t="str">
        <f ca="1">IFERROR(__xludf.DUMMYFUNCTION("""COMPUTED_VALUE"""),"Work with 5 to 6 people in my team")</f>
        <v>Work with 5 to 6 people in my team</v>
      </c>
      <c r="Q683" s="1"/>
    </row>
    <row r="684" spans="1:17" ht="13.2" x14ac:dyDescent="0.25">
      <c r="A684" s="2">
        <f ca="1">IFERROR(__xludf.DUMMYFUNCTION("""COMPUTED_VALUE"""),45021.9364751851)</f>
        <v>45021.936475185103</v>
      </c>
      <c r="B684" s="1" t="str">
        <f ca="1">IFERROR(__xludf.DUMMYFUNCTION("""COMPUTED_VALUE"""),"India")</f>
        <v>India</v>
      </c>
      <c r="C684" s="1">
        <f ca="1">IFERROR(__xludf.DUMMYFUNCTION("""COMPUTED_VALUE"""),510101)</f>
        <v>510101</v>
      </c>
      <c r="D684" s="3" t="str">
        <f ca="1">IFERROR(__xludf.DUMMYFUNCTION("""COMPUTED_VALUE"""),"Male")</f>
        <v>Male</v>
      </c>
      <c r="E684" s="1" t="str">
        <f ca="1">IFERROR(__xludf.DUMMYFUNCTION("""COMPUTED_VALUE"""),"Influencers who had successful careers")</f>
        <v>Influencers who had successful careers</v>
      </c>
      <c r="F684" s="1" t="str">
        <f ca="1">IFERROR(__xludf.DUMMYFUNCTION("""COMPUTED_VALUE"""),"No, But if someone could bare the cost I will")</f>
        <v>No, But if someone could bare the cost I will</v>
      </c>
      <c r="G684" s="1" t="str">
        <f ca="1">IFERROR(__xludf.DUMMYFUNCTION("""COMPUTED_VALUE"""),"Will work for 3 years or more")</f>
        <v>Will work for 3 years or more</v>
      </c>
      <c r="H684" s="1" t="str">
        <f ca="1">IFERROR(__xludf.DUMMYFUNCTION("""COMPUTED_VALUE"""),"No")</f>
        <v>No</v>
      </c>
      <c r="I684" s="1" t="str">
        <f ca="1">IFERROR(__xludf.DUMMYFUNCTION("""COMPUTED_VALUE"""),"Will NOT work for them")</f>
        <v>Will NOT work for them</v>
      </c>
      <c r="J684" s="1">
        <f ca="1">IFERROR(__xludf.DUMMYFUNCTION("""COMPUTED_VALUE"""),10)</f>
        <v>10</v>
      </c>
      <c r="K684" s="1" t="str">
        <f ca="1">IFERROR(__xludf.DUMMYFUNCTION("""COMPUTED_VALUE"""),"Every Day Office Environment")</f>
        <v>Every Day Office Environment</v>
      </c>
      <c r="L684" s="1" t="str">
        <f ca="1">IFERROR(__xludf.DUMMYFUNCTION("""COMPUTED_VALUE"""),"Employers who appreciates learning but doesn't enables an learning environment")</f>
        <v>Employers who appreciates learning but doesn't enables an learning environment</v>
      </c>
      <c r="M684"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8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84" s="1" t="str">
        <f ca="1">IFERROR(__xludf.DUMMYFUNCTION("""COMPUTED_VALUE"""),"Manager who sets goal and helps me achieve it")</f>
        <v>Manager who sets goal and helps me achieve it</v>
      </c>
      <c r="P684" s="1" t="str">
        <f ca="1">IFERROR(__xludf.DUMMYFUNCTION("""COMPUTED_VALUE"""),"Work alone")</f>
        <v>Work alone</v>
      </c>
      <c r="Q684" s="1"/>
    </row>
    <row r="685" spans="1:17" ht="13.2" x14ac:dyDescent="0.25">
      <c r="A685" s="2">
        <f ca="1">IFERROR(__xludf.DUMMYFUNCTION("""COMPUTED_VALUE"""),45021.9400012037)</f>
        <v>45021.9400012037</v>
      </c>
      <c r="B685" s="1" t="str">
        <f ca="1">IFERROR(__xludf.DUMMYFUNCTION("""COMPUTED_VALUE"""),"India")</f>
        <v>India</v>
      </c>
      <c r="C685" s="1">
        <f ca="1">IFERROR(__xludf.DUMMYFUNCTION("""COMPUTED_VALUE"""),122001)</f>
        <v>122001</v>
      </c>
      <c r="D685" s="3" t="str">
        <f ca="1">IFERROR(__xludf.DUMMYFUNCTION("""COMPUTED_VALUE"""),"Male")</f>
        <v>Male</v>
      </c>
      <c r="E685" s="1" t="str">
        <f ca="1">IFERROR(__xludf.DUMMYFUNCTION("""COMPUTED_VALUE"""),"People who have changed the world for better")</f>
        <v>People who have changed the world for better</v>
      </c>
      <c r="F685" s="1" t="str">
        <f ca="1">IFERROR(__xludf.DUMMYFUNCTION("""COMPUTED_VALUE"""),"No I would not be pursuing Higher Education outside of India")</f>
        <v>No I would not be pursuing Higher Education outside of India</v>
      </c>
      <c r="G685" s="1" t="str">
        <f ca="1">IFERROR(__xludf.DUMMYFUNCTION("""COMPUTED_VALUE"""),"Will work for 3 years or more")</f>
        <v>Will work for 3 years or more</v>
      </c>
      <c r="H685" s="1" t="str">
        <f ca="1">IFERROR(__xludf.DUMMYFUNCTION("""COMPUTED_VALUE"""),"Yes")</f>
        <v>Yes</v>
      </c>
      <c r="I685" s="1" t="str">
        <f ca="1">IFERROR(__xludf.DUMMYFUNCTION("""COMPUTED_VALUE"""),"Will work for them")</f>
        <v>Will work for them</v>
      </c>
      <c r="J685" s="1">
        <f ca="1">IFERROR(__xludf.DUMMYFUNCTION("""COMPUTED_VALUE"""),10)</f>
        <v>10</v>
      </c>
      <c r="K685" s="1" t="str">
        <f ca="1">IFERROR(__xludf.DUMMYFUNCTION("""COMPUTED_VALUE"""),"Fully Remote with Options to travel as and when needed")</f>
        <v>Fully Remote with Options to travel as and when needed</v>
      </c>
      <c r="L685" s="1" t="str">
        <f ca="1">IFERROR(__xludf.DUMMYFUNCTION("""COMPUTED_VALUE"""),"Employer who pushes your limits by enabling an learning environment, and rewards you at the end")</f>
        <v>Employer who pushes your limits by enabling an learning environment, and rewards you at the end</v>
      </c>
      <c r="M685" s="1" t="str">
        <f ca="1">IFERROR(__xludf.DUMMYFUNCTION("""COMPUTED_VALUE"""),"Self Paced Learning Portals of the Company, Learning by observing others, Manager Teaching you")</f>
        <v>Self Paced Learning Portals of the Company, Learning by observing others, Manager Teaching you</v>
      </c>
      <c r="N685"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685" s="1" t="str">
        <f ca="1">IFERROR(__xludf.DUMMYFUNCTION("""COMPUTED_VALUE"""),"Manager who clearly describes what she/he needs")</f>
        <v>Manager who clearly describes what she/he needs</v>
      </c>
      <c r="P685" s="1" t="str">
        <f ca="1">IFERROR(__xludf.DUMMYFUNCTION("""COMPUTED_VALUE"""),"Work alone, Work with 5 to 6 people in my team")</f>
        <v>Work alone, Work with 5 to 6 people in my team</v>
      </c>
      <c r="Q685" s="1"/>
    </row>
    <row r="686" spans="1:17" ht="13.2" x14ac:dyDescent="0.25">
      <c r="A686" s="2">
        <f ca="1">IFERROR(__xludf.DUMMYFUNCTION("""COMPUTED_VALUE"""),45021.9435191782)</f>
        <v>45021.943519178203</v>
      </c>
      <c r="B686" s="1" t="str">
        <f ca="1">IFERROR(__xludf.DUMMYFUNCTION("""COMPUTED_VALUE"""),"India")</f>
        <v>India</v>
      </c>
      <c r="C686" s="1">
        <f ca="1">IFERROR(__xludf.DUMMYFUNCTION("""COMPUTED_VALUE"""),305001)</f>
        <v>305001</v>
      </c>
      <c r="D686" s="3" t="str">
        <f ca="1">IFERROR(__xludf.DUMMYFUNCTION("""COMPUTED_VALUE"""),"Male")</f>
        <v>Male</v>
      </c>
      <c r="E686" s="1" t="str">
        <f ca="1">IFERROR(__xludf.DUMMYFUNCTION("""COMPUTED_VALUE"""),"My Parents")</f>
        <v>My Parents</v>
      </c>
      <c r="F686" s="1" t="str">
        <f ca="1">IFERROR(__xludf.DUMMYFUNCTION("""COMPUTED_VALUE"""),"No, But if someone could bare the cost I will")</f>
        <v>No, But if someone could bare the cost I will</v>
      </c>
      <c r="G686" s="1" t="str">
        <f ca="1">IFERROR(__xludf.DUMMYFUNCTION("""COMPUTED_VALUE"""),"Will work for 3 years or more")</f>
        <v>Will work for 3 years or more</v>
      </c>
      <c r="H686" s="1" t="str">
        <f ca="1">IFERROR(__xludf.DUMMYFUNCTION("""COMPUTED_VALUE"""),"Yes")</f>
        <v>Yes</v>
      </c>
      <c r="I686" s="1" t="str">
        <f ca="1">IFERROR(__xludf.DUMMYFUNCTION("""COMPUTED_VALUE"""),"Will work for them")</f>
        <v>Will work for them</v>
      </c>
      <c r="J686" s="1">
        <f ca="1">IFERROR(__xludf.DUMMYFUNCTION("""COMPUTED_VALUE"""),2)</f>
        <v>2</v>
      </c>
      <c r="K686" s="1" t="str">
        <f ca="1">IFERROR(__xludf.DUMMYFUNCTION("""COMPUTED_VALUE"""),"Hybrid Working Environment with more than 15 days a month at office")</f>
        <v>Hybrid Working Environment with more than 15 days a month at office</v>
      </c>
      <c r="L686" s="1" t="str">
        <f ca="1">IFERROR(__xludf.DUMMYFUNCTION("""COMPUTED_VALUE"""),"Employer who appreciates learning and enables that environment")</f>
        <v>Employer who appreciates learning and enables that environment</v>
      </c>
      <c r="M68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86"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686" s="1" t="str">
        <f ca="1">IFERROR(__xludf.DUMMYFUNCTION("""COMPUTED_VALUE"""),"Manager who explains what is expected, sets a goal and helps achieve it")</f>
        <v>Manager who explains what is expected, sets a goal and helps achieve it</v>
      </c>
      <c r="P686" s="1" t="str">
        <f ca="1">IFERROR(__xludf.DUMMYFUNCTION("""COMPUTED_VALUE"""),"Work with 2 to 3 people in my team")</f>
        <v>Work with 2 to 3 people in my team</v>
      </c>
      <c r="Q686" s="1"/>
    </row>
    <row r="687" spans="1:17" ht="13.2" x14ac:dyDescent="0.25">
      <c r="A687" s="2">
        <f ca="1">IFERROR(__xludf.DUMMYFUNCTION("""COMPUTED_VALUE"""),45021.9439414004)</f>
        <v>45021.943941400401</v>
      </c>
      <c r="B687" s="1" t="str">
        <f ca="1">IFERROR(__xludf.DUMMYFUNCTION("""COMPUTED_VALUE"""),"India")</f>
        <v>India</v>
      </c>
      <c r="C687" s="1">
        <f ca="1">IFERROR(__xludf.DUMMYFUNCTION("""COMPUTED_VALUE"""),110059)</f>
        <v>110059</v>
      </c>
      <c r="D687" s="3" t="str">
        <f ca="1">IFERROR(__xludf.DUMMYFUNCTION("""COMPUTED_VALUE"""),"Female")</f>
        <v>Female</v>
      </c>
      <c r="E687" s="1" t="str">
        <f ca="1">IFERROR(__xludf.DUMMYFUNCTION("""COMPUTED_VALUE"""),"People who have changed the world for better")</f>
        <v>People who have changed the world for better</v>
      </c>
      <c r="F687" s="1" t="str">
        <f ca="1">IFERROR(__xludf.DUMMYFUNCTION("""COMPUTED_VALUE"""),"Yes, I will earn and do that")</f>
        <v>Yes, I will earn and do that</v>
      </c>
      <c r="G687" s="1" t="str">
        <f ca="1">IFERROR(__xludf.DUMMYFUNCTION("""COMPUTED_VALUE"""),"This will be hard to do, but if it is the right company I would try")</f>
        <v>This will be hard to do, but if it is the right company I would try</v>
      </c>
      <c r="H687" s="1" t="str">
        <f ca="1">IFERROR(__xludf.DUMMYFUNCTION("""COMPUTED_VALUE"""),"Yes")</f>
        <v>Yes</v>
      </c>
      <c r="I687" s="1" t="str">
        <f ca="1">IFERROR(__xludf.DUMMYFUNCTION("""COMPUTED_VALUE"""),"Will NOT work for them")</f>
        <v>Will NOT work for them</v>
      </c>
      <c r="J687" s="1">
        <f ca="1">IFERROR(__xludf.DUMMYFUNCTION("""COMPUTED_VALUE"""),6)</f>
        <v>6</v>
      </c>
      <c r="K687" s="1" t="str">
        <f ca="1">IFERROR(__xludf.DUMMYFUNCTION("""COMPUTED_VALUE"""),"Fully Remote with No option to visit offices")</f>
        <v>Fully Remote with No option to visit offices</v>
      </c>
      <c r="L687" s="1" t="str">
        <f ca="1">IFERROR(__xludf.DUMMYFUNCTION("""COMPUTED_VALUE"""),"Employer who appreciates learning and enables that environment")</f>
        <v>Employer who appreciates learning and enables that environment</v>
      </c>
      <c r="M6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87"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687" s="1" t="str">
        <f ca="1">IFERROR(__xludf.DUMMYFUNCTION("""COMPUTED_VALUE"""),"Manager who explains what is expected, sets a goal and helps achieve it")</f>
        <v>Manager who explains what is expected, sets a goal and helps achieve it</v>
      </c>
      <c r="P687" s="1" t="str">
        <f ca="1">IFERROR(__xludf.DUMMYFUNCTION("""COMPUTED_VALUE"""),"Work with 7 to 10 or more people in my team")</f>
        <v>Work with 7 to 10 or more people in my team</v>
      </c>
      <c r="Q687" s="1"/>
    </row>
    <row r="688" spans="1:17" ht="13.2" x14ac:dyDescent="0.25">
      <c r="A688" s="2">
        <f ca="1">IFERROR(__xludf.DUMMYFUNCTION("""COMPUTED_VALUE"""),45021.9440803703)</f>
        <v>45021.944080370296</v>
      </c>
      <c r="B688" s="1" t="str">
        <f ca="1">IFERROR(__xludf.DUMMYFUNCTION("""COMPUTED_VALUE"""),"India")</f>
        <v>India</v>
      </c>
      <c r="C688" s="1">
        <f ca="1">IFERROR(__xludf.DUMMYFUNCTION("""COMPUTED_VALUE"""),400072)</f>
        <v>400072</v>
      </c>
      <c r="D688" s="3" t="str">
        <f ca="1">IFERROR(__xludf.DUMMYFUNCTION("""COMPUTED_VALUE"""),"Male")</f>
        <v>Male</v>
      </c>
      <c r="E688" s="1" t="str">
        <f ca="1">IFERROR(__xludf.DUMMYFUNCTION("""COMPUTED_VALUE"""),"Influencers who had successful careers")</f>
        <v>Influencers who had successful careers</v>
      </c>
      <c r="F688" s="1" t="str">
        <f ca="1">IFERROR(__xludf.DUMMYFUNCTION("""COMPUTED_VALUE"""),"Yes, I will earn and do that")</f>
        <v>Yes, I will earn and do that</v>
      </c>
      <c r="G688" s="1" t="str">
        <f ca="1">IFERROR(__xludf.DUMMYFUNCTION("""COMPUTED_VALUE"""),"This will be hard to do, but if it is the right company I would try")</f>
        <v>This will be hard to do, but if it is the right company I would try</v>
      </c>
      <c r="H688" s="1" t="str">
        <f ca="1">IFERROR(__xludf.DUMMYFUNCTION("""COMPUTED_VALUE"""),"No")</f>
        <v>No</v>
      </c>
      <c r="I688" s="1" t="str">
        <f ca="1">IFERROR(__xludf.DUMMYFUNCTION("""COMPUTED_VALUE"""),"Will NOT work for them")</f>
        <v>Will NOT work for them</v>
      </c>
      <c r="J688" s="1">
        <f ca="1">IFERROR(__xludf.DUMMYFUNCTION("""COMPUTED_VALUE"""),5)</f>
        <v>5</v>
      </c>
      <c r="K688" s="1" t="str">
        <f ca="1">IFERROR(__xludf.DUMMYFUNCTION("""COMPUTED_VALUE"""),"Hybrid Working Environment with less than 3 days a month at office")</f>
        <v>Hybrid Working Environment with less than 3 days a month at office</v>
      </c>
      <c r="L688" s="1" t="str">
        <f ca="1">IFERROR(__xludf.DUMMYFUNCTION("""COMPUTED_VALUE"""),"Employer who pushes your limits by enabling an learning environment, and rewards you at the end")</f>
        <v>Employer who pushes your limits by enabling an learning environment, and rewards you at the end</v>
      </c>
      <c r="M68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8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88" s="1" t="str">
        <f ca="1">IFERROR(__xludf.DUMMYFUNCTION("""COMPUTED_VALUE"""),"Manager who explains what is expected, sets a goal and helps achieve it")</f>
        <v>Manager who explains what is expected, sets a goal and helps achieve it</v>
      </c>
      <c r="P68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688" s="1"/>
    </row>
    <row r="689" spans="1:17" ht="13.2" x14ac:dyDescent="0.25">
      <c r="A689" s="2">
        <f ca="1">IFERROR(__xludf.DUMMYFUNCTION("""COMPUTED_VALUE"""),45021.9465811805)</f>
        <v>45021.946581180498</v>
      </c>
      <c r="B689" s="1" t="str">
        <f ca="1">IFERROR(__xludf.DUMMYFUNCTION("""COMPUTED_VALUE"""),"India")</f>
        <v>India</v>
      </c>
      <c r="C689" s="1">
        <f ca="1">IFERROR(__xludf.DUMMYFUNCTION("""COMPUTED_VALUE"""),620011)</f>
        <v>620011</v>
      </c>
      <c r="D689" s="3" t="str">
        <f ca="1">IFERROR(__xludf.DUMMYFUNCTION("""COMPUTED_VALUE"""),"Female")</f>
        <v>Female</v>
      </c>
      <c r="E689" s="1" t="str">
        <f ca="1">IFERROR(__xludf.DUMMYFUNCTION("""COMPUTED_VALUE"""),"People from my circle, but not family members")</f>
        <v>People from my circle, but not family members</v>
      </c>
      <c r="F689" s="1" t="str">
        <f ca="1">IFERROR(__xludf.DUMMYFUNCTION("""COMPUTED_VALUE"""),"No, But if someone could bare the cost I will")</f>
        <v>No, But if someone could bare the cost I will</v>
      </c>
      <c r="G689" s="1" t="str">
        <f ca="1">IFERROR(__xludf.DUMMYFUNCTION("""COMPUTED_VALUE"""),"This will be hard to do, but if it is the right company I would try")</f>
        <v>This will be hard to do, but if it is the right company I would try</v>
      </c>
      <c r="H689" s="1" t="str">
        <f ca="1">IFERROR(__xludf.DUMMYFUNCTION("""COMPUTED_VALUE"""),"Yes")</f>
        <v>Yes</v>
      </c>
      <c r="I689" s="1" t="str">
        <f ca="1">IFERROR(__xludf.DUMMYFUNCTION("""COMPUTED_VALUE"""),"Will NOT work for them")</f>
        <v>Will NOT work for them</v>
      </c>
      <c r="J689" s="1">
        <f ca="1">IFERROR(__xludf.DUMMYFUNCTION("""COMPUTED_VALUE"""),3)</f>
        <v>3</v>
      </c>
      <c r="K689" s="1" t="str">
        <f ca="1">IFERROR(__xludf.DUMMYFUNCTION("""COMPUTED_VALUE"""),"Hybrid Working Environment with more than 15 days a month at office")</f>
        <v>Hybrid Working Environment with more than 15 days a month at office</v>
      </c>
      <c r="L689" s="1" t="str">
        <f ca="1">IFERROR(__xludf.DUMMYFUNCTION("""COMPUTED_VALUE"""),"Employer who pushes your limits by enabling an learning environment, and rewards you at the end")</f>
        <v>Employer who pushes your limits by enabling an learning environment, and rewards you at the end</v>
      </c>
      <c r="M68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689"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689" s="1" t="str">
        <f ca="1">IFERROR(__xludf.DUMMYFUNCTION("""COMPUTED_VALUE"""),"Manager who sets targets and expects me to achieve it")</f>
        <v>Manager who sets targets and expects me to achieve it</v>
      </c>
      <c r="P689" s="1" t="str">
        <f ca="1">IFERROR(__xludf.DUMMYFUNCTION("""COMPUTED_VALUE"""),"Work with 5 to 6 people in my team")</f>
        <v>Work with 5 to 6 people in my team</v>
      </c>
      <c r="Q689" s="1"/>
    </row>
    <row r="690" spans="1:17" ht="13.2" x14ac:dyDescent="0.25">
      <c r="A690" s="2">
        <f ca="1">IFERROR(__xludf.DUMMYFUNCTION("""COMPUTED_VALUE"""),45021.9483440855)</f>
        <v>45021.948344085497</v>
      </c>
      <c r="B690" s="1" t="str">
        <f ca="1">IFERROR(__xludf.DUMMYFUNCTION("""COMPUTED_VALUE"""),"India")</f>
        <v>India</v>
      </c>
      <c r="C690" s="1">
        <f ca="1">IFERROR(__xludf.DUMMYFUNCTION("""COMPUTED_VALUE"""),110059)</f>
        <v>110059</v>
      </c>
      <c r="D690" s="3" t="str">
        <f ca="1">IFERROR(__xludf.DUMMYFUNCTION("""COMPUTED_VALUE"""),"Female")</f>
        <v>Female</v>
      </c>
      <c r="E690" s="1" t="str">
        <f ca="1">IFERROR(__xludf.DUMMYFUNCTION("""COMPUTED_VALUE"""),"People who have changed the world for better")</f>
        <v>People who have changed the world for better</v>
      </c>
      <c r="F690" s="1" t="str">
        <f ca="1">IFERROR(__xludf.DUMMYFUNCTION("""COMPUTED_VALUE"""),"Yes, I will earn and do that")</f>
        <v>Yes, I will earn and do that</v>
      </c>
      <c r="G690" s="1" t="str">
        <f ca="1">IFERROR(__xludf.DUMMYFUNCTION("""COMPUTED_VALUE"""),"No way")</f>
        <v>No way</v>
      </c>
      <c r="H690" s="1" t="str">
        <f ca="1">IFERROR(__xludf.DUMMYFUNCTION("""COMPUTED_VALUE"""),"Yes")</f>
        <v>Yes</v>
      </c>
      <c r="I690" s="1" t="str">
        <f ca="1">IFERROR(__xludf.DUMMYFUNCTION("""COMPUTED_VALUE"""),"Will NOT work for them")</f>
        <v>Will NOT work for them</v>
      </c>
      <c r="J690" s="1">
        <f ca="1">IFERROR(__xludf.DUMMYFUNCTION("""COMPUTED_VALUE"""),4)</f>
        <v>4</v>
      </c>
      <c r="K690" s="1" t="str">
        <f ca="1">IFERROR(__xludf.DUMMYFUNCTION("""COMPUTED_VALUE"""),"Hybrid Working Environment with less than 3 days a month at office")</f>
        <v>Hybrid Working Environment with less than 3 days a month at office</v>
      </c>
      <c r="L690" s="1" t="str">
        <f ca="1">IFERROR(__xludf.DUMMYFUNCTION("""COMPUTED_VALUE"""),"Employer who rewards learning and enables that environment")</f>
        <v>Employer who rewards learning and enables that environment</v>
      </c>
      <c r="M690" s="1" t="str">
        <f ca="1">IFERROR(__xludf.DUMMYFUNCTION("""COMPUTED_VALUE"""),"Self Paced Learning Portals of the Company, Learning by observing others, Manager Teaching you")</f>
        <v>Self Paced Learning Portals of the Company, Learning by observing others, Manager Teaching you</v>
      </c>
      <c r="N690"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690" s="1" t="str">
        <f ca="1">IFERROR(__xludf.DUMMYFUNCTION("""COMPUTED_VALUE"""),"Manager who explains what is expected, sets a goal and helps achieve it")</f>
        <v>Manager who explains what is expected, sets a goal and helps achieve it</v>
      </c>
      <c r="P690" s="1" t="str">
        <f ca="1">IFERROR(__xludf.DUMMYFUNCTION("""COMPUTED_VALUE"""),"Work with 5 to 6 people in my team")</f>
        <v>Work with 5 to 6 people in my team</v>
      </c>
      <c r="Q690" s="1"/>
    </row>
    <row r="691" spans="1:17" ht="13.2" x14ac:dyDescent="0.25">
      <c r="A691" s="2">
        <f ca="1">IFERROR(__xludf.DUMMYFUNCTION("""COMPUTED_VALUE"""),45021.9570057523)</f>
        <v>45021.957005752301</v>
      </c>
      <c r="B691" s="1" t="str">
        <f ca="1">IFERROR(__xludf.DUMMYFUNCTION("""COMPUTED_VALUE"""),"India")</f>
        <v>India</v>
      </c>
      <c r="C691" s="1">
        <f ca="1">IFERROR(__xludf.DUMMYFUNCTION("""COMPUTED_VALUE"""),641663)</f>
        <v>641663</v>
      </c>
      <c r="D691" s="3" t="str">
        <f ca="1">IFERROR(__xludf.DUMMYFUNCTION("""COMPUTED_VALUE"""),"Female")</f>
        <v>Female</v>
      </c>
      <c r="E691" s="1" t="str">
        <f ca="1">IFERROR(__xludf.DUMMYFUNCTION("""COMPUTED_VALUE"""),"People who have changed the world for better")</f>
        <v>People who have changed the world for better</v>
      </c>
      <c r="F691" s="1" t="str">
        <f ca="1">IFERROR(__xludf.DUMMYFUNCTION("""COMPUTED_VALUE"""),"No, But if someone could bare the cost I will")</f>
        <v>No, But if someone could bare the cost I will</v>
      </c>
      <c r="G691" s="1" t="str">
        <f ca="1">IFERROR(__xludf.DUMMYFUNCTION("""COMPUTED_VALUE"""),"This will be hard to do, but if it is the right company I would try")</f>
        <v>This will be hard to do, but if it is the right company I would try</v>
      </c>
      <c r="H691" s="1" t="str">
        <f ca="1">IFERROR(__xludf.DUMMYFUNCTION("""COMPUTED_VALUE"""),"Yes")</f>
        <v>Yes</v>
      </c>
      <c r="I691" s="1" t="str">
        <f ca="1">IFERROR(__xludf.DUMMYFUNCTION("""COMPUTED_VALUE"""),"Will NOT work for them")</f>
        <v>Will NOT work for them</v>
      </c>
      <c r="J691" s="1">
        <f ca="1">IFERROR(__xludf.DUMMYFUNCTION("""COMPUTED_VALUE"""),3)</f>
        <v>3</v>
      </c>
      <c r="K691" s="1" t="str">
        <f ca="1">IFERROR(__xludf.DUMMYFUNCTION("""COMPUTED_VALUE"""),"Fully Remote with No option to visit offices")</f>
        <v>Fully Remote with No option to visit offices</v>
      </c>
      <c r="L691" s="1" t="str">
        <f ca="1">IFERROR(__xludf.DUMMYFUNCTION("""COMPUTED_VALUE"""),"Employer who pushes your limits by enabling an learning environment, and rewards you at the end")</f>
        <v>Employer who pushes your limits by enabling an learning environment, and rewards you at the end</v>
      </c>
      <c r="M69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691" s="1" t="str">
        <f ca="1">IFERROR(__xludf.DUMMYFUNCTION("""COMPUTED_VALUE"""),"Teaching in any of the institutes/colleges/online or offline, Business Operations in any organization, Become a content Creator in some platform, Entrepreneur or Start Up")</f>
        <v>Teaching in any of the institutes/colleges/online or offline, Business Operations in any organization, Become a content Creator in some platform, Entrepreneur or Start Up</v>
      </c>
      <c r="O691" s="1" t="str">
        <f ca="1">IFERROR(__xludf.DUMMYFUNCTION("""COMPUTED_VALUE"""),"Manager who explains what is expected, sets a goal and helps achieve it")</f>
        <v>Manager who explains what is expected, sets a goal and helps achieve it</v>
      </c>
      <c r="P691" s="1" t="str">
        <f ca="1">IFERROR(__xludf.DUMMYFUNCTION("""COMPUTED_VALUE"""),"Work alone")</f>
        <v>Work alone</v>
      </c>
      <c r="Q691" s="1"/>
    </row>
    <row r="692" spans="1:17" ht="13.2" x14ac:dyDescent="0.25">
      <c r="A692" s="2">
        <f ca="1">IFERROR(__xludf.DUMMYFUNCTION("""COMPUTED_VALUE"""),45021.9576743171)</f>
        <v>45021.957674317098</v>
      </c>
      <c r="B692" s="1" t="str">
        <f ca="1">IFERROR(__xludf.DUMMYFUNCTION("""COMPUTED_VALUE"""),"India")</f>
        <v>India</v>
      </c>
      <c r="C692" s="1">
        <f ca="1">IFERROR(__xludf.DUMMYFUNCTION("""COMPUTED_VALUE"""),641004)</f>
        <v>641004</v>
      </c>
      <c r="D692" s="3" t="str">
        <f ca="1">IFERROR(__xludf.DUMMYFUNCTION("""COMPUTED_VALUE"""),"Male")</f>
        <v>Male</v>
      </c>
      <c r="E692" s="1" t="str">
        <f ca="1">IFERROR(__xludf.DUMMYFUNCTION("""COMPUTED_VALUE"""),"My Parents")</f>
        <v>My Parents</v>
      </c>
      <c r="F692" s="1" t="str">
        <f ca="1">IFERROR(__xludf.DUMMYFUNCTION("""COMPUTED_VALUE"""),"No I would not be pursuing Higher Education outside of India")</f>
        <v>No I would not be pursuing Higher Education outside of India</v>
      </c>
      <c r="G692" s="1" t="str">
        <f ca="1">IFERROR(__xludf.DUMMYFUNCTION("""COMPUTED_VALUE"""),"This will be hard to do, but if it is the right company I would try")</f>
        <v>This will be hard to do, but if it is the right company I would try</v>
      </c>
      <c r="H692" s="1" t="str">
        <f ca="1">IFERROR(__xludf.DUMMYFUNCTION("""COMPUTED_VALUE"""),"Yes")</f>
        <v>Yes</v>
      </c>
      <c r="I692" s="1" t="str">
        <f ca="1">IFERROR(__xludf.DUMMYFUNCTION("""COMPUTED_VALUE"""),"Will work for them")</f>
        <v>Will work for them</v>
      </c>
      <c r="J692" s="1">
        <f ca="1">IFERROR(__xludf.DUMMYFUNCTION("""COMPUTED_VALUE"""),8)</f>
        <v>8</v>
      </c>
      <c r="K692" s="1" t="str">
        <f ca="1">IFERROR(__xludf.DUMMYFUNCTION("""COMPUTED_VALUE"""),"Hybrid Working Environment with more than 15 days a month at office")</f>
        <v>Hybrid Working Environment with more than 15 days a month at office</v>
      </c>
      <c r="L692" s="1" t="str">
        <f ca="1">IFERROR(__xludf.DUMMYFUNCTION("""COMPUTED_VALUE"""),"Employer who rewards learning and enables that environment")</f>
        <v>Employer who rewards learning and enables that environment</v>
      </c>
      <c r="M692" s="1" t="str">
        <f ca="1">IFERROR(__xludf.DUMMYFUNCTION("""COMPUTED_VALUE"""),"Instructor or Expert Learning Programs, Learning by observing others, Manager Teaching you")</f>
        <v>Instructor or Expert Learning Programs, Learning by observing others, Manager Teaching you</v>
      </c>
      <c r="N69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692" s="1" t="str">
        <f ca="1">IFERROR(__xludf.DUMMYFUNCTION("""COMPUTED_VALUE"""),"Manager who sets goal and helps me achieve it")</f>
        <v>Manager who sets goal and helps me achieve it</v>
      </c>
      <c r="P692" s="1" t="str">
        <f ca="1">IFERROR(__xludf.DUMMYFUNCTION("""COMPUTED_VALUE"""),"Work alone, Work with 2 to 3 people in my team, Work with 5 to 6 people in my team")</f>
        <v>Work alone, Work with 2 to 3 people in my team, Work with 5 to 6 people in my team</v>
      </c>
      <c r="Q692" s="1"/>
    </row>
    <row r="693" spans="1:17" ht="13.2" x14ac:dyDescent="0.25">
      <c r="A693" s="2">
        <f ca="1">IFERROR(__xludf.DUMMYFUNCTION("""COMPUTED_VALUE"""),45021.9648668518)</f>
        <v>45021.964866851798</v>
      </c>
      <c r="B693" s="1" t="str">
        <f ca="1">IFERROR(__xludf.DUMMYFUNCTION("""COMPUTED_VALUE"""),"India")</f>
        <v>India</v>
      </c>
      <c r="C693" s="1">
        <f ca="1">IFERROR(__xludf.DUMMYFUNCTION("""COMPUTED_VALUE"""),673005)</f>
        <v>673005</v>
      </c>
      <c r="D693" s="3" t="str">
        <f ca="1">IFERROR(__xludf.DUMMYFUNCTION("""COMPUTED_VALUE"""),"Female")</f>
        <v>Female</v>
      </c>
      <c r="E693" s="1" t="str">
        <f ca="1">IFERROR(__xludf.DUMMYFUNCTION("""COMPUTED_VALUE"""),"People from my circle, but not family members")</f>
        <v>People from my circle, but not family members</v>
      </c>
      <c r="F693" s="1" t="str">
        <f ca="1">IFERROR(__xludf.DUMMYFUNCTION("""COMPUTED_VALUE"""),"Yes, I will earn and do that")</f>
        <v>Yes, I will earn and do that</v>
      </c>
      <c r="G693" s="1" t="str">
        <f ca="1">IFERROR(__xludf.DUMMYFUNCTION("""COMPUTED_VALUE"""),"This will be hard to do, but if it is the right company I would try")</f>
        <v>This will be hard to do, but if it is the right company I would try</v>
      </c>
      <c r="H693" s="1" t="str">
        <f ca="1">IFERROR(__xludf.DUMMYFUNCTION("""COMPUTED_VALUE"""),"No")</f>
        <v>No</v>
      </c>
      <c r="I693" s="1" t="str">
        <f ca="1">IFERROR(__xludf.DUMMYFUNCTION("""COMPUTED_VALUE"""),"Will NOT work for them")</f>
        <v>Will NOT work for them</v>
      </c>
      <c r="J693" s="1">
        <f ca="1">IFERROR(__xludf.DUMMYFUNCTION("""COMPUTED_VALUE"""),5)</f>
        <v>5</v>
      </c>
      <c r="K693" s="1" t="str">
        <f ca="1">IFERROR(__xludf.DUMMYFUNCTION("""COMPUTED_VALUE"""),"Fully Remote with Options to travel as and when needed")</f>
        <v>Fully Remote with Options to travel as and when needed</v>
      </c>
      <c r="L693" s="1" t="str">
        <f ca="1">IFERROR(__xludf.DUMMYFUNCTION("""COMPUTED_VALUE"""),"Employer who rewards learning and enables that environment")</f>
        <v>Employer who rewards learning and enables that environment</v>
      </c>
      <c r="M69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9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93" s="1" t="str">
        <f ca="1">IFERROR(__xludf.DUMMYFUNCTION("""COMPUTED_VALUE"""),"Manager who explains what is expected, sets a goal and helps achieve it")</f>
        <v>Manager who explains what is expected, sets a goal and helps achieve it</v>
      </c>
      <c r="P693" s="1" t="str">
        <f ca="1">IFERROR(__xludf.DUMMYFUNCTION("""COMPUTED_VALUE"""),"Work with 2 to 3 people in my team")</f>
        <v>Work with 2 to 3 people in my team</v>
      </c>
      <c r="Q693" s="1"/>
    </row>
    <row r="694" spans="1:17" ht="13.2" x14ac:dyDescent="0.25">
      <c r="A694" s="2">
        <f ca="1">IFERROR(__xludf.DUMMYFUNCTION("""COMPUTED_VALUE"""),45021.9666325)</f>
        <v>45021.9666325</v>
      </c>
      <c r="B694" s="1" t="str">
        <f ca="1">IFERROR(__xludf.DUMMYFUNCTION("""COMPUTED_VALUE"""),"India")</f>
        <v>India</v>
      </c>
      <c r="C694" s="1">
        <f ca="1">IFERROR(__xludf.DUMMYFUNCTION("""COMPUTED_VALUE"""),400067)</f>
        <v>400067</v>
      </c>
      <c r="D694" s="3" t="str">
        <f ca="1">IFERROR(__xludf.DUMMYFUNCTION("""COMPUTED_VALUE"""),"Male")</f>
        <v>Male</v>
      </c>
      <c r="E694" s="1" t="str">
        <f ca="1">IFERROR(__xludf.DUMMYFUNCTION("""COMPUTED_VALUE"""),"My Parents")</f>
        <v>My Parents</v>
      </c>
      <c r="F694" s="1" t="str">
        <f ca="1">IFERROR(__xludf.DUMMYFUNCTION("""COMPUTED_VALUE"""),"No I would not be pursuing Higher Education outside of India")</f>
        <v>No I would not be pursuing Higher Education outside of India</v>
      </c>
      <c r="G694" s="1" t="str">
        <f ca="1">IFERROR(__xludf.DUMMYFUNCTION("""COMPUTED_VALUE"""),"This will be hard to do, but if it is the right company I would try")</f>
        <v>This will be hard to do, but if it is the right company I would try</v>
      </c>
      <c r="H694" s="1" t="str">
        <f ca="1">IFERROR(__xludf.DUMMYFUNCTION("""COMPUTED_VALUE"""),"Yes")</f>
        <v>Yes</v>
      </c>
      <c r="I694" s="1" t="str">
        <f ca="1">IFERROR(__xludf.DUMMYFUNCTION("""COMPUTED_VALUE"""),"Will work for them")</f>
        <v>Will work for them</v>
      </c>
      <c r="J694" s="1">
        <f ca="1">IFERROR(__xludf.DUMMYFUNCTION("""COMPUTED_VALUE"""),10)</f>
        <v>10</v>
      </c>
      <c r="K694" s="1" t="str">
        <f ca="1">IFERROR(__xludf.DUMMYFUNCTION("""COMPUTED_VALUE"""),"Hybrid Working Environment with less than 3 days a month at office")</f>
        <v>Hybrid Working Environment with less than 3 days a month at office</v>
      </c>
      <c r="L694" s="1" t="str">
        <f ca="1">IFERROR(__xludf.DUMMYFUNCTION("""COMPUTED_VALUE"""),"Employer who pushes your limits by enabling an learning environment, and rewards you at the end")</f>
        <v>Employer who pushes your limits by enabling an learning environment, and rewards you at the end</v>
      </c>
      <c r="M69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94" s="1" t="str">
        <f ca="1">IFERROR(__xludf.DUMMYFUNCTION("""COMPUTED_VALUE"""),"Manager who explains what is expected, sets a goal and helps achieve it")</f>
        <v>Manager who explains what is expected, sets a goal and helps achieve it</v>
      </c>
      <c r="P694" s="1" t="str">
        <f ca="1">IFERROR(__xludf.DUMMYFUNCTION("""COMPUTED_VALUE"""),"Work with more than 10 people in my team")</f>
        <v>Work with more than 10 people in my team</v>
      </c>
      <c r="Q694" s="1"/>
    </row>
    <row r="695" spans="1:17" ht="13.2" x14ac:dyDescent="0.25">
      <c r="A695" s="2">
        <f ca="1">IFERROR(__xludf.DUMMYFUNCTION("""COMPUTED_VALUE"""),45021.9707482175)</f>
        <v>45021.9707482175</v>
      </c>
      <c r="B695" s="1" t="str">
        <f ca="1">IFERROR(__xludf.DUMMYFUNCTION("""COMPUTED_VALUE"""),"India")</f>
        <v>India</v>
      </c>
      <c r="C695" s="1">
        <f ca="1">IFERROR(__xludf.DUMMYFUNCTION("""COMPUTED_VALUE"""),400067)</f>
        <v>400067</v>
      </c>
      <c r="D695" s="3" t="str">
        <f ca="1">IFERROR(__xludf.DUMMYFUNCTION("""COMPUTED_VALUE"""),"Female")</f>
        <v>Female</v>
      </c>
      <c r="E695" s="1" t="str">
        <f ca="1">IFERROR(__xludf.DUMMYFUNCTION("""COMPUTED_VALUE"""),"My Parents")</f>
        <v>My Parents</v>
      </c>
      <c r="F695" s="1" t="str">
        <f ca="1">IFERROR(__xludf.DUMMYFUNCTION("""COMPUTED_VALUE"""),"No I would not be pursuing Higher Education outside of India")</f>
        <v>No I would not be pursuing Higher Education outside of India</v>
      </c>
      <c r="G695" s="1" t="str">
        <f ca="1">IFERROR(__xludf.DUMMYFUNCTION("""COMPUTED_VALUE"""),"No way")</f>
        <v>No way</v>
      </c>
      <c r="H695" s="1" t="str">
        <f ca="1">IFERROR(__xludf.DUMMYFUNCTION("""COMPUTED_VALUE"""),"No")</f>
        <v>No</v>
      </c>
      <c r="I695" s="1" t="str">
        <f ca="1">IFERROR(__xludf.DUMMYFUNCTION("""COMPUTED_VALUE"""),"Will NOT work for them")</f>
        <v>Will NOT work for them</v>
      </c>
      <c r="J695" s="1">
        <f ca="1">IFERROR(__xludf.DUMMYFUNCTION("""COMPUTED_VALUE"""),1)</f>
        <v>1</v>
      </c>
      <c r="K695" s="1" t="str">
        <f ca="1">IFERROR(__xludf.DUMMYFUNCTION("""COMPUTED_VALUE"""),"Hybrid Working Environment with more than 15 days a month at office")</f>
        <v>Hybrid Working Environment with more than 15 days a month at office</v>
      </c>
      <c r="L695" s="1" t="str">
        <f ca="1">IFERROR(__xludf.DUMMYFUNCTION("""COMPUTED_VALUE"""),"Employer who pushes your limits by enabling an learning environment, and rewards you at the end")</f>
        <v>Employer who pushes your limits by enabling an learning environment, and rewards you at the end</v>
      </c>
      <c r="M6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95"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695" s="1" t="str">
        <f ca="1">IFERROR(__xludf.DUMMYFUNCTION("""COMPUTED_VALUE"""),"Manager who explains what is expected, sets a goal and helps achieve it")</f>
        <v>Manager who explains what is expected, sets a goal and helps achieve it</v>
      </c>
      <c r="P69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695" s="1"/>
    </row>
    <row r="696" spans="1:17" ht="13.2" x14ac:dyDescent="0.25">
      <c r="A696" s="2">
        <f ca="1">IFERROR(__xludf.DUMMYFUNCTION("""COMPUTED_VALUE"""),45021.979421412)</f>
        <v>45021.979421411997</v>
      </c>
      <c r="B696" s="1" t="str">
        <f ca="1">IFERROR(__xludf.DUMMYFUNCTION("""COMPUTED_VALUE"""),"India")</f>
        <v>India</v>
      </c>
      <c r="C696" s="1">
        <f ca="1">IFERROR(__xludf.DUMMYFUNCTION("""COMPUTED_VALUE"""),507002)</f>
        <v>507002</v>
      </c>
      <c r="D696" s="3" t="str">
        <f ca="1">IFERROR(__xludf.DUMMYFUNCTION("""COMPUTED_VALUE"""),"Male")</f>
        <v>Male</v>
      </c>
      <c r="E696" s="1" t="str">
        <f ca="1">IFERROR(__xludf.DUMMYFUNCTION("""COMPUTED_VALUE"""),"People from my circle, but not family members")</f>
        <v>People from my circle, but not family members</v>
      </c>
      <c r="F696" s="1" t="str">
        <f ca="1">IFERROR(__xludf.DUMMYFUNCTION("""COMPUTED_VALUE"""),"Yes, I will earn and do that")</f>
        <v>Yes, I will earn and do that</v>
      </c>
      <c r="G696" s="1" t="str">
        <f ca="1">IFERROR(__xludf.DUMMYFUNCTION("""COMPUTED_VALUE"""),"This will be hard to do, but if it is the right company I would try")</f>
        <v>This will be hard to do, but if it is the right company I would try</v>
      </c>
      <c r="H696" s="1" t="str">
        <f ca="1">IFERROR(__xludf.DUMMYFUNCTION("""COMPUTED_VALUE"""),"Yes")</f>
        <v>Yes</v>
      </c>
      <c r="I696" s="1" t="str">
        <f ca="1">IFERROR(__xludf.DUMMYFUNCTION("""COMPUTED_VALUE"""),"Will NOT work for them")</f>
        <v>Will NOT work for them</v>
      </c>
      <c r="J696" s="1">
        <f ca="1">IFERROR(__xludf.DUMMYFUNCTION("""COMPUTED_VALUE"""),8)</f>
        <v>8</v>
      </c>
      <c r="K696" s="1" t="str">
        <f ca="1">IFERROR(__xludf.DUMMYFUNCTION("""COMPUTED_VALUE"""),"Hybrid Working Environment with less than 3 days a month at office")</f>
        <v>Hybrid Working Environment with less than 3 days a month at office</v>
      </c>
      <c r="L696" s="1" t="str">
        <f ca="1">IFERROR(__xludf.DUMMYFUNCTION("""COMPUTED_VALUE"""),"Employer who pushes your limits by enabling an learning environment, and rewards you at the end")</f>
        <v>Employer who pushes your limits by enabling an learning environment, and rewards you at the end</v>
      </c>
      <c r="M69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96"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696" s="1" t="str">
        <f ca="1">IFERROR(__xludf.DUMMYFUNCTION("""COMPUTED_VALUE"""),"Manager who sets goal and helps me achieve it")</f>
        <v>Manager who sets goal and helps me achieve it</v>
      </c>
      <c r="P696" s="1" t="str">
        <f ca="1">IFERROR(__xludf.DUMMYFUNCTION("""COMPUTED_VALUE"""),"Work with 2 to 3 people in my team")</f>
        <v>Work with 2 to 3 people in my team</v>
      </c>
      <c r="Q696" s="1"/>
    </row>
    <row r="697" spans="1:17" ht="13.2" x14ac:dyDescent="0.25">
      <c r="A697" s="2">
        <f ca="1">IFERROR(__xludf.DUMMYFUNCTION("""COMPUTED_VALUE"""),45021.9795420138)</f>
        <v>45021.979542013803</v>
      </c>
      <c r="B697" s="1" t="str">
        <f ca="1">IFERROR(__xludf.DUMMYFUNCTION("""COMPUTED_VALUE"""),"India")</f>
        <v>India</v>
      </c>
      <c r="C697" s="1">
        <f ca="1">IFERROR(__xludf.DUMMYFUNCTION("""COMPUTED_VALUE"""),574102)</f>
        <v>574102</v>
      </c>
      <c r="D697" s="3" t="str">
        <f ca="1">IFERROR(__xludf.DUMMYFUNCTION("""COMPUTED_VALUE"""),"Male")</f>
        <v>Male</v>
      </c>
      <c r="E697" s="1" t="str">
        <f ca="1">IFERROR(__xludf.DUMMYFUNCTION("""COMPUTED_VALUE"""),"Influencers who had successful careers")</f>
        <v>Influencers who had successful careers</v>
      </c>
      <c r="F697" s="1" t="str">
        <f ca="1">IFERROR(__xludf.DUMMYFUNCTION("""COMPUTED_VALUE"""),"No I would not be pursuing Higher Education outside of India")</f>
        <v>No I would not be pursuing Higher Education outside of India</v>
      </c>
      <c r="G697" s="1" t="str">
        <f ca="1">IFERROR(__xludf.DUMMYFUNCTION("""COMPUTED_VALUE"""),"Will work for 3 years or more")</f>
        <v>Will work for 3 years or more</v>
      </c>
      <c r="H697" s="1" t="str">
        <f ca="1">IFERROR(__xludf.DUMMYFUNCTION("""COMPUTED_VALUE"""),"No")</f>
        <v>No</v>
      </c>
      <c r="I697" s="1" t="str">
        <f ca="1">IFERROR(__xludf.DUMMYFUNCTION("""COMPUTED_VALUE"""),"Will work for them")</f>
        <v>Will work for them</v>
      </c>
      <c r="J697" s="1">
        <f ca="1">IFERROR(__xludf.DUMMYFUNCTION("""COMPUTED_VALUE"""),10)</f>
        <v>10</v>
      </c>
      <c r="K697" s="1" t="str">
        <f ca="1">IFERROR(__xludf.DUMMYFUNCTION("""COMPUTED_VALUE"""),"Hybrid Working Environment with more than 15 days a month at office")</f>
        <v>Hybrid Working Environment with more than 15 days a month at office</v>
      </c>
      <c r="L697" s="1" t="str">
        <f ca="1">IFERROR(__xludf.DUMMYFUNCTION("""COMPUTED_VALUE"""),"Employer who rewards learning and enables that environment")</f>
        <v>Employer who rewards learning and enables that environment</v>
      </c>
      <c r="M69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97" s="1" t="str">
        <f ca="1">IFERROR(__xludf.DUMMYFUNCTION("""COMPUTED_VALUE"""),"Manager who sets targets and expects me to achieve it")</f>
        <v>Manager who sets targets and expects me to achieve it</v>
      </c>
      <c r="P697" s="1" t="str">
        <f ca="1">IFERROR(__xludf.DUMMYFUNCTION("""COMPUTED_VALUE"""),"Work with more than 10 people in my team")</f>
        <v>Work with more than 10 people in my team</v>
      </c>
      <c r="Q697" s="1"/>
    </row>
    <row r="698" spans="1:17" ht="13.2" x14ac:dyDescent="0.25">
      <c r="A698" s="2">
        <f ca="1">IFERROR(__xludf.DUMMYFUNCTION("""COMPUTED_VALUE"""),45022.0030956828)</f>
        <v>45022.003095682798</v>
      </c>
      <c r="B698" s="1" t="str">
        <f ca="1">IFERROR(__xludf.DUMMYFUNCTION("""COMPUTED_VALUE"""),"India")</f>
        <v>India</v>
      </c>
      <c r="C698" s="1">
        <f ca="1">IFERROR(__xludf.DUMMYFUNCTION("""COMPUTED_VALUE"""),507002)</f>
        <v>507002</v>
      </c>
      <c r="D698" s="3" t="str">
        <f ca="1">IFERROR(__xludf.DUMMYFUNCTION("""COMPUTED_VALUE"""),"Male")</f>
        <v>Male</v>
      </c>
      <c r="E698" s="1" t="str">
        <f ca="1">IFERROR(__xludf.DUMMYFUNCTION("""COMPUTED_VALUE"""),"My Parents")</f>
        <v>My Parents</v>
      </c>
      <c r="F698" s="1" t="str">
        <f ca="1">IFERROR(__xludf.DUMMYFUNCTION("""COMPUTED_VALUE"""),"Yes, I will earn and do that")</f>
        <v>Yes, I will earn and do that</v>
      </c>
      <c r="G698" s="1" t="str">
        <f ca="1">IFERROR(__xludf.DUMMYFUNCTION("""COMPUTED_VALUE"""),"Will work for 3 years or more")</f>
        <v>Will work for 3 years or more</v>
      </c>
      <c r="H698" s="1" t="str">
        <f ca="1">IFERROR(__xludf.DUMMYFUNCTION("""COMPUTED_VALUE"""),"Yes")</f>
        <v>Yes</v>
      </c>
      <c r="I698" s="1" t="str">
        <f ca="1">IFERROR(__xludf.DUMMYFUNCTION("""COMPUTED_VALUE"""),"Will work for them")</f>
        <v>Will work for them</v>
      </c>
      <c r="J698" s="1">
        <f ca="1">IFERROR(__xludf.DUMMYFUNCTION("""COMPUTED_VALUE"""),8)</f>
        <v>8</v>
      </c>
      <c r="K698" s="1" t="str">
        <f ca="1">IFERROR(__xludf.DUMMYFUNCTION("""COMPUTED_VALUE"""),"Fully Remote with Options to travel as and when needed")</f>
        <v>Fully Remote with Options to travel as and when needed</v>
      </c>
      <c r="L698" s="1" t="str">
        <f ca="1">IFERROR(__xludf.DUMMYFUNCTION("""COMPUTED_VALUE"""),"Employer who pushes your limits by enabling an learning environment, and rewards you at the end")</f>
        <v>Employer who pushes your limits by enabling an learning environment, and rewards you at the end</v>
      </c>
      <c r="M69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8"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98" s="1" t="str">
        <f ca="1">IFERROR(__xludf.DUMMYFUNCTION("""COMPUTED_VALUE"""),"Manager who explains what is expected, sets a goal and helps achieve it")</f>
        <v>Manager who explains what is expected, sets a goal and helps achieve it</v>
      </c>
      <c r="P698" s="1" t="str">
        <f ca="1">IFERROR(__xludf.DUMMYFUNCTION("""COMPUTED_VALUE"""),"Work with 2 to 3 people in my team")</f>
        <v>Work with 2 to 3 people in my team</v>
      </c>
      <c r="Q698" s="1"/>
    </row>
    <row r="699" spans="1:17" ht="13.2" x14ac:dyDescent="0.25">
      <c r="A699" s="2">
        <f ca="1">IFERROR(__xludf.DUMMYFUNCTION("""COMPUTED_VALUE"""),45022.0034594444)</f>
        <v>45022.003459444401</v>
      </c>
      <c r="B699" s="1" t="str">
        <f ca="1">IFERROR(__xludf.DUMMYFUNCTION("""COMPUTED_VALUE"""),"India")</f>
        <v>India</v>
      </c>
      <c r="C699" s="1">
        <f ca="1">IFERROR(__xludf.DUMMYFUNCTION("""COMPUTED_VALUE"""),132001)</f>
        <v>132001</v>
      </c>
      <c r="D699" s="3" t="str">
        <f ca="1">IFERROR(__xludf.DUMMYFUNCTION("""COMPUTED_VALUE"""),"Male")</f>
        <v>Male</v>
      </c>
      <c r="E699" s="1" t="str">
        <f ca="1">IFERROR(__xludf.DUMMYFUNCTION("""COMPUTED_VALUE"""),"My Parents")</f>
        <v>My Parents</v>
      </c>
      <c r="F699" s="1" t="str">
        <f ca="1">IFERROR(__xludf.DUMMYFUNCTION("""COMPUTED_VALUE"""),"Yes, I will earn and do that")</f>
        <v>Yes, I will earn and do that</v>
      </c>
      <c r="G699" s="1" t="str">
        <f ca="1">IFERROR(__xludf.DUMMYFUNCTION("""COMPUTED_VALUE"""),"This will be hard to do, but if it is the right company I would try")</f>
        <v>This will be hard to do, but if it is the right company I would try</v>
      </c>
      <c r="H699" s="1" t="str">
        <f ca="1">IFERROR(__xludf.DUMMYFUNCTION("""COMPUTED_VALUE"""),"No")</f>
        <v>No</v>
      </c>
      <c r="I699" s="1" t="str">
        <f ca="1">IFERROR(__xludf.DUMMYFUNCTION("""COMPUTED_VALUE"""),"Will NOT work for them")</f>
        <v>Will NOT work for them</v>
      </c>
      <c r="J699" s="1">
        <f ca="1">IFERROR(__xludf.DUMMYFUNCTION("""COMPUTED_VALUE"""),5)</f>
        <v>5</v>
      </c>
      <c r="K699" s="1" t="str">
        <f ca="1">IFERROR(__xludf.DUMMYFUNCTION("""COMPUTED_VALUE"""),"Fully Remote with No option to visit offices")</f>
        <v>Fully Remote with No option to visit offices</v>
      </c>
      <c r="L699" s="1" t="str">
        <f ca="1">IFERROR(__xludf.DUMMYFUNCTION("""COMPUTED_VALUE"""),"Employer who appreciates learning and enables that environment")</f>
        <v>Employer who appreciates learning and enables that environment</v>
      </c>
      <c r="M699" s="1" t="str">
        <f ca="1">IFERROR(__xludf.DUMMYFUNCTION("""COMPUTED_VALUE"""),"Self Paced Learning Portals of the Company, Instructor or Expert Learning Programs, Manager Teaching you")</f>
        <v>Self Paced Learning Portals of the Company, Instructor or Expert Learning Programs, Manager Teaching you</v>
      </c>
      <c r="N699" s="1" t="str">
        <f ca="1">IFERROR(__xludf.DUMMYFUNCTION("""COMPUTED_VALUE"""),"Manage and drive End-to-End Projects or Products, Work in a BPO setup for some well known client, Work as a freelancer and do my thing my way, Manufacturing / Oil and Gas/ Construction / Hard Physical Work related")</f>
        <v>Manage and drive End-to-End Projects or Products, Work in a BPO setup for some well known client, Work as a freelancer and do my thing my way, Manufacturing / Oil and Gas/ Construction / Hard Physical Work related</v>
      </c>
      <c r="O699" s="1" t="str">
        <f ca="1">IFERROR(__xludf.DUMMYFUNCTION("""COMPUTED_VALUE"""),"Manager who explains what is expected, sets a goal and helps achieve it")</f>
        <v>Manager who explains what is expected, sets a goal and helps achieve it</v>
      </c>
      <c r="P699" s="1" t="str">
        <f ca="1">IFERROR(__xludf.DUMMYFUNCTION("""COMPUTED_VALUE"""),"Work with 7 to 10 or more people in my team")</f>
        <v>Work with 7 to 10 or more people in my team</v>
      </c>
      <c r="Q699" s="1"/>
    </row>
    <row r="700" spans="1:17" ht="13.2" x14ac:dyDescent="0.25">
      <c r="A700" s="2">
        <f ca="1">IFERROR(__xludf.DUMMYFUNCTION("""COMPUTED_VALUE"""),45022.003497118)</f>
        <v>45022.003497117999</v>
      </c>
      <c r="B700" s="1" t="str">
        <f ca="1">IFERROR(__xludf.DUMMYFUNCTION("""COMPUTED_VALUE"""),"India")</f>
        <v>India</v>
      </c>
      <c r="C700" s="1">
        <f ca="1">IFERROR(__xludf.DUMMYFUNCTION("""COMPUTED_VALUE"""),314025)</f>
        <v>314025</v>
      </c>
      <c r="D700" s="3" t="str">
        <f ca="1">IFERROR(__xludf.DUMMYFUNCTION("""COMPUTED_VALUE"""),"Male")</f>
        <v>Male</v>
      </c>
      <c r="E700" s="1" t="str">
        <f ca="1">IFERROR(__xludf.DUMMYFUNCTION("""COMPUTED_VALUE"""),"People who have changed the world for better")</f>
        <v>People who have changed the world for better</v>
      </c>
      <c r="F700" s="1" t="str">
        <f ca="1">IFERROR(__xludf.DUMMYFUNCTION("""COMPUTED_VALUE"""),"Yes, I will earn and do that")</f>
        <v>Yes, I will earn and do that</v>
      </c>
      <c r="G700" s="1" t="str">
        <f ca="1">IFERROR(__xludf.DUMMYFUNCTION("""COMPUTED_VALUE"""),"This will be hard to do, but if it is the right company I would try")</f>
        <v>This will be hard to do, but if it is the right company I would try</v>
      </c>
      <c r="H700" s="1" t="str">
        <f ca="1">IFERROR(__xludf.DUMMYFUNCTION("""COMPUTED_VALUE"""),"Yes")</f>
        <v>Yes</v>
      </c>
      <c r="I700" s="1" t="str">
        <f ca="1">IFERROR(__xludf.DUMMYFUNCTION("""COMPUTED_VALUE"""),"Will NOT work for them")</f>
        <v>Will NOT work for them</v>
      </c>
      <c r="J700" s="1">
        <f ca="1">IFERROR(__xludf.DUMMYFUNCTION("""COMPUTED_VALUE"""),7)</f>
        <v>7</v>
      </c>
      <c r="K700" s="1" t="str">
        <f ca="1">IFERROR(__xludf.DUMMYFUNCTION("""COMPUTED_VALUE"""),"Every Day Office Environment")</f>
        <v>Every Day Office Environment</v>
      </c>
      <c r="L700" s="1" t="str">
        <f ca="1">IFERROR(__xludf.DUMMYFUNCTION("""COMPUTED_VALUE"""),"Employer who appreciates learning and enables that environment")</f>
        <v>Employer who appreciates learning and enables that environment</v>
      </c>
      <c r="M70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00"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700" s="1" t="str">
        <f ca="1">IFERROR(__xludf.DUMMYFUNCTION("""COMPUTED_VALUE"""),"Manager who explains what is expected, sets a goal and helps achieve it")</f>
        <v>Manager who explains what is expected, sets a goal and helps achieve it</v>
      </c>
      <c r="P700" s="1" t="str">
        <f ca="1">IFERROR(__xludf.DUMMYFUNCTION("""COMPUTED_VALUE"""),"Work alone, Work with 2 to 3 people in my team, Work with more than 10 people in my team")</f>
        <v>Work alone, Work with 2 to 3 people in my team, Work with more than 10 people in my team</v>
      </c>
      <c r="Q700" s="1"/>
    </row>
    <row r="701" spans="1:17" ht="13.2" x14ac:dyDescent="0.25">
      <c r="A701" s="2">
        <f ca="1">IFERROR(__xludf.DUMMYFUNCTION("""COMPUTED_VALUE"""),45022.0116214004)</f>
        <v>45022.011621400401</v>
      </c>
      <c r="B701" s="1" t="str">
        <f ca="1">IFERROR(__xludf.DUMMYFUNCTION("""COMPUTED_VALUE"""),"India")</f>
        <v>India</v>
      </c>
      <c r="C701" s="1">
        <f ca="1">IFERROR(__xludf.DUMMYFUNCTION("""COMPUTED_VALUE"""),305001)</f>
        <v>305001</v>
      </c>
      <c r="D701" s="3" t="str">
        <f ca="1">IFERROR(__xludf.DUMMYFUNCTION("""COMPUTED_VALUE"""),"Female")</f>
        <v>Female</v>
      </c>
      <c r="E701" s="1" t="str">
        <f ca="1">IFERROR(__xludf.DUMMYFUNCTION("""COMPUTED_VALUE"""),"My Parents")</f>
        <v>My Parents</v>
      </c>
      <c r="F701" s="1" t="str">
        <f ca="1">IFERROR(__xludf.DUMMYFUNCTION("""COMPUTED_VALUE"""),"No, But if someone could bare the cost I will")</f>
        <v>No, But if someone could bare the cost I will</v>
      </c>
      <c r="G701" s="1" t="str">
        <f ca="1">IFERROR(__xludf.DUMMYFUNCTION("""COMPUTED_VALUE"""),"This will be hard to do, but if it is the right company I would try")</f>
        <v>This will be hard to do, but if it is the right company I would try</v>
      </c>
      <c r="H701" s="1" t="str">
        <f ca="1">IFERROR(__xludf.DUMMYFUNCTION("""COMPUTED_VALUE"""),"Yes")</f>
        <v>Yes</v>
      </c>
      <c r="I701" s="1" t="str">
        <f ca="1">IFERROR(__xludf.DUMMYFUNCTION("""COMPUTED_VALUE"""),"Will NOT work for them")</f>
        <v>Will NOT work for them</v>
      </c>
      <c r="J701" s="1">
        <f ca="1">IFERROR(__xludf.DUMMYFUNCTION("""COMPUTED_VALUE"""),6)</f>
        <v>6</v>
      </c>
      <c r="K701" s="1" t="str">
        <f ca="1">IFERROR(__xludf.DUMMYFUNCTION("""COMPUTED_VALUE"""),"Hybrid Working Environment with less than 3 days a month at office")</f>
        <v>Hybrid Working Environment with less than 3 days a month at office</v>
      </c>
      <c r="L701" s="1" t="str">
        <f ca="1">IFERROR(__xludf.DUMMYFUNCTION("""COMPUTED_VALUE"""),"Employer who pushes your limits by enabling an learning environment, and rewards you at the end")</f>
        <v>Employer who pushes your limits by enabling an learning environment, and rewards you at the end</v>
      </c>
      <c r="M70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70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701" s="1" t="str">
        <f ca="1">IFERROR(__xludf.DUMMYFUNCTION("""COMPUTED_VALUE"""),"Manager who explains what is expected, sets a goal and helps achieve it")</f>
        <v>Manager who explains what is expected, sets a goal and helps achieve it</v>
      </c>
      <c r="P701" s="1" t="str">
        <f ca="1">IFERROR(__xludf.DUMMYFUNCTION("""COMPUTED_VALUE"""),"Work with 7 to 10 or more people in my team")</f>
        <v>Work with 7 to 10 or more people in my team</v>
      </c>
      <c r="Q701" s="1"/>
    </row>
    <row r="702" spans="1:17" ht="13.2" x14ac:dyDescent="0.25">
      <c r="A702" s="2">
        <f ca="1">IFERROR(__xludf.DUMMYFUNCTION("""COMPUTED_VALUE"""),45022.02115478)</f>
        <v>45022.021154779999</v>
      </c>
      <c r="B702" s="1" t="str">
        <f ca="1">IFERROR(__xludf.DUMMYFUNCTION("""COMPUTED_VALUE"""),"India")</f>
        <v>India</v>
      </c>
      <c r="C702" s="1">
        <f ca="1">IFERROR(__xludf.DUMMYFUNCTION("""COMPUTED_VALUE"""),382418)</f>
        <v>382418</v>
      </c>
      <c r="D702" s="3" t="str">
        <f ca="1">IFERROR(__xludf.DUMMYFUNCTION("""COMPUTED_VALUE"""),"Female")</f>
        <v>Female</v>
      </c>
      <c r="E702" s="1" t="str">
        <f ca="1">IFERROR(__xludf.DUMMYFUNCTION("""COMPUTED_VALUE"""),"My Parents")</f>
        <v>My Parents</v>
      </c>
      <c r="F702" s="1" t="str">
        <f ca="1">IFERROR(__xludf.DUMMYFUNCTION("""COMPUTED_VALUE"""),"No I would not be pursuing Higher Education outside of India")</f>
        <v>No I would not be pursuing Higher Education outside of India</v>
      </c>
      <c r="G702" s="1" t="str">
        <f ca="1">IFERROR(__xludf.DUMMYFUNCTION("""COMPUTED_VALUE"""),"This will be hard to do, but if it is the right company I would try")</f>
        <v>This will be hard to do, but if it is the right company I would try</v>
      </c>
      <c r="H702" s="1" t="str">
        <f ca="1">IFERROR(__xludf.DUMMYFUNCTION("""COMPUTED_VALUE"""),"No")</f>
        <v>No</v>
      </c>
      <c r="I702" s="1" t="str">
        <f ca="1">IFERROR(__xludf.DUMMYFUNCTION("""COMPUTED_VALUE"""),"Will NOT work for them")</f>
        <v>Will NOT work for them</v>
      </c>
      <c r="J702" s="1">
        <f ca="1">IFERROR(__xludf.DUMMYFUNCTION("""COMPUTED_VALUE"""),1)</f>
        <v>1</v>
      </c>
      <c r="K702" s="1" t="str">
        <f ca="1">IFERROR(__xludf.DUMMYFUNCTION("""COMPUTED_VALUE"""),"Fully Remote with Options to travel as and when needed")</f>
        <v>Fully Remote with Options to travel as and when needed</v>
      </c>
      <c r="L702" s="1" t="str">
        <f ca="1">IFERROR(__xludf.DUMMYFUNCTION("""COMPUTED_VALUE"""),"Employer who pushes your limits by enabling an learning environment, and rewards you at the end")</f>
        <v>Employer who pushes your limits by enabling an learning environment, and rewards you at the end</v>
      </c>
      <c r="M70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0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702" s="1" t="str">
        <f ca="1">IFERROR(__xludf.DUMMYFUNCTION("""COMPUTED_VALUE"""),"Manager who explains what is expected, sets a goal and helps achieve it")</f>
        <v>Manager who explains what is expected, sets a goal and helps achieve it</v>
      </c>
      <c r="P702" s="1" t="str">
        <f ca="1">IFERROR(__xludf.DUMMYFUNCTION("""COMPUTED_VALUE"""),"Work with 2 to 3 people in my team, Work with 5 to 6 people in my team")</f>
        <v>Work with 2 to 3 people in my team, Work with 5 to 6 people in my team</v>
      </c>
      <c r="Q702" s="1"/>
    </row>
    <row r="703" spans="1:17" ht="13.2" x14ac:dyDescent="0.25">
      <c r="A703" s="2">
        <f ca="1">IFERROR(__xludf.DUMMYFUNCTION("""COMPUTED_VALUE"""),45022.0321581365)</f>
        <v>45022.032158136499</v>
      </c>
      <c r="B703" s="1" t="str">
        <f ca="1">IFERROR(__xludf.DUMMYFUNCTION("""COMPUTED_VALUE"""),"India")</f>
        <v>India</v>
      </c>
      <c r="C703" s="1">
        <f ca="1">IFERROR(__xludf.DUMMYFUNCTION("""COMPUTED_VALUE"""),132001)</f>
        <v>132001</v>
      </c>
      <c r="D703" s="3" t="str">
        <f ca="1">IFERROR(__xludf.DUMMYFUNCTION("""COMPUTED_VALUE"""),"Female")</f>
        <v>Female</v>
      </c>
      <c r="E703" s="1" t="str">
        <f ca="1">IFERROR(__xludf.DUMMYFUNCTION("""COMPUTED_VALUE"""),"My Parents")</f>
        <v>My Parents</v>
      </c>
      <c r="F703" s="1" t="str">
        <f ca="1">IFERROR(__xludf.DUMMYFUNCTION("""COMPUTED_VALUE"""),"Yes, I will earn and do that")</f>
        <v>Yes, I will earn and do that</v>
      </c>
      <c r="G703" s="1" t="str">
        <f ca="1">IFERROR(__xludf.DUMMYFUNCTION("""COMPUTED_VALUE"""),"This will be hard to do, but if it is the right company I would try")</f>
        <v>This will be hard to do, but if it is the right company I would try</v>
      </c>
      <c r="H703" s="1" t="str">
        <f ca="1">IFERROR(__xludf.DUMMYFUNCTION("""COMPUTED_VALUE"""),"No")</f>
        <v>No</v>
      </c>
      <c r="I703" s="1" t="str">
        <f ca="1">IFERROR(__xludf.DUMMYFUNCTION("""COMPUTED_VALUE"""),"Will NOT work for them")</f>
        <v>Will NOT work for them</v>
      </c>
      <c r="J703" s="1">
        <f ca="1">IFERROR(__xludf.DUMMYFUNCTION("""COMPUTED_VALUE"""),5)</f>
        <v>5</v>
      </c>
      <c r="K703" s="1" t="str">
        <f ca="1">IFERROR(__xludf.DUMMYFUNCTION("""COMPUTED_VALUE"""),"Hybrid Working Environment with less than 3 days a month at office")</f>
        <v>Hybrid Working Environment with less than 3 days a month at office</v>
      </c>
      <c r="L703" s="1" t="str">
        <f ca="1">IFERROR(__xludf.DUMMYFUNCTION("""COMPUTED_VALUE"""),"Employer who pushes your limits by enabling an learning environment, and rewards you at the end")</f>
        <v>Employer who pushes your limits by enabling an learning environment, and rewards you at the end</v>
      </c>
      <c r="M703" s="1" t="str">
        <f ca="1">IFERROR(__xludf.DUMMYFUNCTION("""COMPUTED_VALUE"""),"Self Paced Learning Portals of the Company, Instructor or Expert Learning Programs, Manager Teaching you")</f>
        <v>Self Paced Learning Portals of the Company, Instructor or Expert Learning Programs, Manager Teaching you</v>
      </c>
      <c r="N703"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703" s="1" t="str">
        <f ca="1">IFERROR(__xludf.DUMMYFUNCTION("""COMPUTED_VALUE"""),"Manager who explains what is expected, sets a goal and helps achieve it")</f>
        <v>Manager who explains what is expected, sets a goal and helps achieve it</v>
      </c>
      <c r="P703" s="1" t="str">
        <f ca="1">IFERROR(__xludf.DUMMYFUNCTION("""COMPUTED_VALUE"""),"Work with more than 10 people in my team")</f>
        <v>Work with more than 10 people in my team</v>
      </c>
      <c r="Q703" s="1"/>
    </row>
    <row r="704" spans="1:17" ht="13.2" x14ac:dyDescent="0.25">
      <c r="A704" s="2">
        <f ca="1">IFERROR(__xludf.DUMMYFUNCTION("""COMPUTED_VALUE"""),45022.066252662)</f>
        <v>45022.066252662</v>
      </c>
      <c r="B704" s="1" t="str">
        <f ca="1">IFERROR(__xludf.DUMMYFUNCTION("""COMPUTED_VALUE"""),"Others")</f>
        <v>Others</v>
      </c>
      <c r="C704" s="1" t="str">
        <f ca="1">IFERROR(__xludf.DUMMYFUNCTION("""COMPUTED_VALUE"""),"01-923")</f>
        <v>01-923</v>
      </c>
      <c r="D704" s="3" t="str">
        <f ca="1">IFERROR(__xludf.DUMMYFUNCTION("""COMPUTED_VALUE"""),"Female")</f>
        <v>Female</v>
      </c>
      <c r="E704" s="1" t="str">
        <f ca="1">IFERROR(__xludf.DUMMYFUNCTION("""COMPUTED_VALUE"""),"People who have changed the world for better")</f>
        <v>People who have changed the world for better</v>
      </c>
      <c r="F704" s="1" t="str">
        <f ca="1">IFERROR(__xludf.DUMMYFUNCTION("""COMPUTED_VALUE"""),"Yes, I will earn and do that")</f>
        <v>Yes, I will earn and do that</v>
      </c>
      <c r="G704" s="1" t="str">
        <f ca="1">IFERROR(__xludf.DUMMYFUNCTION("""COMPUTED_VALUE"""),"This will be hard to do, but if it is the right company I would try")</f>
        <v>This will be hard to do, but if it is the right company I would try</v>
      </c>
      <c r="H704" s="1" t="str">
        <f ca="1">IFERROR(__xludf.DUMMYFUNCTION("""COMPUTED_VALUE"""),"Yes")</f>
        <v>Yes</v>
      </c>
      <c r="I704" s="1" t="str">
        <f ca="1">IFERROR(__xludf.DUMMYFUNCTION("""COMPUTED_VALUE"""),"Will NOT work for them")</f>
        <v>Will NOT work for them</v>
      </c>
      <c r="J704" s="1">
        <f ca="1">IFERROR(__xludf.DUMMYFUNCTION("""COMPUTED_VALUE"""),7)</f>
        <v>7</v>
      </c>
      <c r="K704" s="1" t="str">
        <f ca="1">IFERROR(__xludf.DUMMYFUNCTION("""COMPUTED_VALUE"""),"Fully Remote with No option to visit offices")</f>
        <v>Fully Remote with No option to visit offices</v>
      </c>
      <c r="L704" s="1" t="str">
        <f ca="1">IFERROR(__xludf.DUMMYFUNCTION("""COMPUTED_VALUE"""),"Employer who pushes your limits by enabling an learning environment, and rewards you at the end")</f>
        <v>Employer who pushes your limits by enabling an learning environment, and rewards you at the end</v>
      </c>
      <c r="M70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04"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704" s="1" t="str">
        <f ca="1">IFERROR(__xludf.DUMMYFUNCTION("""COMPUTED_VALUE"""),"Manager who explains what is expected, sets a goal and helps achieve it")</f>
        <v>Manager who explains what is expected, sets a goal and helps achieve it</v>
      </c>
      <c r="P704" s="1" t="str">
        <f ca="1">IFERROR(__xludf.DUMMYFUNCTION("""COMPUTED_VALUE"""),"Work alone")</f>
        <v>Work alone</v>
      </c>
      <c r="Q704" s="1"/>
    </row>
    <row r="705" spans="1:17" ht="13.2" x14ac:dyDescent="0.25">
      <c r="A705" s="2">
        <f ca="1">IFERROR(__xludf.DUMMYFUNCTION("""COMPUTED_VALUE"""),45022.0782620023)</f>
        <v>45022.078262002302</v>
      </c>
      <c r="B705" s="1" t="str">
        <f ca="1">IFERROR(__xludf.DUMMYFUNCTION("""COMPUTED_VALUE"""),"India")</f>
        <v>India</v>
      </c>
      <c r="C705" s="1">
        <f ca="1">IFERROR(__xludf.DUMMYFUNCTION("""COMPUTED_VALUE"""),670562)</f>
        <v>670562</v>
      </c>
      <c r="D705" s="3" t="str">
        <f ca="1">IFERROR(__xludf.DUMMYFUNCTION("""COMPUTED_VALUE"""),"Male")</f>
        <v>Male</v>
      </c>
      <c r="E705" s="1" t="str">
        <f ca="1">IFERROR(__xludf.DUMMYFUNCTION("""COMPUTED_VALUE"""),"People who have changed the world for better")</f>
        <v>People who have changed the world for better</v>
      </c>
      <c r="F705" s="1" t="str">
        <f ca="1">IFERROR(__xludf.DUMMYFUNCTION("""COMPUTED_VALUE"""),"Yes, I will earn and do that")</f>
        <v>Yes, I will earn and do that</v>
      </c>
      <c r="G705" s="1" t="str">
        <f ca="1">IFERROR(__xludf.DUMMYFUNCTION("""COMPUTED_VALUE"""),"This will be hard to do, but if it is the right company I would try")</f>
        <v>This will be hard to do, but if it is the right company I would try</v>
      </c>
      <c r="H705" s="1" t="str">
        <f ca="1">IFERROR(__xludf.DUMMYFUNCTION("""COMPUTED_VALUE"""),"No")</f>
        <v>No</v>
      </c>
      <c r="I705" s="1" t="str">
        <f ca="1">IFERROR(__xludf.DUMMYFUNCTION("""COMPUTED_VALUE"""),"Will work for them")</f>
        <v>Will work for them</v>
      </c>
      <c r="J705" s="1">
        <f ca="1">IFERROR(__xludf.DUMMYFUNCTION("""COMPUTED_VALUE"""),8)</f>
        <v>8</v>
      </c>
      <c r="K705" s="1" t="str">
        <f ca="1">IFERROR(__xludf.DUMMYFUNCTION("""COMPUTED_VALUE"""),"Every Day Office Environment")</f>
        <v>Every Day Office Environment</v>
      </c>
      <c r="L705" s="1" t="str">
        <f ca="1">IFERROR(__xludf.DUMMYFUNCTION("""COMPUTED_VALUE"""),"Employer who pushes your limits by enabling an learning environment, and rewards you at the end")</f>
        <v>Employer who pushes your limits by enabling an learning environment, and rewards you at the end</v>
      </c>
      <c r="M70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05"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705" s="1" t="str">
        <f ca="1">IFERROR(__xludf.DUMMYFUNCTION("""COMPUTED_VALUE"""),"Manager who explains what is expected, sets a goal and helps achieve it")</f>
        <v>Manager who explains what is expected, sets a goal and helps achieve it</v>
      </c>
      <c r="P705" s="1" t="str">
        <f ca="1">IFERROR(__xludf.DUMMYFUNCTION("""COMPUTED_VALUE"""),"Work with 2 to 3 people in my team")</f>
        <v>Work with 2 to 3 people in my team</v>
      </c>
      <c r="Q705" s="1"/>
    </row>
    <row r="706" spans="1:17" ht="13.2" x14ac:dyDescent="0.25">
      <c r="A706" s="2">
        <f ca="1">IFERROR(__xludf.DUMMYFUNCTION("""COMPUTED_VALUE"""),45022.108504618)</f>
        <v>45022.108504618001</v>
      </c>
      <c r="B706" s="1" t="str">
        <f ca="1">IFERROR(__xludf.DUMMYFUNCTION("""COMPUTED_VALUE"""),"India")</f>
        <v>India</v>
      </c>
      <c r="C706" s="1">
        <f ca="1">IFERROR(__xludf.DUMMYFUNCTION("""COMPUTED_VALUE"""),560094)</f>
        <v>560094</v>
      </c>
      <c r="D706" s="3" t="str">
        <f ca="1">IFERROR(__xludf.DUMMYFUNCTION("""COMPUTED_VALUE"""),"Male")</f>
        <v>Male</v>
      </c>
      <c r="E706" s="1" t="str">
        <f ca="1">IFERROR(__xludf.DUMMYFUNCTION("""COMPUTED_VALUE"""),"People who have changed the world for better")</f>
        <v>People who have changed the world for better</v>
      </c>
      <c r="F706" s="1" t="str">
        <f ca="1">IFERROR(__xludf.DUMMYFUNCTION("""COMPUTED_VALUE"""),"Yes, I will earn and do that")</f>
        <v>Yes, I will earn and do that</v>
      </c>
      <c r="G706" s="1" t="str">
        <f ca="1">IFERROR(__xludf.DUMMYFUNCTION("""COMPUTED_VALUE"""),"Will work for 3 years or more")</f>
        <v>Will work for 3 years or more</v>
      </c>
      <c r="H706" s="1" t="str">
        <f ca="1">IFERROR(__xludf.DUMMYFUNCTION("""COMPUTED_VALUE"""),"No")</f>
        <v>No</v>
      </c>
      <c r="I706" s="1" t="str">
        <f ca="1">IFERROR(__xludf.DUMMYFUNCTION("""COMPUTED_VALUE"""),"Will NOT work for them")</f>
        <v>Will NOT work for them</v>
      </c>
      <c r="J706" s="1">
        <f ca="1">IFERROR(__xludf.DUMMYFUNCTION("""COMPUTED_VALUE"""),5)</f>
        <v>5</v>
      </c>
      <c r="K706" s="1" t="str">
        <f ca="1">IFERROR(__xludf.DUMMYFUNCTION("""COMPUTED_VALUE"""),"Fully Remote with Options to travel as and when needed")</f>
        <v>Fully Remote with Options to travel as and when needed</v>
      </c>
      <c r="L706" s="1" t="str">
        <f ca="1">IFERROR(__xludf.DUMMYFUNCTION("""COMPUTED_VALUE"""),"Employer who pushes your limits by enabling an learning environment, and rewards you at the end")</f>
        <v>Employer who pushes your limits by enabling an learning environment, and rewards you at the end</v>
      </c>
      <c r="M70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0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706" s="1" t="str">
        <f ca="1">IFERROR(__xludf.DUMMYFUNCTION("""COMPUTED_VALUE"""),"Manager who explains what is expected, sets a goal and helps achieve it")</f>
        <v>Manager who explains what is expected, sets a goal and helps achieve it</v>
      </c>
      <c r="P706" s="1" t="str">
        <f ca="1">IFERROR(__xludf.DUMMYFUNCTION("""COMPUTED_VALUE"""),"Work alone, Work with 2 to 3 people in my team")</f>
        <v>Work alone, Work with 2 to 3 people in my team</v>
      </c>
      <c r="Q706" s="1"/>
    </row>
    <row r="707" spans="1:17" ht="13.2" x14ac:dyDescent="0.25">
      <c r="A707" s="2">
        <f ca="1">IFERROR(__xludf.DUMMYFUNCTION("""COMPUTED_VALUE"""),45022.1750761342)</f>
        <v>45022.175076134197</v>
      </c>
      <c r="B707" s="1" t="str">
        <f ca="1">IFERROR(__xludf.DUMMYFUNCTION("""COMPUTED_VALUE"""),"India")</f>
        <v>India</v>
      </c>
      <c r="C707" s="1">
        <f ca="1">IFERROR(__xludf.DUMMYFUNCTION("""COMPUTED_VALUE"""),560050)</f>
        <v>560050</v>
      </c>
      <c r="D707" s="3" t="str">
        <f ca="1">IFERROR(__xludf.DUMMYFUNCTION("""COMPUTED_VALUE"""),"Male")</f>
        <v>Male</v>
      </c>
      <c r="E707" s="1" t="str">
        <f ca="1">IFERROR(__xludf.DUMMYFUNCTION("""COMPUTED_VALUE"""),"People from my circle, but not family members")</f>
        <v>People from my circle, but not family members</v>
      </c>
      <c r="F707" s="1" t="str">
        <f ca="1">IFERROR(__xludf.DUMMYFUNCTION("""COMPUTED_VALUE"""),"Yes, I will earn and do that")</f>
        <v>Yes, I will earn and do that</v>
      </c>
      <c r="G707" s="1" t="str">
        <f ca="1">IFERROR(__xludf.DUMMYFUNCTION("""COMPUTED_VALUE"""),"Will work for 3 years or more")</f>
        <v>Will work for 3 years or more</v>
      </c>
      <c r="H707" s="1" t="str">
        <f ca="1">IFERROR(__xludf.DUMMYFUNCTION("""COMPUTED_VALUE"""),"Yes")</f>
        <v>Yes</v>
      </c>
      <c r="I707" s="1" t="str">
        <f ca="1">IFERROR(__xludf.DUMMYFUNCTION("""COMPUTED_VALUE"""),"Will work for them")</f>
        <v>Will work for them</v>
      </c>
      <c r="J707" s="1">
        <f ca="1">IFERROR(__xludf.DUMMYFUNCTION("""COMPUTED_VALUE"""),10)</f>
        <v>10</v>
      </c>
      <c r="K707" s="1" t="str">
        <f ca="1">IFERROR(__xludf.DUMMYFUNCTION("""COMPUTED_VALUE"""),"Every Day Office Environment")</f>
        <v>Every Day Office Environment</v>
      </c>
      <c r="L707" s="1" t="str">
        <f ca="1">IFERROR(__xludf.DUMMYFUNCTION("""COMPUTED_VALUE"""),"Employer who pushes your limits by enabling an learning environment, and rewards you at the end")</f>
        <v>Employer who pushes your limits by enabling an learning environment, and rewards you at the end</v>
      </c>
      <c r="M7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0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07" s="1" t="str">
        <f ca="1">IFERROR(__xludf.DUMMYFUNCTION("""COMPUTED_VALUE"""),"Manager who explains what is expected, sets a goal and helps achieve it")</f>
        <v>Manager who explains what is expected, sets a goal and helps achieve it</v>
      </c>
      <c r="P707" s="1" t="str">
        <f ca="1">IFERROR(__xludf.DUMMYFUNCTION("""COMPUTED_VALUE"""),"Work with 5 to 6 people in my team")</f>
        <v>Work with 5 to 6 people in my team</v>
      </c>
      <c r="Q707" s="1"/>
    </row>
    <row r="708" spans="1:17" ht="13.2" x14ac:dyDescent="0.25">
      <c r="A708" s="2">
        <f ca="1">IFERROR(__xludf.DUMMYFUNCTION("""COMPUTED_VALUE"""),45022.2340270254)</f>
        <v>45022.234027025399</v>
      </c>
      <c r="B708" s="1" t="str">
        <f ca="1">IFERROR(__xludf.DUMMYFUNCTION("""COMPUTED_VALUE"""),"India")</f>
        <v>India</v>
      </c>
      <c r="C708" s="1">
        <f ca="1">IFERROR(__xludf.DUMMYFUNCTION("""COMPUTED_VALUE"""),577127)</f>
        <v>577127</v>
      </c>
      <c r="D708" s="3" t="str">
        <f ca="1">IFERROR(__xludf.DUMMYFUNCTION("""COMPUTED_VALUE"""),"Female")</f>
        <v>Female</v>
      </c>
      <c r="E708" s="1" t="str">
        <f ca="1">IFERROR(__xludf.DUMMYFUNCTION("""COMPUTED_VALUE"""),"Social Media like LinkedIn")</f>
        <v>Social Media like LinkedIn</v>
      </c>
      <c r="F708" s="1" t="str">
        <f ca="1">IFERROR(__xludf.DUMMYFUNCTION("""COMPUTED_VALUE"""),"No, But if someone could bare the cost I will")</f>
        <v>No, But if someone could bare the cost I will</v>
      </c>
      <c r="G708" s="1" t="str">
        <f ca="1">IFERROR(__xludf.DUMMYFUNCTION("""COMPUTED_VALUE"""),"Will work for 3 years or more")</f>
        <v>Will work for 3 years or more</v>
      </c>
      <c r="H708" s="1" t="str">
        <f ca="1">IFERROR(__xludf.DUMMYFUNCTION("""COMPUTED_VALUE"""),"No")</f>
        <v>No</v>
      </c>
      <c r="I708" s="1" t="str">
        <f ca="1">IFERROR(__xludf.DUMMYFUNCTION("""COMPUTED_VALUE"""),"Will NOT work for them")</f>
        <v>Will NOT work for them</v>
      </c>
      <c r="J708" s="1">
        <f ca="1">IFERROR(__xludf.DUMMYFUNCTION("""COMPUTED_VALUE"""),1)</f>
        <v>1</v>
      </c>
      <c r="K708" s="1" t="str">
        <f ca="1">IFERROR(__xludf.DUMMYFUNCTION("""COMPUTED_VALUE"""),"Fully Remote with Options to travel as and when needed")</f>
        <v>Fully Remote with Options to travel as and when needed</v>
      </c>
      <c r="L708" s="1" t="str">
        <f ca="1">IFERROR(__xludf.DUMMYFUNCTION("""COMPUTED_VALUE"""),"Employer who appreciates learning and enables that environment")</f>
        <v>Employer who appreciates learning and enables that environment</v>
      </c>
      <c r="M708" s="1" t="str">
        <f ca="1">IFERROR(__xludf.DUMMYFUNCTION("""COMPUTED_VALUE"""),"Learning by observing others, Self Purchased Course from External Platforms, Manager Teaching you")</f>
        <v>Learning by observing others, Self Purchased Course from External Platforms, Manager Teaching you</v>
      </c>
      <c r="N708" s="1" t="str">
        <f ca="1">IFERROR(__xludf.DUMMYFUNCTION("""COMPUTED_VALUE"""),"Design and Creative strategy in any company, Design and Develop amazing software, Work as a freelancer and do my thing my way, I Want to sell things/Sales")</f>
        <v>Design and Creative strategy in any company, Design and Develop amazing software, Work as a freelancer and do my thing my way, I Want to sell things/Sales</v>
      </c>
      <c r="O708" s="1" t="str">
        <f ca="1">IFERROR(__xludf.DUMMYFUNCTION("""COMPUTED_VALUE"""),"Manager who sets goal and helps me achieve it")</f>
        <v>Manager who sets goal and helps me achieve it</v>
      </c>
      <c r="P708" s="1" t="str">
        <f ca="1">IFERROR(__xludf.DUMMYFUNCTION("""COMPUTED_VALUE"""),"Work alone")</f>
        <v>Work alone</v>
      </c>
      <c r="Q708" s="1"/>
    </row>
    <row r="709" spans="1:17" ht="13.2" x14ac:dyDescent="0.25">
      <c r="A709" s="2">
        <f ca="1">IFERROR(__xludf.DUMMYFUNCTION("""COMPUTED_VALUE"""),45022.2463726967)</f>
        <v>45022.246372696703</v>
      </c>
      <c r="B709" s="1" t="str">
        <f ca="1">IFERROR(__xludf.DUMMYFUNCTION("""COMPUTED_VALUE"""),"India")</f>
        <v>India</v>
      </c>
      <c r="C709" s="1">
        <f ca="1">IFERROR(__xludf.DUMMYFUNCTION("""COMPUTED_VALUE"""),151001)</f>
        <v>151001</v>
      </c>
      <c r="D709" s="3" t="str">
        <f ca="1">IFERROR(__xludf.DUMMYFUNCTION("""COMPUTED_VALUE"""),"Male")</f>
        <v>Male</v>
      </c>
      <c r="E709" s="1" t="str">
        <f ca="1">IFERROR(__xludf.DUMMYFUNCTION("""COMPUTED_VALUE"""),"Influencers who had successful careers")</f>
        <v>Influencers who had successful careers</v>
      </c>
      <c r="F709" s="1" t="str">
        <f ca="1">IFERROR(__xludf.DUMMYFUNCTION("""COMPUTED_VALUE"""),"Yes, I will earn and do that")</f>
        <v>Yes, I will earn and do that</v>
      </c>
      <c r="G709" s="1" t="str">
        <f ca="1">IFERROR(__xludf.DUMMYFUNCTION("""COMPUTED_VALUE"""),"Will work for 3 years or more")</f>
        <v>Will work for 3 years or more</v>
      </c>
      <c r="H709" s="1" t="str">
        <f ca="1">IFERROR(__xludf.DUMMYFUNCTION("""COMPUTED_VALUE"""),"No")</f>
        <v>No</v>
      </c>
      <c r="I709" s="1" t="str">
        <f ca="1">IFERROR(__xludf.DUMMYFUNCTION("""COMPUTED_VALUE"""),"Will work for them")</f>
        <v>Will work for them</v>
      </c>
      <c r="J709" s="1">
        <f ca="1">IFERROR(__xludf.DUMMYFUNCTION("""COMPUTED_VALUE"""),6)</f>
        <v>6</v>
      </c>
      <c r="K709" s="1" t="str">
        <f ca="1">IFERROR(__xludf.DUMMYFUNCTION("""COMPUTED_VALUE"""),"Hybrid Working Environment with more than 15 days a month at office")</f>
        <v>Hybrid Working Environment with more than 15 days a month at office</v>
      </c>
      <c r="L709" s="1" t="str">
        <f ca="1">IFERROR(__xludf.DUMMYFUNCTION("""COMPUTED_VALUE"""),"Employer who pushes your limits by enabling an learning environment, and rewards you at the end")</f>
        <v>Employer who pushes your limits by enabling an learning environment, and rewards you at the end</v>
      </c>
      <c r="M70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09"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709" s="1" t="str">
        <f ca="1">IFERROR(__xludf.DUMMYFUNCTION("""COMPUTED_VALUE"""),"Manager who explains what is expected, sets a goal and helps achieve it")</f>
        <v>Manager who explains what is expected, sets a goal and helps achieve it</v>
      </c>
      <c r="P709"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09" s="1"/>
    </row>
    <row r="710" spans="1:17" ht="13.2" x14ac:dyDescent="0.25">
      <c r="A710" s="2">
        <f ca="1">IFERROR(__xludf.DUMMYFUNCTION("""COMPUTED_VALUE"""),45022.2503601041)</f>
        <v>45022.250360104103</v>
      </c>
      <c r="B710" s="1" t="str">
        <f ca="1">IFERROR(__xludf.DUMMYFUNCTION("""COMPUTED_VALUE"""),"Canada")</f>
        <v>Canada</v>
      </c>
      <c r="C710" s="1" t="str">
        <f ca="1">IFERROR(__xludf.DUMMYFUNCTION("""COMPUTED_VALUE"""),"N5v3c4")</f>
        <v>N5v3c4</v>
      </c>
      <c r="D710" s="3" t="str">
        <f ca="1">IFERROR(__xludf.DUMMYFUNCTION("""COMPUTED_VALUE"""),"Male")</f>
        <v>Male</v>
      </c>
      <c r="E710" s="1" t="str">
        <f ca="1">IFERROR(__xludf.DUMMYFUNCTION("""COMPUTED_VALUE"""),"Social Media like LinkedIn")</f>
        <v>Social Media like LinkedIn</v>
      </c>
      <c r="F710" s="1" t="str">
        <f ca="1">IFERROR(__xludf.DUMMYFUNCTION("""COMPUTED_VALUE"""),"Yes, I will earn and do that")</f>
        <v>Yes, I will earn and do that</v>
      </c>
      <c r="G710" s="1" t="str">
        <f ca="1">IFERROR(__xludf.DUMMYFUNCTION("""COMPUTED_VALUE"""),"Will work for 3 years or more")</f>
        <v>Will work for 3 years or more</v>
      </c>
      <c r="H710" s="1" t="str">
        <f ca="1">IFERROR(__xludf.DUMMYFUNCTION("""COMPUTED_VALUE"""),"No")</f>
        <v>No</v>
      </c>
      <c r="I710" s="1" t="str">
        <f ca="1">IFERROR(__xludf.DUMMYFUNCTION("""COMPUTED_VALUE"""),"Will NOT work for them")</f>
        <v>Will NOT work for them</v>
      </c>
      <c r="J710" s="1">
        <f ca="1">IFERROR(__xludf.DUMMYFUNCTION("""COMPUTED_VALUE"""),6)</f>
        <v>6</v>
      </c>
      <c r="K710" s="1" t="str">
        <f ca="1">IFERROR(__xludf.DUMMYFUNCTION("""COMPUTED_VALUE"""),"Fully Remote with Options to travel as and when needed")</f>
        <v>Fully Remote with Options to travel as and when needed</v>
      </c>
      <c r="L710" s="1" t="str">
        <f ca="1">IFERROR(__xludf.DUMMYFUNCTION("""COMPUTED_VALUE"""),"Employer who pushes your limits by enabling an learning environment, and rewards you at the end")</f>
        <v>Employer who pushes your limits by enabling an learning environment, and rewards you at the end</v>
      </c>
      <c r="M71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1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10" s="1" t="str">
        <f ca="1">IFERROR(__xludf.DUMMYFUNCTION("""COMPUTED_VALUE"""),"Manager who explains what is expected, sets a goal and helps achieve it")</f>
        <v>Manager who explains what is expected, sets a goal and helps achieve it</v>
      </c>
      <c r="P710" s="1" t="str">
        <f ca="1">IFERROR(__xludf.DUMMYFUNCTION("""COMPUTED_VALUE"""),"Work with 2 to 3 people in my team")</f>
        <v>Work with 2 to 3 people in my team</v>
      </c>
      <c r="Q710" s="1"/>
    </row>
    <row r="711" spans="1:17" ht="13.2" x14ac:dyDescent="0.25">
      <c r="A711" s="2">
        <f ca="1">IFERROR(__xludf.DUMMYFUNCTION("""COMPUTED_VALUE"""),45022.2517667592)</f>
        <v>45022.251766759196</v>
      </c>
      <c r="B711" s="1" t="str">
        <f ca="1">IFERROR(__xludf.DUMMYFUNCTION("""COMPUTED_VALUE"""),"India")</f>
        <v>India</v>
      </c>
      <c r="C711" s="1">
        <f ca="1">IFERROR(__xludf.DUMMYFUNCTION("""COMPUTED_VALUE"""),441009)</f>
        <v>441009</v>
      </c>
      <c r="D711" s="3" t="str">
        <f ca="1">IFERROR(__xludf.DUMMYFUNCTION("""COMPUTED_VALUE"""),"Male")</f>
        <v>Male</v>
      </c>
      <c r="E711" s="1" t="str">
        <f ca="1">IFERROR(__xludf.DUMMYFUNCTION("""COMPUTED_VALUE"""),"Social Media like LinkedIn")</f>
        <v>Social Media like LinkedIn</v>
      </c>
      <c r="F711" s="1" t="str">
        <f ca="1">IFERROR(__xludf.DUMMYFUNCTION("""COMPUTED_VALUE"""),"No I would not be pursuing Higher Education outside of India")</f>
        <v>No I would not be pursuing Higher Education outside of India</v>
      </c>
      <c r="G711" s="1" t="str">
        <f ca="1">IFERROR(__xludf.DUMMYFUNCTION("""COMPUTED_VALUE"""),"Will work for 3 years or more")</f>
        <v>Will work for 3 years or more</v>
      </c>
      <c r="H711" s="1" t="str">
        <f ca="1">IFERROR(__xludf.DUMMYFUNCTION("""COMPUTED_VALUE"""),"No")</f>
        <v>No</v>
      </c>
      <c r="I711" s="1" t="str">
        <f ca="1">IFERROR(__xludf.DUMMYFUNCTION("""COMPUTED_VALUE"""),"Will NOT work for them")</f>
        <v>Will NOT work for them</v>
      </c>
      <c r="J711" s="1">
        <f ca="1">IFERROR(__xludf.DUMMYFUNCTION("""COMPUTED_VALUE"""),7)</f>
        <v>7</v>
      </c>
      <c r="K711" s="1" t="str">
        <f ca="1">IFERROR(__xludf.DUMMYFUNCTION("""COMPUTED_VALUE"""),"Hybrid Working Environment with more than 15 days a month at office")</f>
        <v>Hybrid Working Environment with more than 15 days a month at office</v>
      </c>
      <c r="L711" s="1" t="str">
        <f ca="1">IFERROR(__xludf.DUMMYFUNCTION("""COMPUTED_VALUE"""),"Employer who pushes your limits by enabling an learning environment, and rewards you at the end")</f>
        <v>Employer who pushes your limits by enabling an learning environment, and rewards you at the end</v>
      </c>
      <c r="M7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1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1" s="1" t="str">
        <f ca="1">IFERROR(__xludf.DUMMYFUNCTION("""COMPUTED_VALUE"""),"Manager who explains what is expected, sets a goal and helps achieve it")</f>
        <v>Manager who explains what is expected, sets a goal and helps achieve it</v>
      </c>
      <c r="P711" s="1" t="str">
        <f ca="1">IFERROR(__xludf.DUMMYFUNCTION("""COMPUTED_VALUE"""),"Work with 5 to 6 people in my team")</f>
        <v>Work with 5 to 6 people in my team</v>
      </c>
      <c r="Q711" s="1"/>
    </row>
    <row r="712" spans="1:17" ht="13.2" x14ac:dyDescent="0.25">
      <c r="A712" s="2">
        <f ca="1">IFERROR(__xludf.DUMMYFUNCTION("""COMPUTED_VALUE"""),45022.2573698495)</f>
        <v>45022.257369849503</v>
      </c>
      <c r="B712" s="1" t="str">
        <f ca="1">IFERROR(__xludf.DUMMYFUNCTION("""COMPUTED_VALUE"""),"India")</f>
        <v>India</v>
      </c>
      <c r="C712" s="1">
        <f ca="1">IFERROR(__xludf.DUMMYFUNCTION("""COMPUTED_VALUE"""),201310)</f>
        <v>201310</v>
      </c>
      <c r="D712" s="3" t="str">
        <f ca="1">IFERROR(__xludf.DUMMYFUNCTION("""COMPUTED_VALUE"""),"Male")</f>
        <v>Male</v>
      </c>
      <c r="E712" s="1" t="str">
        <f ca="1">IFERROR(__xludf.DUMMYFUNCTION("""COMPUTED_VALUE"""),"People from my circle, but not family members")</f>
        <v>People from my circle, but not family members</v>
      </c>
      <c r="F712" s="1" t="str">
        <f ca="1">IFERROR(__xludf.DUMMYFUNCTION("""COMPUTED_VALUE"""),"No, But if someone could bare the cost I will")</f>
        <v>No, But if someone could bare the cost I will</v>
      </c>
      <c r="G712" s="1" t="str">
        <f ca="1">IFERROR(__xludf.DUMMYFUNCTION("""COMPUTED_VALUE"""),"This will be hard to do, but if it is the right company I would try")</f>
        <v>This will be hard to do, but if it is the right company I would try</v>
      </c>
      <c r="H712" s="1" t="str">
        <f ca="1">IFERROR(__xludf.DUMMYFUNCTION("""COMPUTED_VALUE"""),"No")</f>
        <v>No</v>
      </c>
      <c r="I712" s="1" t="str">
        <f ca="1">IFERROR(__xludf.DUMMYFUNCTION("""COMPUTED_VALUE"""),"Will NOT work for them")</f>
        <v>Will NOT work for them</v>
      </c>
      <c r="J712" s="1">
        <f ca="1">IFERROR(__xludf.DUMMYFUNCTION("""COMPUTED_VALUE"""),5)</f>
        <v>5</v>
      </c>
      <c r="K712" s="1" t="str">
        <f ca="1">IFERROR(__xludf.DUMMYFUNCTION("""COMPUTED_VALUE"""),"Hybrid Working Environment with more than 15 days a month at office")</f>
        <v>Hybrid Working Environment with more than 15 days a month at office</v>
      </c>
      <c r="L712" s="1" t="str">
        <f ca="1">IFERROR(__xludf.DUMMYFUNCTION("""COMPUTED_VALUE"""),"Employer who appreciates learning and enables that environment")</f>
        <v>Employer who appreciates learning and enables that environment</v>
      </c>
      <c r="M7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12"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2" s="1" t="str">
        <f ca="1">IFERROR(__xludf.DUMMYFUNCTION("""COMPUTED_VALUE"""),"Manager who explains what is expected, sets a goal and helps achieve it")</f>
        <v>Manager who explains what is expected, sets a goal and helps achieve it</v>
      </c>
      <c r="P712" s="1" t="str">
        <f ca="1">IFERROR(__xludf.DUMMYFUNCTION("""COMPUTED_VALUE"""),"Work with 2 to 3 people in my team")</f>
        <v>Work with 2 to 3 people in my team</v>
      </c>
      <c r="Q712" s="1"/>
    </row>
    <row r="713" spans="1:17" ht="13.2" x14ac:dyDescent="0.25">
      <c r="A713" s="2">
        <f ca="1">IFERROR(__xludf.DUMMYFUNCTION("""COMPUTED_VALUE"""),45022.2981129398)</f>
        <v>45022.298112939803</v>
      </c>
      <c r="B713" s="1" t="str">
        <f ca="1">IFERROR(__xludf.DUMMYFUNCTION("""COMPUTED_VALUE"""),"India")</f>
        <v>India</v>
      </c>
      <c r="C713" s="1">
        <f ca="1">IFERROR(__xludf.DUMMYFUNCTION("""COMPUTED_VALUE"""),445402)</f>
        <v>445402</v>
      </c>
      <c r="D713" s="3" t="str">
        <f ca="1">IFERROR(__xludf.DUMMYFUNCTION("""COMPUTED_VALUE"""),"Male")</f>
        <v>Male</v>
      </c>
      <c r="E713" s="1" t="str">
        <f ca="1">IFERROR(__xludf.DUMMYFUNCTION("""COMPUTED_VALUE"""),"People who have changed the world for better")</f>
        <v>People who have changed the world for better</v>
      </c>
      <c r="F713" s="1" t="str">
        <f ca="1">IFERROR(__xludf.DUMMYFUNCTION("""COMPUTED_VALUE"""),"Yes, I will earn and do that")</f>
        <v>Yes, I will earn and do that</v>
      </c>
      <c r="G713" s="1" t="str">
        <f ca="1">IFERROR(__xludf.DUMMYFUNCTION("""COMPUTED_VALUE"""),"This will be hard to do, but if it is the right company I would try")</f>
        <v>This will be hard to do, but if it is the right company I would try</v>
      </c>
      <c r="H713" s="1" t="str">
        <f ca="1">IFERROR(__xludf.DUMMYFUNCTION("""COMPUTED_VALUE"""),"No")</f>
        <v>No</v>
      </c>
      <c r="I713" s="1" t="str">
        <f ca="1">IFERROR(__xludf.DUMMYFUNCTION("""COMPUTED_VALUE"""),"Will NOT work for them")</f>
        <v>Will NOT work for them</v>
      </c>
      <c r="J713" s="1">
        <f ca="1">IFERROR(__xludf.DUMMYFUNCTION("""COMPUTED_VALUE"""),10)</f>
        <v>10</v>
      </c>
      <c r="K713" s="1" t="str">
        <f ca="1">IFERROR(__xludf.DUMMYFUNCTION("""COMPUTED_VALUE"""),"Fully Remote with Options to travel as and when needed")</f>
        <v>Fully Remote with Options to travel as and when needed</v>
      </c>
      <c r="L713" s="1" t="str">
        <f ca="1">IFERROR(__xludf.DUMMYFUNCTION("""COMPUTED_VALUE"""),"Employer who appreciates learning and enables that environment")</f>
        <v>Employer who appreciates learning and enables that environment</v>
      </c>
      <c r="M713"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713"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13" s="1" t="str">
        <f ca="1">IFERROR(__xludf.DUMMYFUNCTION("""COMPUTED_VALUE"""),"Manager who sets unrealistic targets")</f>
        <v>Manager who sets unrealistic targets</v>
      </c>
      <c r="P713" s="1" t="str">
        <f ca="1">IFERROR(__xludf.DUMMYFUNCTION("""COMPUTED_VALUE"""),"Work with 2 to 3 people in my team")</f>
        <v>Work with 2 to 3 people in my team</v>
      </c>
      <c r="Q713" s="1"/>
    </row>
    <row r="714" spans="1:17" ht="13.2" x14ac:dyDescent="0.25">
      <c r="A714" s="2">
        <f ca="1">IFERROR(__xludf.DUMMYFUNCTION("""COMPUTED_VALUE"""),45022.3134262615)</f>
        <v>45022.313426261499</v>
      </c>
      <c r="B714" s="1" t="str">
        <f ca="1">IFERROR(__xludf.DUMMYFUNCTION("""COMPUTED_VALUE"""),"India")</f>
        <v>India</v>
      </c>
      <c r="C714" s="1">
        <f ca="1">IFERROR(__xludf.DUMMYFUNCTION("""COMPUTED_VALUE"""),110059)</f>
        <v>110059</v>
      </c>
      <c r="D714" s="3" t="str">
        <f ca="1">IFERROR(__xludf.DUMMYFUNCTION("""COMPUTED_VALUE"""),"Male")</f>
        <v>Male</v>
      </c>
      <c r="E714" s="1" t="str">
        <f ca="1">IFERROR(__xludf.DUMMYFUNCTION("""COMPUTED_VALUE"""),"Influencers who had successful careers")</f>
        <v>Influencers who had successful careers</v>
      </c>
      <c r="F714" s="1" t="str">
        <f ca="1">IFERROR(__xludf.DUMMYFUNCTION("""COMPUTED_VALUE"""),"Yes, I will earn and do that")</f>
        <v>Yes, I will earn and do that</v>
      </c>
      <c r="G714" s="1" t="str">
        <f ca="1">IFERROR(__xludf.DUMMYFUNCTION("""COMPUTED_VALUE"""),"No way")</f>
        <v>No way</v>
      </c>
      <c r="H714" s="1" t="str">
        <f ca="1">IFERROR(__xludf.DUMMYFUNCTION("""COMPUTED_VALUE"""),"Yes")</f>
        <v>Yes</v>
      </c>
      <c r="I714" s="1" t="str">
        <f ca="1">IFERROR(__xludf.DUMMYFUNCTION("""COMPUTED_VALUE"""),"Will NOT work for them")</f>
        <v>Will NOT work for them</v>
      </c>
      <c r="J714" s="1">
        <f ca="1">IFERROR(__xludf.DUMMYFUNCTION("""COMPUTED_VALUE"""),5)</f>
        <v>5</v>
      </c>
      <c r="K714" s="1" t="str">
        <f ca="1">IFERROR(__xludf.DUMMYFUNCTION("""COMPUTED_VALUE"""),"Fully Remote with No option to visit offices")</f>
        <v>Fully Remote with No option to visit offices</v>
      </c>
      <c r="L714" s="1" t="str">
        <f ca="1">IFERROR(__xludf.DUMMYFUNCTION("""COMPUTED_VALUE"""),"Employer who rewards learning and enables that environment")</f>
        <v>Employer who rewards learning and enables that environment</v>
      </c>
      <c r="M71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14"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714" s="1" t="str">
        <f ca="1">IFERROR(__xludf.DUMMYFUNCTION("""COMPUTED_VALUE"""),"Manager who clearly describes what she/he needs")</f>
        <v>Manager who clearly describes what she/he needs</v>
      </c>
      <c r="P714" s="1" t="str">
        <f ca="1">IFERROR(__xludf.DUMMYFUNCTION("""COMPUTED_VALUE"""),"Work with 7 to 10 or more people in my team")</f>
        <v>Work with 7 to 10 or more people in my team</v>
      </c>
      <c r="Q714" s="1"/>
    </row>
    <row r="715" spans="1:17" ht="13.2" x14ac:dyDescent="0.25">
      <c r="A715" s="2">
        <f ca="1">IFERROR(__xludf.DUMMYFUNCTION("""COMPUTED_VALUE"""),45022.3277223958)</f>
        <v>45022.327722395799</v>
      </c>
      <c r="B715" s="1" t="str">
        <f ca="1">IFERROR(__xludf.DUMMYFUNCTION("""COMPUTED_VALUE"""),"India")</f>
        <v>India</v>
      </c>
      <c r="C715" s="1">
        <f ca="1">IFERROR(__xludf.DUMMYFUNCTION("""COMPUTED_VALUE"""),395009)</f>
        <v>395009</v>
      </c>
      <c r="D715" s="3" t="str">
        <f ca="1">IFERROR(__xludf.DUMMYFUNCTION("""COMPUTED_VALUE"""),"Female")</f>
        <v>Female</v>
      </c>
      <c r="E715" s="1" t="str">
        <f ca="1">IFERROR(__xludf.DUMMYFUNCTION("""COMPUTED_VALUE"""),"Influencers who had successful careers")</f>
        <v>Influencers who had successful careers</v>
      </c>
      <c r="F715" s="1" t="str">
        <f ca="1">IFERROR(__xludf.DUMMYFUNCTION("""COMPUTED_VALUE"""),"Yes, I will earn and do that")</f>
        <v>Yes, I will earn and do that</v>
      </c>
      <c r="G715" s="1" t="str">
        <f ca="1">IFERROR(__xludf.DUMMYFUNCTION("""COMPUTED_VALUE"""),"This will be hard to do, but if it is the right company I would try")</f>
        <v>This will be hard to do, but if it is the right company I would try</v>
      </c>
      <c r="H715" s="1" t="str">
        <f ca="1">IFERROR(__xludf.DUMMYFUNCTION("""COMPUTED_VALUE"""),"No")</f>
        <v>No</v>
      </c>
      <c r="I715" s="1" t="str">
        <f ca="1">IFERROR(__xludf.DUMMYFUNCTION("""COMPUTED_VALUE"""),"Will NOT work for them")</f>
        <v>Will NOT work for them</v>
      </c>
      <c r="J715" s="1">
        <f ca="1">IFERROR(__xludf.DUMMYFUNCTION("""COMPUTED_VALUE"""),5)</f>
        <v>5</v>
      </c>
      <c r="K715" s="1" t="str">
        <f ca="1">IFERROR(__xludf.DUMMYFUNCTION("""COMPUTED_VALUE"""),"Every Day Office Environment")</f>
        <v>Every Day Office Environment</v>
      </c>
      <c r="L715" s="1" t="str">
        <f ca="1">IFERROR(__xludf.DUMMYFUNCTION("""COMPUTED_VALUE"""),"Employer who pushes your limits by enabling an learning environment, and rewards you at the end")</f>
        <v>Employer who pushes your limits by enabling an learning environment, and rewards you at the end</v>
      </c>
      <c r="M7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1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715" s="1" t="str">
        <f ca="1">IFERROR(__xludf.DUMMYFUNCTION("""COMPUTED_VALUE"""),"Manager who explains what is expected, sets a goal and helps achieve it")</f>
        <v>Manager who explains what is expected, sets a goal and helps achieve it</v>
      </c>
      <c r="P715" s="1" t="str">
        <f ca="1">IFERROR(__xludf.DUMMYFUNCTION("""COMPUTED_VALUE"""),"Work with 5 to 6 people in my team")</f>
        <v>Work with 5 to 6 people in my team</v>
      </c>
      <c r="Q715" s="1"/>
    </row>
    <row r="716" spans="1:17" ht="13.2" x14ac:dyDescent="0.25">
      <c r="A716" s="2">
        <f ca="1">IFERROR(__xludf.DUMMYFUNCTION("""COMPUTED_VALUE"""),45022.3375505208)</f>
        <v>45022.337550520802</v>
      </c>
      <c r="B716" s="1" t="str">
        <f ca="1">IFERROR(__xludf.DUMMYFUNCTION("""COMPUTED_VALUE"""),"India")</f>
        <v>India</v>
      </c>
      <c r="C716" s="1">
        <f ca="1">IFERROR(__xludf.DUMMYFUNCTION("""COMPUTED_VALUE"""),462041)</f>
        <v>462041</v>
      </c>
      <c r="D716" s="3" t="str">
        <f ca="1">IFERROR(__xludf.DUMMYFUNCTION("""COMPUTED_VALUE"""),"Male")</f>
        <v>Male</v>
      </c>
      <c r="E716" s="1" t="str">
        <f ca="1">IFERROR(__xludf.DUMMYFUNCTION("""COMPUTED_VALUE"""),"My Parents")</f>
        <v>My Parents</v>
      </c>
      <c r="F716" s="1" t="str">
        <f ca="1">IFERROR(__xludf.DUMMYFUNCTION("""COMPUTED_VALUE"""),"Yes, I will earn and do that")</f>
        <v>Yes, I will earn and do that</v>
      </c>
      <c r="G716" s="1" t="str">
        <f ca="1">IFERROR(__xludf.DUMMYFUNCTION("""COMPUTED_VALUE"""),"This will be hard to do, but if it is the right company I would try")</f>
        <v>This will be hard to do, but if it is the right company I would try</v>
      </c>
      <c r="H716" s="1" t="str">
        <f ca="1">IFERROR(__xludf.DUMMYFUNCTION("""COMPUTED_VALUE"""),"No")</f>
        <v>No</v>
      </c>
      <c r="I716" s="1" t="str">
        <f ca="1">IFERROR(__xludf.DUMMYFUNCTION("""COMPUTED_VALUE"""),"Will NOT work for them")</f>
        <v>Will NOT work for them</v>
      </c>
      <c r="J716" s="1">
        <f ca="1">IFERROR(__xludf.DUMMYFUNCTION("""COMPUTED_VALUE"""),4)</f>
        <v>4</v>
      </c>
      <c r="K716" s="1" t="str">
        <f ca="1">IFERROR(__xludf.DUMMYFUNCTION("""COMPUTED_VALUE"""),"Fully Remote with Options to travel as and when needed")</f>
        <v>Fully Remote with Options to travel as and when needed</v>
      </c>
      <c r="L716" s="1" t="str">
        <f ca="1">IFERROR(__xludf.DUMMYFUNCTION("""COMPUTED_VALUE"""),"Employer who pushes your limits by enabling an learning environment, and rewards you at the end")</f>
        <v>Employer who pushes your limits by enabling an learning environment, and rewards you at the end</v>
      </c>
      <c r="M71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716" s="1" t="str">
        <f ca="1">IFERROR(__xludf.DUMMYFUNCTION("""COMPUTED_VALUE"""),"Business Operations in any organization, Look deeply into Data and generate insights, Entrepreneur or Start Up, Manufacturing / Oil and Gas/ Construction / Hard Physical Work related")</f>
        <v>Business Operations in any organization, Look deeply into Data and generate insights, Entrepreneur or Start Up, Manufacturing / Oil and Gas/ Construction / Hard Physical Work related</v>
      </c>
      <c r="O716" s="1" t="str">
        <f ca="1">IFERROR(__xludf.DUMMYFUNCTION("""COMPUTED_VALUE"""),"Manager who sets goal and helps me achieve it")</f>
        <v>Manager who sets goal and helps me achieve it</v>
      </c>
      <c r="P716" s="1" t="str">
        <f ca="1">IFERROR(__xludf.DUMMYFUNCTION("""COMPUTED_VALUE"""),"Work with 5 to 6 people in my team")</f>
        <v>Work with 5 to 6 people in my team</v>
      </c>
      <c r="Q716" s="1"/>
    </row>
    <row r="717" spans="1:17" ht="13.2" x14ac:dyDescent="0.25">
      <c r="A717" s="2">
        <f ca="1">IFERROR(__xludf.DUMMYFUNCTION("""COMPUTED_VALUE"""),45022.3699236458)</f>
        <v>45022.369923645798</v>
      </c>
      <c r="B717" s="1" t="str">
        <f ca="1">IFERROR(__xludf.DUMMYFUNCTION("""COMPUTED_VALUE"""),"India")</f>
        <v>India</v>
      </c>
      <c r="C717" s="1">
        <f ca="1">IFERROR(__xludf.DUMMYFUNCTION("""COMPUTED_VALUE"""),110077)</f>
        <v>110077</v>
      </c>
      <c r="D717" s="3" t="str">
        <f ca="1">IFERROR(__xludf.DUMMYFUNCTION("""COMPUTED_VALUE"""),"Male")</f>
        <v>Male</v>
      </c>
      <c r="E717" s="1" t="str">
        <f ca="1">IFERROR(__xludf.DUMMYFUNCTION("""COMPUTED_VALUE"""),"People from my circle, but not family members")</f>
        <v>People from my circle, but not family members</v>
      </c>
      <c r="F717" s="1" t="str">
        <f ca="1">IFERROR(__xludf.DUMMYFUNCTION("""COMPUTED_VALUE"""),"No I would not be pursuing Higher Education outside of India")</f>
        <v>No I would not be pursuing Higher Education outside of India</v>
      </c>
      <c r="G717" s="1" t="str">
        <f ca="1">IFERROR(__xludf.DUMMYFUNCTION("""COMPUTED_VALUE"""),"Will work for 3 years or more")</f>
        <v>Will work for 3 years or more</v>
      </c>
      <c r="H717" s="1" t="str">
        <f ca="1">IFERROR(__xludf.DUMMYFUNCTION("""COMPUTED_VALUE"""),"Yes")</f>
        <v>Yes</v>
      </c>
      <c r="I717" s="1" t="str">
        <f ca="1">IFERROR(__xludf.DUMMYFUNCTION("""COMPUTED_VALUE"""),"Will NOT work for them")</f>
        <v>Will NOT work for them</v>
      </c>
      <c r="J717" s="1">
        <f ca="1">IFERROR(__xludf.DUMMYFUNCTION("""COMPUTED_VALUE"""),7)</f>
        <v>7</v>
      </c>
      <c r="K717" s="1" t="str">
        <f ca="1">IFERROR(__xludf.DUMMYFUNCTION("""COMPUTED_VALUE"""),"Fully Remote with Options to travel as and when needed")</f>
        <v>Fully Remote with Options to travel as and when needed</v>
      </c>
      <c r="L717" s="1" t="str">
        <f ca="1">IFERROR(__xludf.DUMMYFUNCTION("""COMPUTED_VALUE"""),"Employer who pushes your limits by enabling an learning environment, and rewards you at the end")</f>
        <v>Employer who pushes your limits by enabling an learning environment, and rewards you at the end</v>
      </c>
      <c r="M71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17"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717" s="1" t="str">
        <f ca="1">IFERROR(__xludf.DUMMYFUNCTION("""COMPUTED_VALUE"""),"Manager who explains what is expected, sets a goal and helps achieve it")</f>
        <v>Manager who explains what is expected, sets a goal and helps achieve it</v>
      </c>
      <c r="P717" s="1" t="str">
        <f ca="1">IFERROR(__xludf.DUMMYFUNCTION("""COMPUTED_VALUE"""),"Work with 2 to 3 people in my team")</f>
        <v>Work with 2 to 3 people in my team</v>
      </c>
      <c r="Q717" s="1"/>
    </row>
    <row r="718" spans="1:17" ht="13.2" x14ac:dyDescent="0.25">
      <c r="A718" s="2">
        <f ca="1">IFERROR(__xludf.DUMMYFUNCTION("""COMPUTED_VALUE"""),45022.3754539351)</f>
        <v>45022.375453935099</v>
      </c>
      <c r="B718" s="1" t="str">
        <f ca="1">IFERROR(__xludf.DUMMYFUNCTION("""COMPUTED_VALUE"""),"India")</f>
        <v>India</v>
      </c>
      <c r="C718" s="1">
        <f ca="1">IFERROR(__xludf.DUMMYFUNCTION("""COMPUTED_VALUE"""),400072)</f>
        <v>400072</v>
      </c>
      <c r="D718" s="3" t="str">
        <f ca="1">IFERROR(__xludf.DUMMYFUNCTION("""COMPUTED_VALUE"""),"Male")</f>
        <v>Male</v>
      </c>
      <c r="E718" s="1" t="str">
        <f ca="1">IFERROR(__xludf.DUMMYFUNCTION("""COMPUTED_VALUE"""),"People from my circle, but not family members")</f>
        <v>People from my circle, but not family members</v>
      </c>
      <c r="F718" s="1" t="str">
        <f ca="1">IFERROR(__xludf.DUMMYFUNCTION("""COMPUTED_VALUE"""),"Yes, I will earn and do that")</f>
        <v>Yes, I will earn and do that</v>
      </c>
      <c r="G718" s="1" t="str">
        <f ca="1">IFERROR(__xludf.DUMMYFUNCTION("""COMPUTED_VALUE"""),"Will work for 3 years or more")</f>
        <v>Will work for 3 years or more</v>
      </c>
      <c r="H718" s="1" t="str">
        <f ca="1">IFERROR(__xludf.DUMMYFUNCTION("""COMPUTED_VALUE"""),"No")</f>
        <v>No</v>
      </c>
      <c r="I718" s="1" t="str">
        <f ca="1">IFERROR(__xludf.DUMMYFUNCTION("""COMPUTED_VALUE"""),"Will NOT work for them")</f>
        <v>Will NOT work for them</v>
      </c>
      <c r="J718" s="1">
        <f ca="1">IFERROR(__xludf.DUMMYFUNCTION("""COMPUTED_VALUE"""),4)</f>
        <v>4</v>
      </c>
      <c r="K718" s="1" t="str">
        <f ca="1">IFERROR(__xludf.DUMMYFUNCTION("""COMPUTED_VALUE"""),"Hybrid Working Environment with more than 15 days a month at office")</f>
        <v>Hybrid Working Environment with more than 15 days a month at office</v>
      </c>
      <c r="L718" s="1" t="str">
        <f ca="1">IFERROR(__xludf.DUMMYFUNCTION("""COMPUTED_VALUE"""),"Employer who appreciates learning and enables that environment")</f>
        <v>Employer who appreciates learning and enables that environment</v>
      </c>
      <c r="M7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1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18" s="1" t="str">
        <f ca="1">IFERROR(__xludf.DUMMYFUNCTION("""COMPUTED_VALUE"""),"Manager who explains what is expected, sets a goal and helps achieve it")</f>
        <v>Manager who explains what is expected, sets a goal and helps achieve it</v>
      </c>
      <c r="P718" s="1" t="str">
        <f ca="1">IFERROR(__xludf.DUMMYFUNCTION("""COMPUTED_VALUE"""),"Work with more than 10 people in my team")</f>
        <v>Work with more than 10 people in my team</v>
      </c>
      <c r="Q718" s="1"/>
    </row>
    <row r="719" spans="1:17" ht="13.2" x14ac:dyDescent="0.25">
      <c r="A719" s="2">
        <f ca="1">IFERROR(__xludf.DUMMYFUNCTION("""COMPUTED_VALUE"""),45022.3808359722)</f>
        <v>45022.380835972202</v>
      </c>
      <c r="B719" s="1" t="str">
        <f ca="1">IFERROR(__xludf.DUMMYFUNCTION("""COMPUTED_VALUE"""),"India")</f>
        <v>India</v>
      </c>
      <c r="C719" s="1">
        <f ca="1">IFERROR(__xludf.DUMMYFUNCTION("""COMPUTED_VALUE"""),680508)</f>
        <v>680508</v>
      </c>
      <c r="D719" s="3" t="str">
        <f ca="1">IFERROR(__xludf.DUMMYFUNCTION("""COMPUTED_VALUE"""),"Male")</f>
        <v>Male</v>
      </c>
      <c r="E719" s="1" t="str">
        <f ca="1">IFERROR(__xludf.DUMMYFUNCTION("""COMPUTED_VALUE"""),"My Parents")</f>
        <v>My Parents</v>
      </c>
      <c r="F719" s="1" t="str">
        <f ca="1">IFERROR(__xludf.DUMMYFUNCTION("""COMPUTED_VALUE"""),"Yes, I will earn and do that")</f>
        <v>Yes, I will earn and do that</v>
      </c>
      <c r="G719" s="1" t="str">
        <f ca="1">IFERROR(__xludf.DUMMYFUNCTION("""COMPUTED_VALUE"""),"This will be hard to do, but if it is the right company I would try")</f>
        <v>This will be hard to do, but if it is the right company I would try</v>
      </c>
      <c r="H719" s="1" t="str">
        <f ca="1">IFERROR(__xludf.DUMMYFUNCTION("""COMPUTED_VALUE"""),"No")</f>
        <v>No</v>
      </c>
      <c r="I719" s="1" t="str">
        <f ca="1">IFERROR(__xludf.DUMMYFUNCTION("""COMPUTED_VALUE"""),"Will NOT work for them")</f>
        <v>Will NOT work for them</v>
      </c>
      <c r="J719" s="1">
        <f ca="1">IFERROR(__xludf.DUMMYFUNCTION("""COMPUTED_VALUE"""),9)</f>
        <v>9</v>
      </c>
      <c r="K719" s="1" t="str">
        <f ca="1">IFERROR(__xludf.DUMMYFUNCTION("""COMPUTED_VALUE"""),"Fully Remote with Options to travel as and when needed")</f>
        <v>Fully Remote with Options to travel as and when needed</v>
      </c>
      <c r="L719" s="1" t="str">
        <f ca="1">IFERROR(__xludf.DUMMYFUNCTION("""COMPUTED_VALUE"""),"Employer who rewards learning and enables that environment")</f>
        <v>Employer who rewards learning and enables that environment</v>
      </c>
      <c r="M719" s="1" t="str">
        <f ca="1">IFERROR(__xludf.DUMMYFUNCTION("""COMPUTED_VALUE"""),"Instructor or Expert Learning Programs, Self Purchased Course from External Platforms, Manager Teaching you")</f>
        <v>Instructor or Expert Learning Programs, Self Purchased Course from External Platforms, Manager Teaching you</v>
      </c>
      <c r="N719" s="1" t="str">
        <f ca="1">IFERROR(__xludf.DUMMYFUNCTION("""COMPUTED_VALUE"""),"Design and Creative strategy in any company, Build and develop a Team, I Want to sell things/Sales, Manufacturing / Oil and Gas/ Construction / Hard Physical Work related")</f>
        <v>Design and Creative strategy in any company, Build and develop a Team, I Want to sell things/Sales, Manufacturing / Oil and Gas/ Construction / Hard Physical Work related</v>
      </c>
      <c r="O719" s="1" t="str">
        <f ca="1">IFERROR(__xludf.DUMMYFUNCTION("""COMPUTED_VALUE"""),"Manager who clearly describes what she/he needs")</f>
        <v>Manager who clearly describes what she/he needs</v>
      </c>
      <c r="P719" s="1" t="str">
        <f ca="1">IFERROR(__xludf.DUMMYFUNCTION("""COMPUTED_VALUE"""),"Work with 5 to 6 people in my team")</f>
        <v>Work with 5 to 6 people in my team</v>
      </c>
      <c r="Q719" s="1"/>
    </row>
    <row r="720" spans="1:17" ht="13.2" x14ac:dyDescent="0.25">
      <c r="A720" s="2">
        <f ca="1">IFERROR(__xludf.DUMMYFUNCTION("""COMPUTED_VALUE"""),45022.3892279513)</f>
        <v>45022.389227951302</v>
      </c>
      <c r="B720" s="1" t="str">
        <f ca="1">IFERROR(__xludf.DUMMYFUNCTION("""COMPUTED_VALUE"""),"India")</f>
        <v>India</v>
      </c>
      <c r="C720" s="1">
        <f ca="1">IFERROR(__xludf.DUMMYFUNCTION("""COMPUTED_VALUE"""),670011)</f>
        <v>670011</v>
      </c>
      <c r="D720" s="3" t="str">
        <f ca="1">IFERROR(__xludf.DUMMYFUNCTION("""COMPUTED_VALUE"""),"Female")</f>
        <v>Female</v>
      </c>
      <c r="E720" s="1" t="str">
        <f ca="1">IFERROR(__xludf.DUMMYFUNCTION("""COMPUTED_VALUE"""),"Social Media like LinkedIn")</f>
        <v>Social Media like LinkedIn</v>
      </c>
      <c r="F720" s="1" t="str">
        <f ca="1">IFERROR(__xludf.DUMMYFUNCTION("""COMPUTED_VALUE"""),"No I would not be pursuing Higher Education outside of India")</f>
        <v>No I would not be pursuing Higher Education outside of India</v>
      </c>
      <c r="G720" s="1" t="str">
        <f ca="1">IFERROR(__xludf.DUMMYFUNCTION("""COMPUTED_VALUE"""),"This will be hard to do, but if it is the right company I would try")</f>
        <v>This will be hard to do, but if it is the right company I would try</v>
      </c>
      <c r="H720" s="1" t="str">
        <f ca="1">IFERROR(__xludf.DUMMYFUNCTION("""COMPUTED_VALUE"""),"No")</f>
        <v>No</v>
      </c>
      <c r="I720" s="1" t="str">
        <f ca="1">IFERROR(__xludf.DUMMYFUNCTION("""COMPUTED_VALUE"""),"Will NOT work for them")</f>
        <v>Will NOT work for them</v>
      </c>
      <c r="J720" s="1">
        <f ca="1">IFERROR(__xludf.DUMMYFUNCTION("""COMPUTED_VALUE"""),6)</f>
        <v>6</v>
      </c>
      <c r="K720" s="1" t="str">
        <f ca="1">IFERROR(__xludf.DUMMYFUNCTION("""COMPUTED_VALUE"""),"Hybrid Working Environment with more than 15 days a month at office")</f>
        <v>Hybrid Working Environment with more than 15 days a month at office</v>
      </c>
      <c r="L720" s="1" t="str">
        <f ca="1">IFERROR(__xludf.DUMMYFUNCTION("""COMPUTED_VALUE"""),"Employer who pushes your limits by enabling an learning environment, and rewards you at the end")</f>
        <v>Employer who pushes your limits by enabling an learning environment, and rewards you at the end</v>
      </c>
      <c r="M720" s="1" t="str">
        <f ca="1">IFERROR(__xludf.DUMMYFUNCTION("""COMPUTED_VALUE"""),"Self Paced Learning Portals of the Company, Learning by observing others, Manager Teaching you")</f>
        <v>Self Paced Learning Portals of the Company, Learning by observing others, Manager Teaching you</v>
      </c>
      <c r="N720"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720" s="1" t="str">
        <f ca="1">IFERROR(__xludf.DUMMYFUNCTION("""COMPUTED_VALUE"""),"Manager who explains what is expected, sets a goal and helps achieve it")</f>
        <v>Manager who explains what is expected, sets a goal and helps achieve it</v>
      </c>
      <c r="P720" s="1" t="str">
        <f ca="1">IFERROR(__xludf.DUMMYFUNCTION("""COMPUTED_VALUE"""),"Work with 5 to 6 people in my team")</f>
        <v>Work with 5 to 6 people in my team</v>
      </c>
      <c r="Q720" s="1"/>
    </row>
    <row r="721" spans="1:17" ht="13.2" x14ac:dyDescent="0.25">
      <c r="A721" s="2">
        <f ca="1">IFERROR(__xludf.DUMMYFUNCTION("""COMPUTED_VALUE"""),45022.4110270833)</f>
        <v>45022.411027083297</v>
      </c>
      <c r="B721" s="1" t="str">
        <f ca="1">IFERROR(__xludf.DUMMYFUNCTION("""COMPUTED_VALUE"""),"India")</f>
        <v>India</v>
      </c>
      <c r="C721" s="1">
        <f ca="1">IFERROR(__xludf.DUMMYFUNCTION("""COMPUTED_VALUE"""),201009)</f>
        <v>201009</v>
      </c>
      <c r="D721" s="3" t="str">
        <f ca="1">IFERROR(__xludf.DUMMYFUNCTION("""COMPUTED_VALUE"""),"Female")</f>
        <v>Female</v>
      </c>
      <c r="E721" s="1" t="str">
        <f ca="1">IFERROR(__xludf.DUMMYFUNCTION("""COMPUTED_VALUE"""),"People from my circle, but not family members")</f>
        <v>People from my circle, but not family members</v>
      </c>
      <c r="F721" s="1" t="str">
        <f ca="1">IFERROR(__xludf.DUMMYFUNCTION("""COMPUTED_VALUE"""),"No, But if someone could bare the cost I will")</f>
        <v>No, But if someone could bare the cost I will</v>
      </c>
      <c r="G721" s="1" t="str">
        <f ca="1">IFERROR(__xludf.DUMMYFUNCTION("""COMPUTED_VALUE"""),"This will be hard to do, but if it is the right company I would try")</f>
        <v>This will be hard to do, but if it is the right company I would try</v>
      </c>
      <c r="H721" s="1" t="str">
        <f ca="1">IFERROR(__xludf.DUMMYFUNCTION("""COMPUTED_VALUE"""),"Yes")</f>
        <v>Yes</v>
      </c>
      <c r="I721" s="1" t="str">
        <f ca="1">IFERROR(__xludf.DUMMYFUNCTION("""COMPUTED_VALUE"""),"Will work for them")</f>
        <v>Will work for them</v>
      </c>
      <c r="J721" s="1">
        <f ca="1">IFERROR(__xludf.DUMMYFUNCTION("""COMPUTED_VALUE"""),6)</f>
        <v>6</v>
      </c>
      <c r="K721" s="1" t="str">
        <f ca="1">IFERROR(__xludf.DUMMYFUNCTION("""COMPUTED_VALUE"""),"Fully Remote with No option to visit offices")</f>
        <v>Fully Remote with No option to visit offices</v>
      </c>
      <c r="L721" s="1" t="str">
        <f ca="1">IFERROR(__xludf.DUMMYFUNCTION("""COMPUTED_VALUE"""),"Employer who appreciates learning and enables that environment")</f>
        <v>Employer who appreciates learning and enables that environment</v>
      </c>
      <c r="M72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2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21" s="1" t="str">
        <f ca="1">IFERROR(__xludf.DUMMYFUNCTION("""COMPUTED_VALUE"""),"Manager who explains what is expected, sets a goal and helps achieve it")</f>
        <v>Manager who explains what is expected, sets a goal and helps achieve it</v>
      </c>
      <c r="P721" s="1" t="str">
        <f ca="1">IFERROR(__xludf.DUMMYFUNCTION("""COMPUTED_VALUE"""),"Work alone, Work with 2 to 3 people in my team, Work with 5 to 6 people in my team")</f>
        <v>Work alone, Work with 2 to 3 people in my team, Work with 5 to 6 people in my team</v>
      </c>
      <c r="Q721" s="1"/>
    </row>
    <row r="722" spans="1:17" ht="13.2" x14ac:dyDescent="0.25">
      <c r="A722" s="2">
        <f ca="1">IFERROR(__xludf.DUMMYFUNCTION("""COMPUTED_VALUE"""),45022.4126948495)</f>
        <v>45022.412694849503</v>
      </c>
      <c r="B722" s="1" t="str">
        <f ca="1">IFERROR(__xludf.DUMMYFUNCTION("""COMPUTED_VALUE"""),"India")</f>
        <v>India</v>
      </c>
      <c r="C722" s="1">
        <f ca="1">IFERROR(__xludf.DUMMYFUNCTION("""COMPUTED_VALUE"""),201009)</f>
        <v>201009</v>
      </c>
      <c r="D722" s="3" t="str">
        <f ca="1">IFERROR(__xludf.DUMMYFUNCTION("""COMPUTED_VALUE"""),"Male")</f>
        <v>Male</v>
      </c>
      <c r="E722" s="1" t="str">
        <f ca="1">IFERROR(__xludf.DUMMYFUNCTION("""COMPUTED_VALUE"""),"People who have changed the world for better")</f>
        <v>People who have changed the world for better</v>
      </c>
      <c r="F722" s="1" t="str">
        <f ca="1">IFERROR(__xludf.DUMMYFUNCTION("""COMPUTED_VALUE"""),"No, But if someone could bare the cost I will")</f>
        <v>No, But if someone could bare the cost I will</v>
      </c>
      <c r="G722" s="1" t="str">
        <f ca="1">IFERROR(__xludf.DUMMYFUNCTION("""COMPUTED_VALUE"""),"This will be hard to do, but if it is the right company I would try")</f>
        <v>This will be hard to do, but if it is the right company I would try</v>
      </c>
      <c r="H722" s="1" t="str">
        <f ca="1">IFERROR(__xludf.DUMMYFUNCTION("""COMPUTED_VALUE"""),"No")</f>
        <v>No</v>
      </c>
      <c r="I722" s="1" t="str">
        <f ca="1">IFERROR(__xludf.DUMMYFUNCTION("""COMPUTED_VALUE"""),"Will work for them")</f>
        <v>Will work for them</v>
      </c>
      <c r="J722" s="1">
        <f ca="1">IFERROR(__xludf.DUMMYFUNCTION("""COMPUTED_VALUE"""),10)</f>
        <v>10</v>
      </c>
      <c r="K722" s="1" t="str">
        <f ca="1">IFERROR(__xludf.DUMMYFUNCTION("""COMPUTED_VALUE"""),"Hybrid Working Environment with more than 15 days a month at office")</f>
        <v>Hybrid Working Environment with more than 15 days a month at office</v>
      </c>
      <c r="L722" s="1" t="str">
        <f ca="1">IFERROR(__xludf.DUMMYFUNCTION("""COMPUTED_VALUE"""),"Employer who pushes your limits by enabling an learning environment, and rewards you at the end")</f>
        <v>Employer who pushes your limits by enabling an learning environment, and rewards you at the end</v>
      </c>
      <c r="M7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2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722" s="1" t="str">
        <f ca="1">IFERROR(__xludf.DUMMYFUNCTION("""COMPUTED_VALUE"""),"Manager who explains what is expected, sets a goal and helps achieve it")</f>
        <v>Manager who explains what is expected, sets a goal and helps achieve it</v>
      </c>
      <c r="P722" s="1" t="str">
        <f ca="1">IFERROR(__xludf.DUMMYFUNCTION("""COMPUTED_VALUE"""),"Work alone, Work with 2 to 3 people in my team")</f>
        <v>Work alone, Work with 2 to 3 people in my team</v>
      </c>
      <c r="Q722" s="1"/>
    </row>
    <row r="723" spans="1:17" ht="13.2" x14ac:dyDescent="0.25">
      <c r="A723" s="2">
        <f ca="1">IFERROR(__xludf.DUMMYFUNCTION("""COMPUTED_VALUE"""),45022.4171973032)</f>
        <v>45022.417197303199</v>
      </c>
      <c r="B723" s="1" t="str">
        <f ca="1">IFERROR(__xludf.DUMMYFUNCTION("""COMPUTED_VALUE"""),"India")</f>
        <v>India</v>
      </c>
      <c r="C723" s="1">
        <f ca="1">IFERROR(__xludf.DUMMYFUNCTION("""COMPUTED_VALUE"""),500072)</f>
        <v>500072</v>
      </c>
      <c r="D723" s="3" t="str">
        <f ca="1">IFERROR(__xludf.DUMMYFUNCTION("""COMPUTED_VALUE"""),"Male")</f>
        <v>Male</v>
      </c>
      <c r="E723" s="1" t="str">
        <f ca="1">IFERROR(__xludf.DUMMYFUNCTION("""COMPUTED_VALUE"""),"Social Media like LinkedIn")</f>
        <v>Social Media like LinkedIn</v>
      </c>
      <c r="F723" s="1" t="str">
        <f ca="1">IFERROR(__xludf.DUMMYFUNCTION("""COMPUTED_VALUE"""),"Yes, I will earn and do that")</f>
        <v>Yes, I will earn and do that</v>
      </c>
      <c r="G723" s="1" t="str">
        <f ca="1">IFERROR(__xludf.DUMMYFUNCTION("""COMPUTED_VALUE"""),"Will work for 3 years or more")</f>
        <v>Will work for 3 years or more</v>
      </c>
      <c r="H723" s="1" t="str">
        <f ca="1">IFERROR(__xludf.DUMMYFUNCTION("""COMPUTED_VALUE"""),"Yes")</f>
        <v>Yes</v>
      </c>
      <c r="I723" s="1" t="str">
        <f ca="1">IFERROR(__xludf.DUMMYFUNCTION("""COMPUTED_VALUE"""),"Will NOT work for them")</f>
        <v>Will NOT work for them</v>
      </c>
      <c r="J723" s="1">
        <f ca="1">IFERROR(__xludf.DUMMYFUNCTION("""COMPUTED_VALUE"""),1)</f>
        <v>1</v>
      </c>
      <c r="K723" s="1" t="str">
        <f ca="1">IFERROR(__xludf.DUMMYFUNCTION("""COMPUTED_VALUE"""),"Fully Remote with Options to travel as and when needed")</f>
        <v>Fully Remote with Options to travel as and when needed</v>
      </c>
      <c r="L723" s="1" t="str">
        <f ca="1">IFERROR(__xludf.DUMMYFUNCTION("""COMPUTED_VALUE"""),"Employer who pushes your limits by enabling an learning environment, and rewards you at the end")</f>
        <v>Employer who pushes your limits by enabling an learning environment, and rewards you at the end</v>
      </c>
      <c r="M72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23" s="1" t="str">
        <f ca="1">IFERROR(__xludf.DUMMYFUNCTION("""COMPUTED_VALUE"""),"Manager who sets targets and expects me to achieve it")</f>
        <v>Manager who sets targets and expects me to achieve it</v>
      </c>
      <c r="P723" s="1" t="str">
        <f ca="1">IFERROR(__xludf.DUMMYFUNCTION("""COMPUTED_VALUE"""),"Work with more than 10 people in my team")</f>
        <v>Work with more than 10 people in my team</v>
      </c>
      <c r="Q723" s="1"/>
    </row>
    <row r="724" spans="1:17" ht="13.2" x14ac:dyDescent="0.25">
      <c r="A724" s="2">
        <f ca="1">IFERROR(__xludf.DUMMYFUNCTION("""COMPUTED_VALUE"""),45022.4183474074)</f>
        <v>45022.418347407402</v>
      </c>
      <c r="B724" s="1" t="str">
        <f ca="1">IFERROR(__xludf.DUMMYFUNCTION("""COMPUTED_VALUE"""),"India")</f>
        <v>India</v>
      </c>
      <c r="C724" s="1">
        <f ca="1">IFERROR(__xludf.DUMMYFUNCTION("""COMPUTED_VALUE"""),201009)</f>
        <v>201009</v>
      </c>
      <c r="D724" s="3" t="str">
        <f ca="1">IFERROR(__xludf.DUMMYFUNCTION("""COMPUTED_VALUE"""),"Female")</f>
        <v>Female</v>
      </c>
      <c r="E724" s="1" t="str">
        <f ca="1">IFERROR(__xludf.DUMMYFUNCTION("""COMPUTED_VALUE"""),"People who have changed the world for better")</f>
        <v>People who have changed the world for better</v>
      </c>
      <c r="F724" s="1" t="str">
        <f ca="1">IFERROR(__xludf.DUMMYFUNCTION("""COMPUTED_VALUE"""),"No, But if someone could bare the cost I will")</f>
        <v>No, But if someone could bare the cost I will</v>
      </c>
      <c r="G724" s="1" t="str">
        <f ca="1">IFERROR(__xludf.DUMMYFUNCTION("""COMPUTED_VALUE"""),"This will be hard to do, but if it is the right company I would try")</f>
        <v>This will be hard to do, but if it is the right company I would try</v>
      </c>
      <c r="H724" s="1" t="str">
        <f ca="1">IFERROR(__xludf.DUMMYFUNCTION("""COMPUTED_VALUE"""),"No")</f>
        <v>No</v>
      </c>
      <c r="I724" s="1" t="str">
        <f ca="1">IFERROR(__xludf.DUMMYFUNCTION("""COMPUTED_VALUE"""),"Will NOT work for them")</f>
        <v>Will NOT work for them</v>
      </c>
      <c r="J724" s="1">
        <f ca="1">IFERROR(__xludf.DUMMYFUNCTION("""COMPUTED_VALUE"""),2)</f>
        <v>2</v>
      </c>
      <c r="K724" s="1" t="str">
        <f ca="1">IFERROR(__xludf.DUMMYFUNCTION("""COMPUTED_VALUE"""),"Hybrid Working Environment with more than 15 days a month at office")</f>
        <v>Hybrid Working Environment with more than 15 days a month at office</v>
      </c>
      <c r="L724" s="1" t="str">
        <f ca="1">IFERROR(__xludf.DUMMYFUNCTION("""COMPUTED_VALUE"""),"Employer who rewards learning and enables that environment")</f>
        <v>Employer who rewards learning and enables that environment</v>
      </c>
      <c r="M724" s="1" t="str">
        <f ca="1">IFERROR(__xludf.DUMMYFUNCTION("""COMPUTED_VALUE"""),"Instructor or Expert Learning Programs, Learning by observing others, Manager Teaching you")</f>
        <v>Instructor or Expert Learning Programs, Learning by observing others, Manager Teaching you</v>
      </c>
      <c r="N724" s="1" t="str">
        <f ca="1">IFERROR(__xludf.DUMMYFUNCTION("""COMPUTED_VALUE"""),"Design and Creative strategy in any company, Teaching in any of the institutes/colleges/online or offline, Work in a BPO setup for some well known client, Work as a freelancer and do my thing my way")</f>
        <v>Design and Creative strategy in any company, Teaching in any of the institutes/colleges/online or offline, Work in a BPO setup for some well known client, Work as a freelancer and do my thing my way</v>
      </c>
      <c r="O724" s="1" t="str">
        <f ca="1">IFERROR(__xludf.DUMMYFUNCTION("""COMPUTED_VALUE"""),"Manager who sets targets and expects me to achieve it")</f>
        <v>Manager who sets targets and expects me to achieve it</v>
      </c>
      <c r="P724" s="1" t="str">
        <f ca="1">IFERROR(__xludf.DUMMYFUNCTION("""COMPUTED_VALUE"""),"Work alone")</f>
        <v>Work alone</v>
      </c>
      <c r="Q724" s="1"/>
    </row>
    <row r="725" spans="1:17" ht="13.2" x14ac:dyDescent="0.25">
      <c r="A725" s="2">
        <f ca="1">IFERROR(__xludf.DUMMYFUNCTION("""COMPUTED_VALUE"""),45022.4297910416)</f>
        <v>45022.429791041599</v>
      </c>
      <c r="B725" s="1" t="str">
        <f ca="1">IFERROR(__xludf.DUMMYFUNCTION("""COMPUTED_VALUE"""),"India")</f>
        <v>India</v>
      </c>
      <c r="C725" s="1">
        <f ca="1">IFERROR(__xludf.DUMMYFUNCTION("""COMPUTED_VALUE"""),110017)</f>
        <v>110017</v>
      </c>
      <c r="D725" s="3" t="str">
        <f ca="1">IFERROR(__xludf.DUMMYFUNCTION("""COMPUTED_VALUE"""),"Male")</f>
        <v>Male</v>
      </c>
      <c r="E725" s="1" t="str">
        <f ca="1">IFERROR(__xludf.DUMMYFUNCTION("""COMPUTED_VALUE"""),"People from my circle, but not family members")</f>
        <v>People from my circle, but not family members</v>
      </c>
      <c r="F725" s="1" t="str">
        <f ca="1">IFERROR(__xludf.DUMMYFUNCTION("""COMPUTED_VALUE"""),"Yes, I will earn and do that")</f>
        <v>Yes, I will earn and do that</v>
      </c>
      <c r="G725" s="1" t="str">
        <f ca="1">IFERROR(__xludf.DUMMYFUNCTION("""COMPUTED_VALUE"""),"This will be hard to do, but if it is the right company I would try")</f>
        <v>This will be hard to do, but if it is the right company I would try</v>
      </c>
      <c r="H725" s="1" t="str">
        <f ca="1">IFERROR(__xludf.DUMMYFUNCTION("""COMPUTED_VALUE"""),"No")</f>
        <v>No</v>
      </c>
      <c r="I725" s="1" t="str">
        <f ca="1">IFERROR(__xludf.DUMMYFUNCTION("""COMPUTED_VALUE"""),"Will NOT work for them")</f>
        <v>Will NOT work for them</v>
      </c>
      <c r="J725" s="1">
        <f ca="1">IFERROR(__xludf.DUMMYFUNCTION("""COMPUTED_VALUE"""),6)</f>
        <v>6</v>
      </c>
      <c r="K725" s="1" t="str">
        <f ca="1">IFERROR(__xludf.DUMMYFUNCTION("""COMPUTED_VALUE"""),"Fully Remote with Options to travel as and when needed")</f>
        <v>Fully Remote with Options to travel as and when needed</v>
      </c>
      <c r="L725" s="1" t="str">
        <f ca="1">IFERROR(__xludf.DUMMYFUNCTION("""COMPUTED_VALUE"""),"Employer who pushes your limits by enabling an learning environment, and rewards you at the end")</f>
        <v>Employer who pushes your limits by enabling an learning environment, and rewards you at the end</v>
      </c>
      <c r="M72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25"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725" s="1" t="str">
        <f ca="1">IFERROR(__xludf.DUMMYFUNCTION("""COMPUTED_VALUE"""),"Manager who sets goal and helps me achieve it")</f>
        <v>Manager who sets goal and helps me achieve it</v>
      </c>
      <c r="P725" s="1" t="str">
        <f ca="1">IFERROR(__xludf.DUMMYFUNCTION("""COMPUTED_VALUE"""),"Work with 5 to 6 people in my team")</f>
        <v>Work with 5 to 6 people in my team</v>
      </c>
      <c r="Q725" s="1"/>
    </row>
    <row r="726" spans="1:17" ht="13.2" x14ac:dyDescent="0.25">
      <c r="A726" s="2">
        <f ca="1">IFERROR(__xludf.DUMMYFUNCTION("""COMPUTED_VALUE"""),45022.4314708217)</f>
        <v>45022.431470821699</v>
      </c>
      <c r="B726" s="1" t="str">
        <f ca="1">IFERROR(__xludf.DUMMYFUNCTION("""COMPUTED_VALUE"""),"India")</f>
        <v>India</v>
      </c>
      <c r="C726" s="1">
        <f ca="1">IFERROR(__xludf.DUMMYFUNCTION("""COMPUTED_VALUE"""),721422)</f>
        <v>721422</v>
      </c>
      <c r="D726" s="3" t="str">
        <f ca="1">IFERROR(__xludf.DUMMYFUNCTION("""COMPUTED_VALUE"""),"Male")</f>
        <v>Male</v>
      </c>
      <c r="E726" s="1" t="str">
        <f ca="1">IFERROR(__xludf.DUMMYFUNCTION("""COMPUTED_VALUE"""),"My Parents")</f>
        <v>My Parents</v>
      </c>
      <c r="F726" s="1" t="str">
        <f ca="1">IFERROR(__xludf.DUMMYFUNCTION("""COMPUTED_VALUE"""),"No I would not be pursuing Higher Education outside of India")</f>
        <v>No I would not be pursuing Higher Education outside of India</v>
      </c>
      <c r="G726" s="1" t="str">
        <f ca="1">IFERROR(__xludf.DUMMYFUNCTION("""COMPUTED_VALUE"""),"Will work for 3 years or more")</f>
        <v>Will work for 3 years or more</v>
      </c>
      <c r="H726" s="1" t="str">
        <f ca="1">IFERROR(__xludf.DUMMYFUNCTION("""COMPUTED_VALUE"""),"Yes")</f>
        <v>Yes</v>
      </c>
      <c r="I726" s="1" t="str">
        <f ca="1">IFERROR(__xludf.DUMMYFUNCTION("""COMPUTED_VALUE"""),"Will NOT work for them")</f>
        <v>Will NOT work for them</v>
      </c>
      <c r="J726" s="1">
        <f ca="1">IFERROR(__xludf.DUMMYFUNCTION("""COMPUTED_VALUE"""),4)</f>
        <v>4</v>
      </c>
      <c r="K726" s="1" t="str">
        <f ca="1">IFERROR(__xludf.DUMMYFUNCTION("""COMPUTED_VALUE"""),"Fully Remote with Options to travel as and when needed")</f>
        <v>Fully Remote with Options to travel as and when needed</v>
      </c>
      <c r="L726" s="1" t="str">
        <f ca="1">IFERROR(__xludf.DUMMYFUNCTION("""COMPUTED_VALUE"""),"Employer who rewards learning and enables that environment")</f>
        <v>Employer who rewards learning and enables that environment</v>
      </c>
      <c r="M72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726"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726" s="1" t="str">
        <f ca="1">IFERROR(__xludf.DUMMYFUNCTION("""COMPUTED_VALUE"""),"Manager who clearly describes what she/he needs")</f>
        <v>Manager who clearly describes what she/he needs</v>
      </c>
      <c r="P726" s="1" t="str">
        <f ca="1">IFERROR(__xludf.DUMMYFUNCTION("""COMPUTED_VALUE"""),"Work with 2 to 3 people in my team, Work with 5 to 6 people in my team")</f>
        <v>Work with 2 to 3 people in my team, Work with 5 to 6 people in my team</v>
      </c>
      <c r="Q726" s="1"/>
    </row>
    <row r="727" spans="1:17" ht="13.2" x14ac:dyDescent="0.25">
      <c r="A727" s="2">
        <f ca="1">IFERROR(__xludf.DUMMYFUNCTION("""COMPUTED_VALUE"""),45022.4345817013)</f>
        <v>45022.434581701302</v>
      </c>
      <c r="B727" s="1" t="str">
        <f ca="1">IFERROR(__xludf.DUMMYFUNCTION("""COMPUTED_VALUE"""),"India")</f>
        <v>India</v>
      </c>
      <c r="C727" s="1">
        <f ca="1">IFERROR(__xludf.DUMMYFUNCTION("""COMPUTED_VALUE"""),400610)</f>
        <v>400610</v>
      </c>
      <c r="D727" s="3" t="str">
        <f ca="1">IFERROR(__xludf.DUMMYFUNCTION("""COMPUTED_VALUE"""),"Male")</f>
        <v>Male</v>
      </c>
      <c r="E727" s="1" t="str">
        <f ca="1">IFERROR(__xludf.DUMMYFUNCTION("""COMPUTED_VALUE"""),"Influencers who had successful careers")</f>
        <v>Influencers who had successful careers</v>
      </c>
      <c r="F727" s="1" t="str">
        <f ca="1">IFERROR(__xludf.DUMMYFUNCTION("""COMPUTED_VALUE"""),"No, But if someone could bare the cost I will")</f>
        <v>No, But if someone could bare the cost I will</v>
      </c>
      <c r="G727" s="1" t="str">
        <f ca="1">IFERROR(__xludf.DUMMYFUNCTION("""COMPUTED_VALUE"""),"Will work for 3 years or more")</f>
        <v>Will work for 3 years or more</v>
      </c>
      <c r="H727" s="1" t="str">
        <f ca="1">IFERROR(__xludf.DUMMYFUNCTION("""COMPUTED_VALUE"""),"No")</f>
        <v>No</v>
      </c>
      <c r="I727" s="1" t="str">
        <f ca="1">IFERROR(__xludf.DUMMYFUNCTION("""COMPUTED_VALUE"""),"Will NOT work for them")</f>
        <v>Will NOT work for them</v>
      </c>
      <c r="J727" s="1">
        <f ca="1">IFERROR(__xludf.DUMMYFUNCTION("""COMPUTED_VALUE"""),1)</f>
        <v>1</v>
      </c>
      <c r="K727" s="1" t="str">
        <f ca="1">IFERROR(__xludf.DUMMYFUNCTION("""COMPUTED_VALUE"""),"Hybrid Working Environment with more than 15 days a month at office")</f>
        <v>Hybrid Working Environment with more than 15 days a month at office</v>
      </c>
      <c r="L727" s="1" t="str">
        <f ca="1">IFERROR(__xludf.DUMMYFUNCTION("""COMPUTED_VALUE"""),"Employer who pushes your limits by enabling an learning environment, and rewards you at the end")</f>
        <v>Employer who pushes your limits by enabling an learning environment, and rewards you at the end</v>
      </c>
      <c r="M727" s="1" t="str">
        <f ca="1">IFERROR(__xludf.DUMMYFUNCTION("""COMPUTED_VALUE"""),"Self Paced Learning Portals of the Company, Instructor or Expert Learning Programs, Manager Teaching you")</f>
        <v>Self Paced Learning Portals of the Company, Instructor or Expert Learning Programs, Manager Teaching you</v>
      </c>
      <c r="N727"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727" s="1" t="str">
        <f ca="1">IFERROR(__xludf.DUMMYFUNCTION("""COMPUTED_VALUE"""),"Manager who sets goal and helps me achieve it")</f>
        <v>Manager who sets goal and helps me achieve it</v>
      </c>
      <c r="P727" s="1" t="str">
        <f ca="1">IFERROR(__xludf.DUMMYFUNCTION("""COMPUTED_VALUE"""),"Work with more than 10 people in my team")</f>
        <v>Work with more than 10 people in my team</v>
      </c>
      <c r="Q727" s="1"/>
    </row>
    <row r="728" spans="1:17" ht="13.2" x14ac:dyDescent="0.25">
      <c r="A728" s="2">
        <f ca="1">IFERROR(__xludf.DUMMYFUNCTION("""COMPUTED_VALUE"""),45022.4359605902)</f>
        <v>45022.435960590199</v>
      </c>
      <c r="B728" s="1" t="str">
        <f ca="1">IFERROR(__xludf.DUMMYFUNCTION("""COMPUTED_VALUE"""),"India")</f>
        <v>India</v>
      </c>
      <c r="C728" s="1">
        <f ca="1">IFERROR(__xludf.DUMMYFUNCTION("""COMPUTED_VALUE"""),201301)</f>
        <v>201301</v>
      </c>
      <c r="D728" s="3" t="str">
        <f ca="1">IFERROR(__xludf.DUMMYFUNCTION("""COMPUTED_VALUE"""),"Male")</f>
        <v>Male</v>
      </c>
      <c r="E728" s="1" t="str">
        <f ca="1">IFERROR(__xludf.DUMMYFUNCTION("""COMPUTED_VALUE"""),"Social Media like LinkedIn")</f>
        <v>Social Media like LinkedIn</v>
      </c>
      <c r="F728" s="1" t="str">
        <f ca="1">IFERROR(__xludf.DUMMYFUNCTION("""COMPUTED_VALUE"""),"Yes, I will earn and do that")</f>
        <v>Yes, I will earn and do that</v>
      </c>
      <c r="G728" s="1" t="str">
        <f ca="1">IFERROR(__xludf.DUMMYFUNCTION("""COMPUTED_VALUE"""),"Will work for 3 years or more")</f>
        <v>Will work for 3 years or more</v>
      </c>
      <c r="H728" s="1" t="str">
        <f ca="1">IFERROR(__xludf.DUMMYFUNCTION("""COMPUTED_VALUE"""),"No")</f>
        <v>No</v>
      </c>
      <c r="I728" s="1" t="str">
        <f ca="1">IFERROR(__xludf.DUMMYFUNCTION("""COMPUTED_VALUE"""),"Will NOT work for them")</f>
        <v>Will NOT work for them</v>
      </c>
      <c r="J728" s="1">
        <f ca="1">IFERROR(__xludf.DUMMYFUNCTION("""COMPUTED_VALUE"""),9)</f>
        <v>9</v>
      </c>
      <c r="K728" s="1" t="str">
        <f ca="1">IFERROR(__xludf.DUMMYFUNCTION("""COMPUTED_VALUE"""),"Hybrid Working Environment with less than 3 days a month at office")</f>
        <v>Hybrid Working Environment with less than 3 days a month at office</v>
      </c>
      <c r="L728" s="1" t="str">
        <f ca="1">IFERROR(__xludf.DUMMYFUNCTION("""COMPUTED_VALUE"""),"Employer who appreciates learning and enables that environment")</f>
        <v>Employer who appreciates learning and enables that environment</v>
      </c>
      <c r="M728" s="1" t="str">
        <f ca="1">IFERROR(__xludf.DUMMYFUNCTION("""COMPUTED_VALUE"""),"Self Paced Learning Portals of the Company, Instructor or Expert Learning Programs, Manager Teaching you")</f>
        <v>Self Paced Learning Portals of the Company, Instructor or Expert Learning Programs, Manager Teaching you</v>
      </c>
      <c r="N728"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728" s="1" t="str">
        <f ca="1">IFERROR(__xludf.DUMMYFUNCTION("""COMPUTED_VALUE"""),"Manager who clearly describes what she/he needs")</f>
        <v>Manager who clearly describes what she/he needs</v>
      </c>
      <c r="P728" s="1" t="str">
        <f ca="1">IFERROR(__xludf.DUMMYFUNCTION("""COMPUTED_VALUE"""),"Work with 5 to 6 people in my team")</f>
        <v>Work with 5 to 6 people in my team</v>
      </c>
      <c r="Q728" s="1"/>
    </row>
    <row r="729" spans="1:17" ht="13.2" x14ac:dyDescent="0.25">
      <c r="A729" s="2">
        <f ca="1">IFERROR(__xludf.DUMMYFUNCTION("""COMPUTED_VALUE"""),45022.4426861689)</f>
        <v>45022.442686168899</v>
      </c>
      <c r="B729" s="1" t="str">
        <f ca="1">IFERROR(__xludf.DUMMYFUNCTION("""COMPUTED_VALUE"""),"India")</f>
        <v>India</v>
      </c>
      <c r="C729" s="1">
        <f ca="1">IFERROR(__xludf.DUMMYFUNCTION("""COMPUTED_VALUE"""),201301)</f>
        <v>201301</v>
      </c>
      <c r="D729" s="3" t="str">
        <f ca="1">IFERROR(__xludf.DUMMYFUNCTION("""COMPUTED_VALUE"""),"Male")</f>
        <v>Male</v>
      </c>
      <c r="E729" s="1" t="str">
        <f ca="1">IFERROR(__xludf.DUMMYFUNCTION("""COMPUTED_VALUE"""),"My Parents")</f>
        <v>My Parents</v>
      </c>
      <c r="F729" s="1" t="str">
        <f ca="1">IFERROR(__xludf.DUMMYFUNCTION("""COMPUTED_VALUE"""),"Yes, I will earn and do that")</f>
        <v>Yes, I will earn and do that</v>
      </c>
      <c r="G729" s="1" t="str">
        <f ca="1">IFERROR(__xludf.DUMMYFUNCTION("""COMPUTED_VALUE"""),"Will work for 3 years or more")</f>
        <v>Will work for 3 years or more</v>
      </c>
      <c r="H729" s="1" t="str">
        <f ca="1">IFERROR(__xludf.DUMMYFUNCTION("""COMPUTED_VALUE"""),"No")</f>
        <v>No</v>
      </c>
      <c r="I729" s="1" t="str">
        <f ca="1">IFERROR(__xludf.DUMMYFUNCTION("""COMPUTED_VALUE"""),"Will NOT work for them")</f>
        <v>Will NOT work for them</v>
      </c>
      <c r="J729" s="1">
        <f ca="1">IFERROR(__xludf.DUMMYFUNCTION("""COMPUTED_VALUE"""),3)</f>
        <v>3</v>
      </c>
      <c r="K729" s="1" t="str">
        <f ca="1">IFERROR(__xludf.DUMMYFUNCTION("""COMPUTED_VALUE"""),"Hybrid Working Environment with more than 15 days a month at office")</f>
        <v>Hybrid Working Environment with more than 15 days a month at office</v>
      </c>
      <c r="L729" s="1" t="str">
        <f ca="1">IFERROR(__xludf.DUMMYFUNCTION("""COMPUTED_VALUE"""),"Employer who pushes your limits by enabling an learning environment, and rewards you at the end")</f>
        <v>Employer who pushes your limits by enabling an learning environment, and rewards you at the end</v>
      </c>
      <c r="M7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2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29" s="1" t="str">
        <f ca="1">IFERROR(__xludf.DUMMYFUNCTION("""COMPUTED_VALUE"""),"Manager who explains what is expected, sets a goal and helps achieve it")</f>
        <v>Manager who explains what is expected, sets a goal and helps achieve it</v>
      </c>
      <c r="P729" s="1" t="str">
        <f ca="1">IFERROR(__xludf.DUMMYFUNCTION("""COMPUTED_VALUE"""),"Work with 5 to 6 people in my team")</f>
        <v>Work with 5 to 6 people in my team</v>
      </c>
      <c r="Q729" s="1"/>
    </row>
    <row r="730" spans="1:17" ht="13.2" x14ac:dyDescent="0.25">
      <c r="A730" s="2">
        <f ca="1">IFERROR(__xludf.DUMMYFUNCTION("""COMPUTED_VALUE"""),45022.4460272453)</f>
        <v>45022.4460272453</v>
      </c>
      <c r="B730" s="1" t="str">
        <f ca="1">IFERROR(__xludf.DUMMYFUNCTION("""COMPUTED_VALUE"""),"India")</f>
        <v>India</v>
      </c>
      <c r="C730" s="1">
        <f ca="1">IFERROR(__xludf.DUMMYFUNCTION("""COMPUTED_VALUE"""),110059)</f>
        <v>110059</v>
      </c>
      <c r="D730" s="3" t="str">
        <f ca="1">IFERROR(__xludf.DUMMYFUNCTION("""COMPUTED_VALUE"""),"Female")</f>
        <v>Female</v>
      </c>
      <c r="E730" s="1" t="str">
        <f ca="1">IFERROR(__xludf.DUMMYFUNCTION("""COMPUTED_VALUE"""),"Social Media like LinkedIn")</f>
        <v>Social Media like LinkedIn</v>
      </c>
      <c r="F730" s="1" t="str">
        <f ca="1">IFERROR(__xludf.DUMMYFUNCTION("""COMPUTED_VALUE"""),"Yes, I will earn and do that")</f>
        <v>Yes, I will earn and do that</v>
      </c>
      <c r="G730" s="1" t="str">
        <f ca="1">IFERROR(__xludf.DUMMYFUNCTION("""COMPUTED_VALUE"""),"Will work for 3 years or more")</f>
        <v>Will work for 3 years or more</v>
      </c>
      <c r="H730" s="1" t="str">
        <f ca="1">IFERROR(__xludf.DUMMYFUNCTION("""COMPUTED_VALUE"""),"No")</f>
        <v>No</v>
      </c>
      <c r="I730" s="1" t="str">
        <f ca="1">IFERROR(__xludf.DUMMYFUNCTION("""COMPUTED_VALUE"""),"Will NOT work for them")</f>
        <v>Will NOT work for them</v>
      </c>
      <c r="J730" s="1">
        <f ca="1">IFERROR(__xludf.DUMMYFUNCTION("""COMPUTED_VALUE"""),3)</f>
        <v>3</v>
      </c>
      <c r="K730" s="1" t="str">
        <f ca="1">IFERROR(__xludf.DUMMYFUNCTION("""COMPUTED_VALUE"""),"Fully Remote with No option to visit offices")</f>
        <v>Fully Remote with No option to visit offices</v>
      </c>
      <c r="L730" s="1" t="str">
        <f ca="1">IFERROR(__xludf.DUMMYFUNCTION("""COMPUTED_VALUE"""),"Employer who appreciates learning and enables that environment")</f>
        <v>Employer who appreciates learning and enables that environment</v>
      </c>
      <c r="M730" s="1" t="str">
        <f ca="1">IFERROR(__xludf.DUMMYFUNCTION("""COMPUTED_VALUE"""),"Self Paced Learning Portals of the Company, Learning by observing others, Manager Teaching you")</f>
        <v>Self Paced Learning Portals of the Company, Learning by observing others, Manager Teaching you</v>
      </c>
      <c r="N730" s="1" t="str">
        <f ca="1">IFERROR(__xludf.DUMMYFUNCTION("""COMPUTED_VALUE"""),"Design and Creative strategy in any company, Business Operations in any organization, An Artificial Intelligence Specialist / Talking to Robots, Manufacturing / Oil and Gas/ Construction / Hard Physical Work related")</f>
        <v>Design and Creative strategy in any company, Business Operations in any organization, An Artificial Intelligence Specialist / Talking to Robots, Manufacturing / Oil and Gas/ Construction / Hard Physical Work related</v>
      </c>
      <c r="O730" s="1" t="str">
        <f ca="1">IFERROR(__xludf.DUMMYFUNCTION("""COMPUTED_VALUE"""),"Manager who clearly describes what she/he needs")</f>
        <v>Manager who clearly describes what she/he needs</v>
      </c>
      <c r="P730" s="1" t="str">
        <f ca="1">IFERROR(__xludf.DUMMYFUNCTION("""COMPUTED_VALUE"""),"Work with 2 to 3 people in my team")</f>
        <v>Work with 2 to 3 people in my team</v>
      </c>
      <c r="Q730" s="1"/>
    </row>
    <row r="731" spans="1:17" ht="13.2" x14ac:dyDescent="0.25">
      <c r="A731" s="2">
        <f ca="1">IFERROR(__xludf.DUMMYFUNCTION("""COMPUTED_VALUE"""),45022.451627905)</f>
        <v>45022.451627905</v>
      </c>
      <c r="B731" s="1" t="str">
        <f ca="1">IFERROR(__xludf.DUMMYFUNCTION("""COMPUTED_VALUE"""),"India")</f>
        <v>India</v>
      </c>
      <c r="C731" s="1">
        <f ca="1">IFERROR(__xludf.DUMMYFUNCTION("""COMPUTED_VALUE"""),110008)</f>
        <v>110008</v>
      </c>
      <c r="D731" s="3" t="str">
        <f ca="1">IFERROR(__xludf.DUMMYFUNCTION("""COMPUTED_VALUE"""),"Male")</f>
        <v>Male</v>
      </c>
      <c r="E731" s="1" t="str">
        <f ca="1">IFERROR(__xludf.DUMMYFUNCTION("""COMPUTED_VALUE"""),"Influencers who had successful careers")</f>
        <v>Influencers who had successful careers</v>
      </c>
      <c r="F731" s="1" t="str">
        <f ca="1">IFERROR(__xludf.DUMMYFUNCTION("""COMPUTED_VALUE"""),"Yes, I will earn and do that")</f>
        <v>Yes, I will earn and do that</v>
      </c>
      <c r="G731" s="1" t="str">
        <f ca="1">IFERROR(__xludf.DUMMYFUNCTION("""COMPUTED_VALUE"""),"Will work for 3 years or more")</f>
        <v>Will work for 3 years or more</v>
      </c>
      <c r="H731" s="1" t="str">
        <f ca="1">IFERROR(__xludf.DUMMYFUNCTION("""COMPUTED_VALUE"""),"Yes")</f>
        <v>Yes</v>
      </c>
      <c r="I731" s="1" t="str">
        <f ca="1">IFERROR(__xludf.DUMMYFUNCTION("""COMPUTED_VALUE"""),"Will work for them")</f>
        <v>Will work for them</v>
      </c>
      <c r="J731" s="1">
        <f ca="1">IFERROR(__xludf.DUMMYFUNCTION("""COMPUTED_VALUE"""),9)</f>
        <v>9</v>
      </c>
      <c r="K731" s="1" t="str">
        <f ca="1">IFERROR(__xludf.DUMMYFUNCTION("""COMPUTED_VALUE"""),"Fully Remote with No option to visit offices")</f>
        <v>Fully Remote with No option to visit offices</v>
      </c>
      <c r="L731" s="1" t="str">
        <f ca="1">IFERROR(__xludf.DUMMYFUNCTION("""COMPUTED_VALUE"""),"Employer who rewards learning and enables that environment")</f>
        <v>Employer who rewards learning and enables that environment</v>
      </c>
      <c r="M731" s="1" t="str">
        <f ca="1">IFERROR(__xludf.DUMMYFUNCTION("""COMPUTED_VALUE"""),"Self Paced Learning Portals of the Company, Learning by observing others, Manager Teaching you")</f>
        <v>Self Paced Learning Portals of the Company, Learning by observing others, Manager Teaching you</v>
      </c>
      <c r="N73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31" s="1" t="str">
        <f ca="1">IFERROR(__xludf.DUMMYFUNCTION("""COMPUTED_VALUE"""),"Manager who clearly describes what she/he needs")</f>
        <v>Manager who clearly describes what she/he needs</v>
      </c>
      <c r="P731" s="1" t="str">
        <f ca="1">IFERROR(__xludf.DUMMYFUNCTION("""COMPUTED_VALUE"""),"Work with 7 to 10 or more people in my team")</f>
        <v>Work with 7 to 10 or more people in my team</v>
      </c>
      <c r="Q731" s="1"/>
    </row>
    <row r="732" spans="1:17" ht="13.2" x14ac:dyDescent="0.25">
      <c r="A732" s="2">
        <f ca="1">IFERROR(__xludf.DUMMYFUNCTION("""COMPUTED_VALUE"""),45022.4557877199)</f>
        <v>45022.455787719897</v>
      </c>
      <c r="B732" s="1" t="str">
        <f ca="1">IFERROR(__xludf.DUMMYFUNCTION("""COMPUTED_VALUE"""),"India")</f>
        <v>India</v>
      </c>
      <c r="C732" s="1">
        <f ca="1">IFERROR(__xludf.DUMMYFUNCTION("""COMPUTED_VALUE"""),110067)</f>
        <v>110067</v>
      </c>
      <c r="D732" s="3" t="str">
        <f ca="1">IFERROR(__xludf.DUMMYFUNCTION("""COMPUTED_VALUE"""),"Female")</f>
        <v>Female</v>
      </c>
      <c r="E732" s="1" t="str">
        <f ca="1">IFERROR(__xludf.DUMMYFUNCTION("""COMPUTED_VALUE"""),"Influencers who had successful careers")</f>
        <v>Influencers who had successful careers</v>
      </c>
      <c r="F732" s="1" t="str">
        <f ca="1">IFERROR(__xludf.DUMMYFUNCTION("""COMPUTED_VALUE"""),"Yes, I will earn and do that")</f>
        <v>Yes, I will earn and do that</v>
      </c>
      <c r="G732" s="1" t="str">
        <f ca="1">IFERROR(__xludf.DUMMYFUNCTION("""COMPUTED_VALUE"""),"This will be hard to do, but if it is the right company I would try")</f>
        <v>This will be hard to do, but if it is the right company I would try</v>
      </c>
      <c r="H732" s="1" t="str">
        <f ca="1">IFERROR(__xludf.DUMMYFUNCTION("""COMPUTED_VALUE"""),"Yes")</f>
        <v>Yes</v>
      </c>
      <c r="I732" s="1" t="str">
        <f ca="1">IFERROR(__xludf.DUMMYFUNCTION("""COMPUTED_VALUE"""),"Will work for them")</f>
        <v>Will work for them</v>
      </c>
      <c r="J732" s="1">
        <f ca="1">IFERROR(__xludf.DUMMYFUNCTION("""COMPUTED_VALUE"""),8)</f>
        <v>8</v>
      </c>
      <c r="K732" s="1" t="str">
        <f ca="1">IFERROR(__xludf.DUMMYFUNCTION("""COMPUTED_VALUE"""),"Fully Remote with No option to visit offices")</f>
        <v>Fully Remote with No option to visit offices</v>
      </c>
      <c r="L732" s="1" t="str">
        <f ca="1">IFERROR(__xludf.DUMMYFUNCTION("""COMPUTED_VALUE"""),"Employer who appreciates learning and enables that environment")</f>
        <v>Employer who appreciates learning and enables that environment</v>
      </c>
      <c r="M732" s="1" t="str">
        <f ca="1">IFERROR(__xludf.DUMMYFUNCTION("""COMPUTED_VALUE"""),"Self Paced Learning Portals of the Company, Learning by observing others, Manager Teaching you")</f>
        <v>Self Paced Learning Portals of the Company, Learning by observing others, Manager Teaching you</v>
      </c>
      <c r="N732"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732" s="1" t="str">
        <f ca="1">IFERROR(__xludf.DUMMYFUNCTION("""COMPUTED_VALUE"""),"Manager who clearly describes what she/he needs")</f>
        <v>Manager who clearly describes what she/he needs</v>
      </c>
      <c r="P732" s="1" t="str">
        <f ca="1">IFERROR(__xludf.DUMMYFUNCTION("""COMPUTED_VALUE"""),"Work with more than 10 people in my team")</f>
        <v>Work with more than 10 people in my team</v>
      </c>
      <c r="Q732" s="1"/>
    </row>
    <row r="733" spans="1:17" ht="13.2" x14ac:dyDescent="0.25">
      <c r="A733" s="2">
        <f ca="1">IFERROR(__xludf.DUMMYFUNCTION("""COMPUTED_VALUE"""),45022.4570683101)</f>
        <v>45022.457068310097</v>
      </c>
      <c r="B733" s="1" t="str">
        <f ca="1">IFERROR(__xludf.DUMMYFUNCTION("""COMPUTED_VALUE"""),"India")</f>
        <v>India</v>
      </c>
      <c r="C733" s="1">
        <f ca="1">IFERROR(__xludf.DUMMYFUNCTION("""COMPUTED_VALUE"""),122022)</f>
        <v>122022</v>
      </c>
      <c r="D733" s="3" t="str">
        <f ca="1">IFERROR(__xludf.DUMMYFUNCTION("""COMPUTED_VALUE"""),"Female")</f>
        <v>Female</v>
      </c>
      <c r="E733" s="1" t="str">
        <f ca="1">IFERROR(__xludf.DUMMYFUNCTION("""COMPUTED_VALUE"""),"Influencers who had successful careers")</f>
        <v>Influencers who had successful careers</v>
      </c>
      <c r="F733" s="1" t="str">
        <f ca="1">IFERROR(__xludf.DUMMYFUNCTION("""COMPUTED_VALUE"""),"Yes, I will earn and do that")</f>
        <v>Yes, I will earn and do that</v>
      </c>
      <c r="G733" s="1" t="str">
        <f ca="1">IFERROR(__xludf.DUMMYFUNCTION("""COMPUTED_VALUE"""),"Will work for 3 years or more")</f>
        <v>Will work for 3 years or more</v>
      </c>
      <c r="H733" s="1" t="str">
        <f ca="1">IFERROR(__xludf.DUMMYFUNCTION("""COMPUTED_VALUE"""),"No")</f>
        <v>No</v>
      </c>
      <c r="I733" s="1" t="str">
        <f ca="1">IFERROR(__xludf.DUMMYFUNCTION("""COMPUTED_VALUE"""),"Will NOT work for them")</f>
        <v>Will NOT work for them</v>
      </c>
      <c r="J733" s="1">
        <f ca="1">IFERROR(__xludf.DUMMYFUNCTION("""COMPUTED_VALUE"""),5)</f>
        <v>5</v>
      </c>
      <c r="K733" s="1" t="str">
        <f ca="1">IFERROR(__xludf.DUMMYFUNCTION("""COMPUTED_VALUE"""),"Fully Remote with Options to travel as and when needed")</f>
        <v>Fully Remote with Options to travel as and when needed</v>
      </c>
      <c r="L733" s="1" t="str">
        <f ca="1">IFERROR(__xludf.DUMMYFUNCTION("""COMPUTED_VALUE"""),"Employer who pushes your limits by enabling an learning environment, and rewards you at the end")</f>
        <v>Employer who pushes your limits by enabling an learning environment, and rewards you at the end</v>
      </c>
      <c r="M733" s="1" t="str">
        <f ca="1">IFERROR(__xludf.DUMMYFUNCTION("""COMPUTED_VALUE"""),"Self Paced Learning Portals of the Company, Instructor or Expert Learning Programs, Manager Teaching you")</f>
        <v>Self Paced Learning Portals of the Company, Instructor or Expert Learning Programs, Manager Teaching you</v>
      </c>
      <c r="N733"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733" s="1" t="str">
        <f ca="1">IFERROR(__xludf.DUMMYFUNCTION("""COMPUTED_VALUE"""),"Manager who explains what is expected, sets a goal and helps achieve it")</f>
        <v>Manager who explains what is expected, sets a goal and helps achieve it</v>
      </c>
      <c r="P733" s="1" t="str">
        <f ca="1">IFERROR(__xludf.DUMMYFUNCTION("""COMPUTED_VALUE"""),"Work with 2 to 3 people in my team")</f>
        <v>Work with 2 to 3 people in my team</v>
      </c>
      <c r="Q733" s="1"/>
    </row>
    <row r="734" spans="1:17" ht="13.2" x14ac:dyDescent="0.25">
      <c r="A734" s="2">
        <f ca="1">IFERROR(__xludf.DUMMYFUNCTION("""COMPUTED_VALUE"""),45022.4617673842)</f>
        <v>45022.4617673842</v>
      </c>
      <c r="B734" s="1" t="str">
        <f ca="1">IFERROR(__xludf.DUMMYFUNCTION("""COMPUTED_VALUE"""),"India")</f>
        <v>India</v>
      </c>
      <c r="C734" s="1">
        <f ca="1">IFERROR(__xludf.DUMMYFUNCTION("""COMPUTED_VALUE"""),110078)</f>
        <v>110078</v>
      </c>
      <c r="D734" s="3" t="str">
        <f ca="1">IFERROR(__xludf.DUMMYFUNCTION("""COMPUTED_VALUE"""),"Male")</f>
        <v>Male</v>
      </c>
      <c r="E734" s="1" t="str">
        <f ca="1">IFERROR(__xludf.DUMMYFUNCTION("""COMPUTED_VALUE"""),"Influencers who had successful careers")</f>
        <v>Influencers who had successful careers</v>
      </c>
      <c r="F734" s="1" t="str">
        <f ca="1">IFERROR(__xludf.DUMMYFUNCTION("""COMPUTED_VALUE"""),"Yes, I will earn and do that")</f>
        <v>Yes, I will earn and do that</v>
      </c>
      <c r="G734" s="1" t="str">
        <f ca="1">IFERROR(__xludf.DUMMYFUNCTION("""COMPUTED_VALUE"""),"Will work for 3 years or more")</f>
        <v>Will work for 3 years or more</v>
      </c>
      <c r="H734" s="1" t="str">
        <f ca="1">IFERROR(__xludf.DUMMYFUNCTION("""COMPUTED_VALUE"""),"Yes")</f>
        <v>Yes</v>
      </c>
      <c r="I734" s="1" t="str">
        <f ca="1">IFERROR(__xludf.DUMMYFUNCTION("""COMPUTED_VALUE"""),"Will work for them")</f>
        <v>Will work for them</v>
      </c>
      <c r="J734" s="1">
        <f ca="1">IFERROR(__xludf.DUMMYFUNCTION("""COMPUTED_VALUE"""),10)</f>
        <v>10</v>
      </c>
      <c r="K734" s="1" t="str">
        <f ca="1">IFERROR(__xludf.DUMMYFUNCTION("""COMPUTED_VALUE"""),"Fully Remote with No option to visit offices")</f>
        <v>Fully Remote with No option to visit offices</v>
      </c>
      <c r="L734" s="1" t="str">
        <f ca="1">IFERROR(__xludf.DUMMYFUNCTION("""COMPUTED_VALUE"""),"Employer who appreciates learning and enables that environment")</f>
        <v>Employer who appreciates learning and enables that environment</v>
      </c>
      <c r="M73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734"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734" s="1" t="str">
        <f ca="1">IFERROR(__xludf.DUMMYFUNCTION("""COMPUTED_VALUE"""),"Manager who sets goal and helps me achieve it")</f>
        <v>Manager who sets goal and helps me achieve it</v>
      </c>
      <c r="P734" s="1" t="str">
        <f ca="1">IFERROR(__xludf.DUMMYFUNCTION("""COMPUTED_VALUE"""),"Work with 7 to 10 or more people in my team")</f>
        <v>Work with 7 to 10 or more people in my team</v>
      </c>
      <c r="Q734" s="1"/>
    </row>
    <row r="735" spans="1:17" ht="13.2" x14ac:dyDescent="0.25">
      <c r="A735" s="2">
        <f ca="1">IFERROR(__xludf.DUMMYFUNCTION("""COMPUTED_VALUE"""),45022.4663414583)</f>
        <v>45022.466341458297</v>
      </c>
      <c r="B735" s="1" t="str">
        <f ca="1">IFERROR(__xludf.DUMMYFUNCTION("""COMPUTED_VALUE"""),"India")</f>
        <v>India</v>
      </c>
      <c r="C735" s="1">
        <f ca="1">IFERROR(__xludf.DUMMYFUNCTION("""COMPUTED_VALUE"""),442906)</f>
        <v>442906</v>
      </c>
      <c r="D735" s="3" t="str">
        <f ca="1">IFERROR(__xludf.DUMMYFUNCTION("""COMPUTED_VALUE"""),"Male")</f>
        <v>Male</v>
      </c>
      <c r="E735" s="1" t="str">
        <f ca="1">IFERROR(__xludf.DUMMYFUNCTION("""COMPUTED_VALUE"""),"My Parents")</f>
        <v>My Parents</v>
      </c>
      <c r="F735" s="1" t="str">
        <f ca="1">IFERROR(__xludf.DUMMYFUNCTION("""COMPUTED_VALUE"""),"No I would not be pursuing Higher Education outside of India")</f>
        <v>No I would not be pursuing Higher Education outside of India</v>
      </c>
      <c r="G735" s="1" t="str">
        <f ca="1">IFERROR(__xludf.DUMMYFUNCTION("""COMPUTED_VALUE"""),"This will be hard to do, but if it is the right company I would try")</f>
        <v>This will be hard to do, but if it is the right company I would try</v>
      </c>
      <c r="H735" s="1" t="str">
        <f ca="1">IFERROR(__xludf.DUMMYFUNCTION("""COMPUTED_VALUE"""),"Yes")</f>
        <v>Yes</v>
      </c>
      <c r="I735" s="1" t="str">
        <f ca="1">IFERROR(__xludf.DUMMYFUNCTION("""COMPUTED_VALUE"""),"Will work for them")</f>
        <v>Will work for them</v>
      </c>
      <c r="J735" s="1">
        <f ca="1">IFERROR(__xludf.DUMMYFUNCTION("""COMPUTED_VALUE"""),7)</f>
        <v>7</v>
      </c>
      <c r="K735" s="1" t="str">
        <f ca="1">IFERROR(__xludf.DUMMYFUNCTION("""COMPUTED_VALUE"""),"Every Day Office Environment")</f>
        <v>Every Day Office Environment</v>
      </c>
      <c r="L735" s="1" t="str">
        <f ca="1">IFERROR(__xludf.DUMMYFUNCTION("""COMPUTED_VALUE"""),"Employer who appreciates learning and enables that environment")</f>
        <v>Employer who appreciates learning and enables that environment</v>
      </c>
      <c r="M7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35"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735" s="1" t="str">
        <f ca="1">IFERROR(__xludf.DUMMYFUNCTION("""COMPUTED_VALUE"""),"Manager who clearly describes what she/he needs")</f>
        <v>Manager who clearly describes what she/he needs</v>
      </c>
      <c r="P735" s="1" t="str">
        <f ca="1">IFERROR(__xludf.DUMMYFUNCTION("""COMPUTED_VALUE"""),"Work alone, Work with 2 to 3 people in my team")</f>
        <v>Work alone, Work with 2 to 3 people in my team</v>
      </c>
      <c r="Q735" s="1"/>
    </row>
    <row r="736" spans="1:17" ht="13.2" x14ac:dyDescent="0.25">
      <c r="A736" s="2">
        <f ca="1">IFERROR(__xludf.DUMMYFUNCTION("""COMPUTED_VALUE"""),45022.4684222106)</f>
        <v>45022.468422210601</v>
      </c>
      <c r="B736" s="1" t="str">
        <f ca="1">IFERROR(__xludf.DUMMYFUNCTION("""COMPUTED_VALUE"""),"India")</f>
        <v>India</v>
      </c>
      <c r="C736" s="1">
        <f ca="1">IFERROR(__xludf.DUMMYFUNCTION("""COMPUTED_VALUE"""),122102)</f>
        <v>122102</v>
      </c>
      <c r="D736" s="3" t="str">
        <f ca="1">IFERROR(__xludf.DUMMYFUNCTION("""COMPUTED_VALUE"""),"Female")</f>
        <v>Female</v>
      </c>
      <c r="E736" s="1" t="str">
        <f ca="1">IFERROR(__xludf.DUMMYFUNCTION("""COMPUTED_VALUE"""),"My Parents")</f>
        <v>My Parents</v>
      </c>
      <c r="F736" s="1" t="str">
        <f ca="1">IFERROR(__xludf.DUMMYFUNCTION("""COMPUTED_VALUE"""),"No I would not be pursuing Higher Education outside of India")</f>
        <v>No I would not be pursuing Higher Education outside of India</v>
      </c>
      <c r="G736" s="1" t="str">
        <f ca="1">IFERROR(__xludf.DUMMYFUNCTION("""COMPUTED_VALUE"""),"Will work for 3 years or more")</f>
        <v>Will work for 3 years or more</v>
      </c>
      <c r="H736" s="1" t="str">
        <f ca="1">IFERROR(__xludf.DUMMYFUNCTION("""COMPUTED_VALUE"""),"No")</f>
        <v>No</v>
      </c>
      <c r="I736" s="1" t="str">
        <f ca="1">IFERROR(__xludf.DUMMYFUNCTION("""COMPUTED_VALUE"""),"Will NOT work for them")</f>
        <v>Will NOT work for them</v>
      </c>
      <c r="J736" s="1">
        <f ca="1">IFERROR(__xludf.DUMMYFUNCTION("""COMPUTED_VALUE"""),1)</f>
        <v>1</v>
      </c>
      <c r="K736" s="1" t="str">
        <f ca="1">IFERROR(__xludf.DUMMYFUNCTION("""COMPUTED_VALUE"""),"Every Day Office Environment")</f>
        <v>Every Day Office Environment</v>
      </c>
      <c r="L736" s="1" t="str">
        <f ca="1">IFERROR(__xludf.DUMMYFUNCTION("""COMPUTED_VALUE"""),"Employer who appreciates learning and enables that environment")</f>
        <v>Employer who appreciates learning and enables that environment</v>
      </c>
      <c r="M736"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36"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736" s="1" t="str">
        <f ca="1">IFERROR(__xludf.DUMMYFUNCTION("""COMPUTED_VALUE"""),"Manager who sets goal and helps me achieve it")</f>
        <v>Manager who sets goal and helps me achieve it</v>
      </c>
      <c r="P736" s="1" t="str">
        <f ca="1">IFERROR(__xludf.DUMMYFUNCTION("""COMPUTED_VALUE"""),"Work with 5 to 6 people in my team")</f>
        <v>Work with 5 to 6 people in my team</v>
      </c>
      <c r="Q736" s="1"/>
    </row>
    <row r="737" spans="1:17" ht="13.2" x14ac:dyDescent="0.25">
      <c r="A737" s="2">
        <f ca="1">IFERROR(__xludf.DUMMYFUNCTION("""COMPUTED_VALUE"""),45022.4712688888)</f>
        <v>45022.471268888803</v>
      </c>
      <c r="B737" s="1" t="str">
        <f ca="1">IFERROR(__xludf.DUMMYFUNCTION("""COMPUTED_VALUE"""),"India")</f>
        <v>India</v>
      </c>
      <c r="C737" s="1">
        <f ca="1">IFERROR(__xludf.DUMMYFUNCTION("""COMPUTED_VALUE"""),110022)</f>
        <v>110022</v>
      </c>
      <c r="D737" s="3" t="str">
        <f ca="1">IFERROR(__xludf.DUMMYFUNCTION("""COMPUTED_VALUE"""),"Female")</f>
        <v>Female</v>
      </c>
      <c r="E737" s="1" t="str">
        <f ca="1">IFERROR(__xludf.DUMMYFUNCTION("""COMPUTED_VALUE"""),"Influencers who had successful careers")</f>
        <v>Influencers who had successful careers</v>
      </c>
      <c r="F737" s="1" t="str">
        <f ca="1">IFERROR(__xludf.DUMMYFUNCTION("""COMPUTED_VALUE"""),"No, But if someone could bare the cost I will")</f>
        <v>No, But if someone could bare the cost I will</v>
      </c>
      <c r="G737" s="1" t="str">
        <f ca="1">IFERROR(__xludf.DUMMYFUNCTION("""COMPUTED_VALUE"""),"Will work for 3 years or more")</f>
        <v>Will work for 3 years or more</v>
      </c>
      <c r="H737" s="1" t="str">
        <f ca="1">IFERROR(__xludf.DUMMYFUNCTION("""COMPUTED_VALUE"""),"Yes")</f>
        <v>Yes</v>
      </c>
      <c r="I737" s="1" t="str">
        <f ca="1">IFERROR(__xludf.DUMMYFUNCTION("""COMPUTED_VALUE"""),"Will work for them")</f>
        <v>Will work for them</v>
      </c>
      <c r="J737" s="1">
        <f ca="1">IFERROR(__xludf.DUMMYFUNCTION("""COMPUTED_VALUE"""),10)</f>
        <v>10</v>
      </c>
      <c r="K737" s="1" t="str">
        <f ca="1">IFERROR(__xludf.DUMMYFUNCTION("""COMPUTED_VALUE"""),"Fully Remote with No option to visit offices")</f>
        <v>Fully Remote with No option to visit offices</v>
      </c>
      <c r="L737" s="1" t="str">
        <f ca="1">IFERROR(__xludf.DUMMYFUNCTION("""COMPUTED_VALUE"""),"Employer who appreciates learning and enables that environment")</f>
        <v>Employer who appreciates learning and enables that environment</v>
      </c>
      <c r="M737" s="1" t="str">
        <f ca="1">IFERROR(__xludf.DUMMYFUNCTION("""COMPUTED_VALUE"""),"Self Paced Learning Portals of the Company, Learning by observing others, Manager Teaching you")</f>
        <v>Self Paced Learning Portals of the Company, Learning by observing others, Manager Teaching you</v>
      </c>
      <c r="N737" s="1" t="str">
        <f ca="1">IFERROR(__xludf.DUMMYFUNCTION("""COMPUTED_VALUE"""),"Design and Creative strategy in any company, Business Operations in any organization, Become a content Creator in some platform, Manufacturing / Oil and Gas/ Construction / Hard Physical Work related")</f>
        <v>Design and Creative strategy in any company, Business Operations in any organization, Become a content Creator in some platform, Manufacturing / Oil and Gas/ Construction / Hard Physical Work related</v>
      </c>
      <c r="O737" s="1" t="str">
        <f ca="1">IFERROR(__xludf.DUMMYFUNCTION("""COMPUTED_VALUE"""),"Manager who clearly describes what she/he needs")</f>
        <v>Manager who clearly describes what she/he needs</v>
      </c>
      <c r="P737" s="1" t="str">
        <f ca="1">IFERROR(__xludf.DUMMYFUNCTION("""COMPUTED_VALUE"""),"Work with 7 to 10 or more people in my team")</f>
        <v>Work with 7 to 10 or more people in my team</v>
      </c>
      <c r="Q737" s="1"/>
    </row>
    <row r="738" spans="1:17" ht="13.2" x14ac:dyDescent="0.25">
      <c r="A738" s="2">
        <f ca="1">IFERROR(__xludf.DUMMYFUNCTION("""COMPUTED_VALUE"""),45022.476614155)</f>
        <v>45022.476614154999</v>
      </c>
      <c r="B738" s="1" t="str">
        <f ca="1">IFERROR(__xludf.DUMMYFUNCTION("""COMPUTED_VALUE"""),"India")</f>
        <v>India</v>
      </c>
      <c r="C738" s="1">
        <f ca="1">IFERROR(__xludf.DUMMYFUNCTION("""COMPUTED_VALUE"""),110030)</f>
        <v>110030</v>
      </c>
      <c r="D738" s="3" t="str">
        <f ca="1">IFERROR(__xludf.DUMMYFUNCTION("""COMPUTED_VALUE"""),"Male")</f>
        <v>Male</v>
      </c>
      <c r="E738" s="1" t="str">
        <f ca="1">IFERROR(__xludf.DUMMYFUNCTION("""COMPUTED_VALUE"""),"My Parents")</f>
        <v>My Parents</v>
      </c>
      <c r="F738" s="1" t="str">
        <f ca="1">IFERROR(__xludf.DUMMYFUNCTION("""COMPUTED_VALUE"""),"Yes, I will earn and do that")</f>
        <v>Yes, I will earn and do that</v>
      </c>
      <c r="G738" s="1" t="str">
        <f ca="1">IFERROR(__xludf.DUMMYFUNCTION("""COMPUTED_VALUE"""),"This will be hard to do, but if it is the right company I would try")</f>
        <v>This will be hard to do, but if it is the right company I would try</v>
      </c>
      <c r="H738" s="1" t="str">
        <f ca="1">IFERROR(__xludf.DUMMYFUNCTION("""COMPUTED_VALUE"""),"No")</f>
        <v>No</v>
      </c>
      <c r="I738" s="1" t="str">
        <f ca="1">IFERROR(__xludf.DUMMYFUNCTION("""COMPUTED_VALUE"""),"Will NOT work for them")</f>
        <v>Will NOT work for them</v>
      </c>
      <c r="J738" s="1">
        <f ca="1">IFERROR(__xludf.DUMMYFUNCTION("""COMPUTED_VALUE"""),8)</f>
        <v>8</v>
      </c>
      <c r="K738" s="1" t="str">
        <f ca="1">IFERROR(__xludf.DUMMYFUNCTION("""COMPUTED_VALUE"""),"Hybrid Working Environment with less than 3 days a month at office")</f>
        <v>Hybrid Working Environment with less than 3 days a month at office</v>
      </c>
      <c r="L738" s="1" t="str">
        <f ca="1">IFERROR(__xludf.DUMMYFUNCTION("""COMPUTED_VALUE"""),"Employer who appreciates learning and enables that environment")</f>
        <v>Employer who appreciates learning and enables that environment</v>
      </c>
      <c r="M7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38" s="1" t="str">
        <f ca="1">IFERROR(__xludf.DUMMYFUNCTION("""COMPUTED_VALUE"""),"Manage and drive End-to-End Projects or Products, Build and develop a Team, Work as a freelancer and do my thing my way, Become a content Creator in some platform")</f>
        <v>Manage and drive End-to-End Projects or Products, Build and develop a Team, Work as a freelancer and do my thing my way, Become a content Creator in some platform</v>
      </c>
      <c r="O738" s="1" t="str">
        <f ca="1">IFERROR(__xludf.DUMMYFUNCTION("""COMPUTED_VALUE"""),"Manager who clearly describes what she/he needs")</f>
        <v>Manager who clearly describes what she/he needs</v>
      </c>
      <c r="P738" s="1" t="str">
        <f ca="1">IFERROR(__xludf.DUMMYFUNCTION("""COMPUTED_VALUE"""),"Work with 2 to 3 people in my team, Work with 5 to 6 people in my team")</f>
        <v>Work with 2 to 3 people in my team, Work with 5 to 6 people in my team</v>
      </c>
      <c r="Q738" s="1"/>
    </row>
    <row r="739" spans="1:17" ht="13.2" x14ac:dyDescent="0.25">
      <c r="A739" s="2">
        <f ca="1">IFERROR(__xludf.DUMMYFUNCTION("""COMPUTED_VALUE"""),45022.4806287847)</f>
        <v>45022.480628784702</v>
      </c>
      <c r="B739" s="1" t="str">
        <f ca="1">IFERROR(__xludf.DUMMYFUNCTION("""COMPUTED_VALUE"""),"India")</f>
        <v>India</v>
      </c>
      <c r="C739" s="1">
        <f ca="1">IFERROR(__xludf.DUMMYFUNCTION("""COMPUTED_VALUE"""),442902)</f>
        <v>442902</v>
      </c>
      <c r="D739" s="3" t="str">
        <f ca="1">IFERROR(__xludf.DUMMYFUNCTION("""COMPUTED_VALUE"""),"Male")</f>
        <v>Male</v>
      </c>
      <c r="E739" s="1" t="str">
        <f ca="1">IFERROR(__xludf.DUMMYFUNCTION("""COMPUTED_VALUE"""),"People from my circle, but not family members")</f>
        <v>People from my circle, but not family members</v>
      </c>
      <c r="F739" s="1" t="str">
        <f ca="1">IFERROR(__xludf.DUMMYFUNCTION("""COMPUTED_VALUE"""),"Yes, I will earn and do that")</f>
        <v>Yes, I will earn and do that</v>
      </c>
      <c r="G739" s="1" t="str">
        <f ca="1">IFERROR(__xludf.DUMMYFUNCTION("""COMPUTED_VALUE"""),"No way")</f>
        <v>No way</v>
      </c>
      <c r="H739" s="1" t="str">
        <f ca="1">IFERROR(__xludf.DUMMYFUNCTION("""COMPUTED_VALUE"""),"No")</f>
        <v>No</v>
      </c>
      <c r="I739" s="1" t="str">
        <f ca="1">IFERROR(__xludf.DUMMYFUNCTION("""COMPUTED_VALUE"""),"Will NOT work for them")</f>
        <v>Will NOT work for them</v>
      </c>
      <c r="J739" s="1">
        <f ca="1">IFERROR(__xludf.DUMMYFUNCTION("""COMPUTED_VALUE"""),1)</f>
        <v>1</v>
      </c>
      <c r="K739" s="1" t="str">
        <f ca="1">IFERROR(__xludf.DUMMYFUNCTION("""COMPUTED_VALUE"""),"Fully Remote with No option to visit offices")</f>
        <v>Fully Remote with No option to visit offices</v>
      </c>
      <c r="L739" s="1" t="str">
        <f ca="1">IFERROR(__xludf.DUMMYFUNCTION("""COMPUTED_VALUE"""),"Employer who rewards learning and enables that environment")</f>
        <v>Employer who rewards learning and enables that environment</v>
      </c>
      <c r="M73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39"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739" s="1" t="str">
        <f ca="1">IFERROR(__xludf.DUMMYFUNCTION("""COMPUTED_VALUE"""),"Manager who explains what is expected, sets a goal and helps achieve it")</f>
        <v>Manager who explains what is expected, sets a goal and helps achieve it</v>
      </c>
      <c r="P739" s="1" t="str">
        <f ca="1">IFERROR(__xludf.DUMMYFUNCTION("""COMPUTED_VALUE"""),"Work with 5 to 6 people in my team")</f>
        <v>Work with 5 to 6 people in my team</v>
      </c>
      <c r="Q739" s="1"/>
    </row>
    <row r="740" spans="1:17" ht="13.2" x14ac:dyDescent="0.25">
      <c r="A740" s="2">
        <f ca="1">IFERROR(__xludf.DUMMYFUNCTION("""COMPUTED_VALUE"""),45022.486580787)</f>
        <v>45022.486580787001</v>
      </c>
      <c r="B740" s="1" t="str">
        <f ca="1">IFERROR(__xludf.DUMMYFUNCTION("""COMPUTED_VALUE"""),"India")</f>
        <v>India</v>
      </c>
      <c r="C740" s="1">
        <f ca="1">IFERROR(__xludf.DUMMYFUNCTION("""COMPUTED_VALUE"""),201014)</f>
        <v>201014</v>
      </c>
      <c r="D740" s="3" t="str">
        <f ca="1">IFERROR(__xludf.DUMMYFUNCTION("""COMPUTED_VALUE"""),"Male")</f>
        <v>Male</v>
      </c>
      <c r="E740" s="1" t="str">
        <f ca="1">IFERROR(__xludf.DUMMYFUNCTION("""COMPUTED_VALUE"""),"My Parents")</f>
        <v>My Parents</v>
      </c>
      <c r="F740" s="1" t="str">
        <f ca="1">IFERROR(__xludf.DUMMYFUNCTION("""COMPUTED_VALUE"""),"Yes, I will earn and do that")</f>
        <v>Yes, I will earn and do that</v>
      </c>
      <c r="G740" s="1" t="str">
        <f ca="1">IFERROR(__xludf.DUMMYFUNCTION("""COMPUTED_VALUE"""),"This will be hard to do, but if it is the right company I would try")</f>
        <v>This will be hard to do, but if it is the right company I would try</v>
      </c>
      <c r="H740" s="1" t="str">
        <f ca="1">IFERROR(__xludf.DUMMYFUNCTION("""COMPUTED_VALUE"""),"Yes")</f>
        <v>Yes</v>
      </c>
      <c r="I740" s="1" t="str">
        <f ca="1">IFERROR(__xludf.DUMMYFUNCTION("""COMPUTED_VALUE"""),"Will NOT work for them")</f>
        <v>Will NOT work for them</v>
      </c>
      <c r="J740" s="1">
        <f ca="1">IFERROR(__xludf.DUMMYFUNCTION("""COMPUTED_VALUE"""),8)</f>
        <v>8</v>
      </c>
      <c r="K740" s="1" t="str">
        <f ca="1">IFERROR(__xludf.DUMMYFUNCTION("""COMPUTED_VALUE"""),"Hybrid Working Environment with less than 3 days a month at office")</f>
        <v>Hybrid Working Environment with less than 3 days a month at office</v>
      </c>
      <c r="L740" s="1" t="str">
        <f ca="1">IFERROR(__xludf.DUMMYFUNCTION("""COMPUTED_VALUE"""),"Employer who appreciates learning and enables that environment")</f>
        <v>Employer who appreciates learning and enables that environment</v>
      </c>
      <c r="M74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740" s="1" t="str">
        <f ca="1">IFERROR(__xludf.DUMMYFUNCTION("""COMPUTED_VALUE"""),"Manager who clearly describes what she/he needs")</f>
        <v>Manager who clearly describes what she/he needs</v>
      </c>
      <c r="P740" s="1" t="str">
        <f ca="1">IFERROR(__xludf.DUMMYFUNCTION("""COMPUTED_VALUE"""),"Work with 5 to 6 people in my team")</f>
        <v>Work with 5 to 6 people in my team</v>
      </c>
      <c r="Q740" s="1"/>
    </row>
    <row r="741" spans="1:17" ht="13.2" x14ac:dyDescent="0.25">
      <c r="A741" s="2">
        <f ca="1">IFERROR(__xludf.DUMMYFUNCTION("""COMPUTED_VALUE"""),45022.4869817361)</f>
        <v>45022.486981736103</v>
      </c>
      <c r="B741" s="1" t="str">
        <f ca="1">IFERROR(__xludf.DUMMYFUNCTION("""COMPUTED_VALUE"""),"India")</f>
        <v>India</v>
      </c>
      <c r="C741" s="1">
        <f ca="1">IFERROR(__xludf.DUMMYFUNCTION("""COMPUTED_VALUE"""),110040)</f>
        <v>110040</v>
      </c>
      <c r="D741" s="3" t="str">
        <f ca="1">IFERROR(__xludf.DUMMYFUNCTION("""COMPUTED_VALUE"""),"Male")</f>
        <v>Male</v>
      </c>
      <c r="E741" s="1" t="str">
        <f ca="1">IFERROR(__xludf.DUMMYFUNCTION("""COMPUTED_VALUE"""),"My Parents")</f>
        <v>My Parents</v>
      </c>
      <c r="F741" s="1" t="str">
        <f ca="1">IFERROR(__xludf.DUMMYFUNCTION("""COMPUTED_VALUE"""),"Yes, I will earn and do that")</f>
        <v>Yes, I will earn and do that</v>
      </c>
      <c r="G741" s="1" t="str">
        <f ca="1">IFERROR(__xludf.DUMMYFUNCTION("""COMPUTED_VALUE"""),"Will work for 3 years or more")</f>
        <v>Will work for 3 years or more</v>
      </c>
      <c r="H741" s="1" t="str">
        <f ca="1">IFERROR(__xludf.DUMMYFUNCTION("""COMPUTED_VALUE"""),"No")</f>
        <v>No</v>
      </c>
      <c r="I741" s="1" t="str">
        <f ca="1">IFERROR(__xludf.DUMMYFUNCTION("""COMPUTED_VALUE"""),"Will NOT work for them")</f>
        <v>Will NOT work for them</v>
      </c>
      <c r="J741" s="1">
        <f ca="1">IFERROR(__xludf.DUMMYFUNCTION("""COMPUTED_VALUE"""),5)</f>
        <v>5</v>
      </c>
      <c r="K741" s="1" t="str">
        <f ca="1">IFERROR(__xludf.DUMMYFUNCTION("""COMPUTED_VALUE"""),"Hybrid Working Environment with less than 3 days a month at office")</f>
        <v>Hybrid Working Environment with less than 3 days a month at office</v>
      </c>
      <c r="L741" s="1" t="str">
        <f ca="1">IFERROR(__xludf.DUMMYFUNCTION("""COMPUTED_VALUE"""),"Employer who pushes your limits by enabling an learning environment, and rewards you at the end")</f>
        <v>Employer who pushes your limits by enabling an learning environment, and rewards you at the end</v>
      </c>
      <c r="M74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4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41" s="1" t="str">
        <f ca="1">IFERROR(__xludf.DUMMYFUNCTION("""COMPUTED_VALUE"""),"Manager who sets targets and expects me to achieve it")</f>
        <v>Manager who sets targets and expects me to achieve it</v>
      </c>
      <c r="P741" s="1" t="str">
        <f ca="1">IFERROR(__xludf.DUMMYFUNCTION("""COMPUTED_VALUE"""),"Work with 7 to 10 or more people in my team")</f>
        <v>Work with 7 to 10 or more people in my team</v>
      </c>
      <c r="Q741" s="1"/>
    </row>
    <row r="742" spans="1:17" ht="13.2" x14ac:dyDescent="0.25">
      <c r="A742" s="2">
        <f ca="1">IFERROR(__xludf.DUMMYFUNCTION("""COMPUTED_VALUE"""),45022.4883401736)</f>
        <v>45022.488340173601</v>
      </c>
      <c r="B742" s="1" t="str">
        <f ca="1">IFERROR(__xludf.DUMMYFUNCTION("""COMPUTED_VALUE"""),"India")</f>
        <v>India</v>
      </c>
      <c r="C742" s="1">
        <f ca="1">IFERROR(__xludf.DUMMYFUNCTION("""COMPUTED_VALUE"""),201301)</f>
        <v>201301</v>
      </c>
      <c r="D742" s="3" t="str">
        <f ca="1">IFERROR(__xludf.DUMMYFUNCTION("""COMPUTED_VALUE"""),"Male")</f>
        <v>Male</v>
      </c>
      <c r="E742" s="1" t="str">
        <f ca="1">IFERROR(__xludf.DUMMYFUNCTION("""COMPUTED_VALUE"""),"Influencers who had successful careers")</f>
        <v>Influencers who had successful careers</v>
      </c>
      <c r="F742" s="1" t="str">
        <f ca="1">IFERROR(__xludf.DUMMYFUNCTION("""COMPUTED_VALUE"""),"Yes, I will earn and do that")</f>
        <v>Yes, I will earn and do that</v>
      </c>
      <c r="G742" s="1" t="str">
        <f ca="1">IFERROR(__xludf.DUMMYFUNCTION("""COMPUTED_VALUE"""),"Will work for 3 years or more")</f>
        <v>Will work for 3 years or more</v>
      </c>
      <c r="H742" s="1" t="str">
        <f ca="1">IFERROR(__xludf.DUMMYFUNCTION("""COMPUTED_VALUE"""),"No")</f>
        <v>No</v>
      </c>
      <c r="I742" s="1" t="str">
        <f ca="1">IFERROR(__xludf.DUMMYFUNCTION("""COMPUTED_VALUE"""),"Will NOT work for them")</f>
        <v>Will NOT work for them</v>
      </c>
      <c r="J742" s="1">
        <f ca="1">IFERROR(__xludf.DUMMYFUNCTION("""COMPUTED_VALUE"""),1)</f>
        <v>1</v>
      </c>
      <c r="K742" s="1" t="str">
        <f ca="1">IFERROR(__xludf.DUMMYFUNCTION("""COMPUTED_VALUE"""),"Fully Remote with Options to travel as and when needed")</f>
        <v>Fully Remote with Options to travel as and when needed</v>
      </c>
      <c r="L742" s="1" t="str">
        <f ca="1">IFERROR(__xludf.DUMMYFUNCTION("""COMPUTED_VALUE"""),"Employer who pushes your limits by enabling an learning environment, and rewards you at the end")</f>
        <v>Employer who pushes your limits by enabling an learning environment, and rewards you at the end</v>
      </c>
      <c r="M74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4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42" s="1" t="str">
        <f ca="1">IFERROR(__xludf.DUMMYFUNCTION("""COMPUTED_VALUE"""),"Manager who explains what is expected, sets a goal and helps achieve it")</f>
        <v>Manager who explains what is expected, sets a goal and helps achieve it</v>
      </c>
      <c r="P742" s="1" t="str">
        <f ca="1">IFERROR(__xludf.DUMMYFUNCTION("""COMPUTED_VALUE"""),"Work with more than 10 people in my team")</f>
        <v>Work with more than 10 people in my team</v>
      </c>
      <c r="Q742" s="1"/>
    </row>
    <row r="743" spans="1:17" ht="13.2" x14ac:dyDescent="0.25">
      <c r="A743" s="2">
        <f ca="1">IFERROR(__xludf.DUMMYFUNCTION("""COMPUTED_VALUE"""),45022.4923237268)</f>
        <v>45022.492323726801</v>
      </c>
      <c r="B743" s="1" t="str">
        <f ca="1">IFERROR(__xludf.DUMMYFUNCTION("""COMPUTED_VALUE"""),"India")</f>
        <v>India</v>
      </c>
      <c r="C743" s="1">
        <f ca="1">IFERROR(__xludf.DUMMYFUNCTION("""COMPUTED_VALUE"""),110066)</f>
        <v>110066</v>
      </c>
      <c r="D743" s="3" t="str">
        <f ca="1">IFERROR(__xludf.DUMMYFUNCTION("""COMPUTED_VALUE"""),"Female")</f>
        <v>Female</v>
      </c>
      <c r="E743" s="1" t="str">
        <f ca="1">IFERROR(__xludf.DUMMYFUNCTION("""COMPUTED_VALUE"""),"People from my circle, but not family members")</f>
        <v>People from my circle, but not family members</v>
      </c>
      <c r="F743" s="1" t="str">
        <f ca="1">IFERROR(__xludf.DUMMYFUNCTION("""COMPUTED_VALUE"""),"No I would not be pursuing Higher Education outside of India")</f>
        <v>No I would not be pursuing Higher Education outside of India</v>
      </c>
      <c r="G743" s="1" t="str">
        <f ca="1">IFERROR(__xludf.DUMMYFUNCTION("""COMPUTED_VALUE"""),"Will work for 3 years or more")</f>
        <v>Will work for 3 years or more</v>
      </c>
      <c r="H743" s="1" t="str">
        <f ca="1">IFERROR(__xludf.DUMMYFUNCTION("""COMPUTED_VALUE"""),"No")</f>
        <v>No</v>
      </c>
      <c r="I743" s="1" t="str">
        <f ca="1">IFERROR(__xludf.DUMMYFUNCTION("""COMPUTED_VALUE"""),"Will NOT work for them")</f>
        <v>Will NOT work for them</v>
      </c>
      <c r="J743" s="1">
        <f ca="1">IFERROR(__xludf.DUMMYFUNCTION("""COMPUTED_VALUE"""),2)</f>
        <v>2</v>
      </c>
      <c r="K743" s="1" t="str">
        <f ca="1">IFERROR(__xludf.DUMMYFUNCTION("""COMPUTED_VALUE"""),"Hybrid Working Environment with more than 15 days a month at office")</f>
        <v>Hybrid Working Environment with more than 15 days a month at office</v>
      </c>
      <c r="L743" s="1" t="str">
        <f ca="1">IFERROR(__xludf.DUMMYFUNCTION("""COMPUTED_VALUE"""),"Employer who appreciates learning and enables that environment")</f>
        <v>Employer who appreciates learning and enables that environment</v>
      </c>
      <c r="M7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743" s="1" t="str">
        <f ca="1">IFERROR(__xludf.DUMMYFUNCTION("""COMPUTED_VALUE"""),"Manager who clearly describes what she/he needs")</f>
        <v>Manager who clearly describes what she/he needs</v>
      </c>
      <c r="P743" s="1" t="str">
        <f ca="1">IFERROR(__xludf.DUMMYFUNCTION("""COMPUTED_VALUE"""),"Work with 2 to 3 people in my team")</f>
        <v>Work with 2 to 3 people in my team</v>
      </c>
      <c r="Q743" s="1"/>
    </row>
    <row r="744" spans="1:17" ht="13.2" x14ac:dyDescent="0.25">
      <c r="A744" s="2">
        <f ca="1">IFERROR(__xludf.DUMMYFUNCTION("""COMPUTED_VALUE"""),45022.4941508564)</f>
        <v>45022.494150856401</v>
      </c>
      <c r="B744" s="1" t="str">
        <f ca="1">IFERROR(__xludf.DUMMYFUNCTION("""COMPUTED_VALUE"""),"India")</f>
        <v>India</v>
      </c>
      <c r="C744" s="1">
        <f ca="1">IFERROR(__xludf.DUMMYFUNCTION("""COMPUTED_VALUE"""),342001)</f>
        <v>342001</v>
      </c>
      <c r="D744" s="3" t="str">
        <f ca="1">IFERROR(__xludf.DUMMYFUNCTION("""COMPUTED_VALUE"""),"Female")</f>
        <v>Female</v>
      </c>
      <c r="E744" s="1" t="str">
        <f ca="1">IFERROR(__xludf.DUMMYFUNCTION("""COMPUTED_VALUE"""),"People who have changed the world for better")</f>
        <v>People who have changed the world for better</v>
      </c>
      <c r="F744" s="1" t="str">
        <f ca="1">IFERROR(__xludf.DUMMYFUNCTION("""COMPUTED_VALUE"""),"Yes, I will earn and do that")</f>
        <v>Yes, I will earn and do that</v>
      </c>
      <c r="G744" s="1" t="str">
        <f ca="1">IFERROR(__xludf.DUMMYFUNCTION("""COMPUTED_VALUE"""),"This will be hard to do, but if it is the right company I would try")</f>
        <v>This will be hard to do, but if it is the right company I would try</v>
      </c>
      <c r="H744" s="1" t="str">
        <f ca="1">IFERROR(__xludf.DUMMYFUNCTION("""COMPUTED_VALUE"""),"No")</f>
        <v>No</v>
      </c>
      <c r="I744" s="1" t="str">
        <f ca="1">IFERROR(__xludf.DUMMYFUNCTION("""COMPUTED_VALUE"""),"Will NOT work for them")</f>
        <v>Will NOT work for them</v>
      </c>
      <c r="J744" s="1">
        <f ca="1">IFERROR(__xludf.DUMMYFUNCTION("""COMPUTED_VALUE"""),4)</f>
        <v>4</v>
      </c>
      <c r="K744" s="1" t="str">
        <f ca="1">IFERROR(__xludf.DUMMYFUNCTION("""COMPUTED_VALUE"""),"Hybrid Working Environment with more than 15 days a month at office")</f>
        <v>Hybrid Working Environment with more than 15 days a month at office</v>
      </c>
      <c r="L744" s="1" t="str">
        <f ca="1">IFERROR(__xludf.DUMMYFUNCTION("""COMPUTED_VALUE"""),"Employer who rewards learning and enables that environment")</f>
        <v>Employer who rewards learning and enables that environment</v>
      </c>
      <c r="M74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744" s="1" t="str">
        <f ca="1">IFERROR(__xludf.DUMMYFUNCTION("""COMPUTED_VALUE"""),"Manager who explains what is expected, sets a goal and helps achieve it")</f>
        <v>Manager who explains what is expected, sets a goal and helps achieve it</v>
      </c>
      <c r="P744" s="1" t="str">
        <f ca="1">IFERROR(__xludf.DUMMYFUNCTION("""COMPUTED_VALUE"""),"Work with more than 10 people in my team")</f>
        <v>Work with more than 10 people in my team</v>
      </c>
      <c r="Q744" s="1"/>
    </row>
    <row r="745" spans="1:17" ht="13.2" x14ac:dyDescent="0.25">
      <c r="A745" s="2">
        <f ca="1">IFERROR(__xludf.DUMMYFUNCTION("""COMPUTED_VALUE"""),45022.499346331)</f>
        <v>45022.499346331002</v>
      </c>
      <c r="B745" s="1" t="str">
        <f ca="1">IFERROR(__xludf.DUMMYFUNCTION("""COMPUTED_VALUE"""),"India")</f>
        <v>India</v>
      </c>
      <c r="C745" s="1">
        <f ca="1">IFERROR(__xludf.DUMMYFUNCTION("""COMPUTED_VALUE"""),201301)</f>
        <v>201301</v>
      </c>
      <c r="D745" s="3" t="str">
        <f ca="1">IFERROR(__xludf.DUMMYFUNCTION("""COMPUTED_VALUE"""),"Male")</f>
        <v>Male</v>
      </c>
      <c r="E745" s="1" t="str">
        <f ca="1">IFERROR(__xludf.DUMMYFUNCTION("""COMPUTED_VALUE"""),"My Parents")</f>
        <v>My Parents</v>
      </c>
      <c r="F745" s="1" t="str">
        <f ca="1">IFERROR(__xludf.DUMMYFUNCTION("""COMPUTED_VALUE"""),"No, But if someone could bare the cost I will")</f>
        <v>No, But if someone could bare the cost I will</v>
      </c>
      <c r="G745" s="1" t="str">
        <f ca="1">IFERROR(__xludf.DUMMYFUNCTION("""COMPUTED_VALUE"""),"Will work for 3 years or more")</f>
        <v>Will work for 3 years or more</v>
      </c>
      <c r="H745" s="1" t="str">
        <f ca="1">IFERROR(__xludf.DUMMYFUNCTION("""COMPUTED_VALUE"""),"No")</f>
        <v>No</v>
      </c>
      <c r="I745" s="1" t="str">
        <f ca="1">IFERROR(__xludf.DUMMYFUNCTION("""COMPUTED_VALUE"""),"Will NOT work for them")</f>
        <v>Will NOT work for them</v>
      </c>
      <c r="J745" s="1">
        <f ca="1">IFERROR(__xludf.DUMMYFUNCTION("""COMPUTED_VALUE"""),6)</f>
        <v>6</v>
      </c>
      <c r="K745" s="1" t="str">
        <f ca="1">IFERROR(__xludf.DUMMYFUNCTION("""COMPUTED_VALUE"""),"Hybrid Working Environment with more than 15 days a month at office")</f>
        <v>Hybrid Working Environment with more than 15 days a month at office</v>
      </c>
      <c r="L745" s="1" t="str">
        <f ca="1">IFERROR(__xludf.DUMMYFUNCTION("""COMPUTED_VALUE"""),"Employer who rewards learning and enables that environment")</f>
        <v>Employer who rewards learning and enables that environment</v>
      </c>
      <c r="M74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4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745" s="1" t="str">
        <f ca="1">IFERROR(__xludf.DUMMYFUNCTION("""COMPUTED_VALUE"""),"Manager who explains what is expected, sets a goal and helps achieve it")</f>
        <v>Manager who explains what is expected, sets a goal and helps achieve it</v>
      </c>
      <c r="P745" s="1" t="str">
        <f ca="1">IFERROR(__xludf.DUMMYFUNCTION("""COMPUTED_VALUE"""),"Work alone, Work with 2 to 3 people in my team")</f>
        <v>Work alone, Work with 2 to 3 people in my team</v>
      </c>
      <c r="Q745" s="1"/>
    </row>
    <row r="746" spans="1:17" ht="13.2" x14ac:dyDescent="0.25">
      <c r="A746" s="2">
        <f ca="1">IFERROR(__xludf.DUMMYFUNCTION("""COMPUTED_VALUE"""),45022.5078878125)</f>
        <v>45022.507887812499</v>
      </c>
      <c r="B746" s="1" t="str">
        <f ca="1">IFERROR(__xludf.DUMMYFUNCTION("""COMPUTED_VALUE"""),"India")</f>
        <v>India</v>
      </c>
      <c r="C746" s="1">
        <f ca="1">IFERROR(__xludf.DUMMYFUNCTION("""COMPUTED_VALUE"""),110045)</f>
        <v>110045</v>
      </c>
      <c r="D746" s="3" t="str">
        <f ca="1">IFERROR(__xludf.DUMMYFUNCTION("""COMPUTED_VALUE"""),"Male")</f>
        <v>Male</v>
      </c>
      <c r="E746" s="1" t="str">
        <f ca="1">IFERROR(__xludf.DUMMYFUNCTION("""COMPUTED_VALUE"""),"My Parents")</f>
        <v>My Parents</v>
      </c>
      <c r="F746" s="1" t="str">
        <f ca="1">IFERROR(__xludf.DUMMYFUNCTION("""COMPUTED_VALUE"""),"No I would not be pursuing Higher Education outside of India")</f>
        <v>No I would not be pursuing Higher Education outside of India</v>
      </c>
      <c r="G746" s="1" t="str">
        <f ca="1">IFERROR(__xludf.DUMMYFUNCTION("""COMPUTED_VALUE"""),"Will work for 3 years or more")</f>
        <v>Will work for 3 years or more</v>
      </c>
      <c r="H746" s="1" t="str">
        <f ca="1">IFERROR(__xludf.DUMMYFUNCTION("""COMPUTED_VALUE"""),"No")</f>
        <v>No</v>
      </c>
      <c r="I746" s="1" t="str">
        <f ca="1">IFERROR(__xludf.DUMMYFUNCTION("""COMPUTED_VALUE"""),"Will NOT work for them")</f>
        <v>Will NOT work for them</v>
      </c>
      <c r="J746" s="1">
        <f ca="1">IFERROR(__xludf.DUMMYFUNCTION("""COMPUTED_VALUE"""),1)</f>
        <v>1</v>
      </c>
      <c r="K746" s="1" t="str">
        <f ca="1">IFERROR(__xludf.DUMMYFUNCTION("""COMPUTED_VALUE"""),"Every Day Office Environment")</f>
        <v>Every Day Office Environment</v>
      </c>
      <c r="L746" s="1" t="str">
        <f ca="1">IFERROR(__xludf.DUMMYFUNCTION("""COMPUTED_VALUE"""),"Employer who pushes your limits by enabling an learning environment, and rewards you at the end")</f>
        <v>Employer who pushes your limits by enabling an learning environment, and rewards you at the end</v>
      </c>
      <c r="M74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746"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746" s="1" t="str">
        <f ca="1">IFERROR(__xludf.DUMMYFUNCTION("""COMPUTED_VALUE"""),"Manager who sets goal and helps me achieve it")</f>
        <v>Manager who sets goal and helps me achieve it</v>
      </c>
      <c r="P746" s="1" t="str">
        <f ca="1">IFERROR(__xludf.DUMMYFUNCTION("""COMPUTED_VALUE"""),"Work with 2 to 3 people in my team")</f>
        <v>Work with 2 to 3 people in my team</v>
      </c>
      <c r="Q746" s="1"/>
    </row>
    <row r="747" spans="1:17" ht="13.2" x14ac:dyDescent="0.25">
      <c r="A747" s="2">
        <f ca="1">IFERROR(__xludf.DUMMYFUNCTION("""COMPUTED_VALUE"""),45022.5094477777)</f>
        <v>45022.509447777702</v>
      </c>
      <c r="B747" s="1" t="str">
        <f ca="1">IFERROR(__xludf.DUMMYFUNCTION("""COMPUTED_VALUE"""),"India")</f>
        <v>India</v>
      </c>
      <c r="C747" s="1">
        <f ca="1">IFERROR(__xludf.DUMMYFUNCTION("""COMPUTED_VALUE"""),855107)</f>
        <v>855107</v>
      </c>
      <c r="D747" s="3" t="str">
        <f ca="1">IFERROR(__xludf.DUMMYFUNCTION("""COMPUTED_VALUE"""),"Male")</f>
        <v>Male</v>
      </c>
      <c r="E747" s="1" t="str">
        <f ca="1">IFERROR(__xludf.DUMMYFUNCTION("""COMPUTED_VALUE"""),"Social Media like LinkedIn")</f>
        <v>Social Media like LinkedIn</v>
      </c>
      <c r="F747" s="1" t="str">
        <f ca="1">IFERROR(__xludf.DUMMYFUNCTION("""COMPUTED_VALUE"""),"No I would not be pursuing Higher Education outside of India")</f>
        <v>No I would not be pursuing Higher Education outside of India</v>
      </c>
      <c r="G747" s="1" t="str">
        <f ca="1">IFERROR(__xludf.DUMMYFUNCTION("""COMPUTED_VALUE"""),"Will work for 3 years or more")</f>
        <v>Will work for 3 years or more</v>
      </c>
      <c r="H747" s="1" t="str">
        <f ca="1">IFERROR(__xludf.DUMMYFUNCTION("""COMPUTED_VALUE"""),"No")</f>
        <v>No</v>
      </c>
      <c r="I747" s="1" t="str">
        <f ca="1">IFERROR(__xludf.DUMMYFUNCTION("""COMPUTED_VALUE"""),"Will NOT work for them")</f>
        <v>Will NOT work for them</v>
      </c>
      <c r="J747" s="1">
        <f ca="1">IFERROR(__xludf.DUMMYFUNCTION("""COMPUTED_VALUE"""),6)</f>
        <v>6</v>
      </c>
      <c r="K747" s="1" t="str">
        <f ca="1">IFERROR(__xludf.DUMMYFUNCTION("""COMPUTED_VALUE"""),"Hybrid Working Environment with more than 15 days a month at office")</f>
        <v>Hybrid Working Environment with more than 15 days a month at office</v>
      </c>
      <c r="L747" s="1" t="str">
        <f ca="1">IFERROR(__xludf.DUMMYFUNCTION("""COMPUTED_VALUE"""),"Employer who pushes your limits by enabling an learning environment, and rewards you at the end")</f>
        <v>Employer who pushes your limits by enabling an learning environment, and rewards you at the end</v>
      </c>
      <c r="M747" s="1" t="str">
        <f ca="1">IFERROR(__xludf.DUMMYFUNCTION("""COMPUTED_VALUE"""),"Self Paced Learning Portals of the Company, Learning by observing others, Manager Teaching you")</f>
        <v>Self Paced Learning Portals of the Company, Learning by observing others, Manager Teaching you</v>
      </c>
      <c r="N747"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747" s="1" t="str">
        <f ca="1">IFERROR(__xludf.DUMMYFUNCTION("""COMPUTED_VALUE"""),"Manager who explains what is expected, sets a goal and helps achieve it")</f>
        <v>Manager who explains what is expected, sets a goal and helps achieve it</v>
      </c>
      <c r="P74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47" s="1"/>
    </row>
    <row r="748" spans="1:17" ht="13.2" x14ac:dyDescent="0.25">
      <c r="A748" s="2">
        <f ca="1">IFERROR(__xludf.DUMMYFUNCTION("""COMPUTED_VALUE"""),45022.5180433217)</f>
        <v>45022.518043321703</v>
      </c>
      <c r="B748" s="1" t="str">
        <f ca="1">IFERROR(__xludf.DUMMYFUNCTION("""COMPUTED_VALUE"""),"India")</f>
        <v>India</v>
      </c>
      <c r="C748" s="1">
        <f ca="1">IFERROR(__xludf.DUMMYFUNCTION("""COMPUTED_VALUE"""),521002)</f>
        <v>521002</v>
      </c>
      <c r="D748" s="3" t="str">
        <f ca="1">IFERROR(__xludf.DUMMYFUNCTION("""COMPUTED_VALUE"""),"Female")</f>
        <v>Female</v>
      </c>
      <c r="E748" s="1" t="str">
        <f ca="1">IFERROR(__xludf.DUMMYFUNCTION("""COMPUTED_VALUE"""),"My Parents")</f>
        <v>My Parents</v>
      </c>
      <c r="F748" s="1" t="str">
        <f ca="1">IFERROR(__xludf.DUMMYFUNCTION("""COMPUTED_VALUE"""),"No, But if someone could bare the cost I will")</f>
        <v>No, But if someone could bare the cost I will</v>
      </c>
      <c r="G748" s="1" t="str">
        <f ca="1">IFERROR(__xludf.DUMMYFUNCTION("""COMPUTED_VALUE"""),"This will be hard to do, but if it is the right company I would try")</f>
        <v>This will be hard to do, but if it is the right company I would try</v>
      </c>
      <c r="H748" s="1" t="str">
        <f ca="1">IFERROR(__xludf.DUMMYFUNCTION("""COMPUTED_VALUE"""),"No")</f>
        <v>No</v>
      </c>
      <c r="I748" s="1" t="str">
        <f ca="1">IFERROR(__xludf.DUMMYFUNCTION("""COMPUTED_VALUE"""),"Will NOT work for them")</f>
        <v>Will NOT work for them</v>
      </c>
      <c r="J748" s="1">
        <f ca="1">IFERROR(__xludf.DUMMYFUNCTION("""COMPUTED_VALUE"""),4)</f>
        <v>4</v>
      </c>
      <c r="K748" s="1" t="str">
        <f ca="1">IFERROR(__xludf.DUMMYFUNCTION("""COMPUTED_VALUE"""),"Hybrid Working Environment with more than 15 days a month at office")</f>
        <v>Hybrid Working Environment with more than 15 days a month at office</v>
      </c>
      <c r="L748" s="1" t="str">
        <f ca="1">IFERROR(__xludf.DUMMYFUNCTION("""COMPUTED_VALUE"""),"Employer who pushes your limits by enabling an learning environment, and rewards you at the end")</f>
        <v>Employer who pushes your limits by enabling an learning environment, and rewards you at the end</v>
      </c>
      <c r="M74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48" s="1" t="str">
        <f ca="1">IFERROR(__xludf.DUMMYFUNCTION("""COMPUTED_VALUE"""),"Manager who explains what is expected, sets a goal and helps achieve it")</f>
        <v>Manager who explains what is expected, sets a goal and helps achieve it</v>
      </c>
      <c r="P748" s="1" t="str">
        <f ca="1">IFERROR(__xludf.DUMMYFUNCTION("""COMPUTED_VALUE"""),"Work with 2 to 3 people in my team")</f>
        <v>Work with 2 to 3 people in my team</v>
      </c>
      <c r="Q748" s="1"/>
    </row>
    <row r="749" spans="1:17" ht="13.2" x14ac:dyDescent="0.25">
      <c r="A749" s="2">
        <f ca="1">IFERROR(__xludf.DUMMYFUNCTION("""COMPUTED_VALUE"""),45022.5214991435)</f>
        <v>45022.521499143499</v>
      </c>
      <c r="B749" s="1" t="str">
        <f ca="1">IFERROR(__xludf.DUMMYFUNCTION("""COMPUTED_VALUE"""),"India")</f>
        <v>India</v>
      </c>
      <c r="C749" s="1">
        <f ca="1">IFERROR(__xludf.DUMMYFUNCTION("""COMPUTED_VALUE"""),442001)</f>
        <v>442001</v>
      </c>
      <c r="D749" s="3" t="str">
        <f ca="1">IFERROR(__xludf.DUMMYFUNCTION("""COMPUTED_VALUE"""),"Female")</f>
        <v>Female</v>
      </c>
      <c r="E749" s="1" t="str">
        <f ca="1">IFERROR(__xludf.DUMMYFUNCTION("""COMPUTED_VALUE"""),"Social Media like LinkedIn")</f>
        <v>Social Media like LinkedIn</v>
      </c>
      <c r="F749" s="1" t="str">
        <f ca="1">IFERROR(__xludf.DUMMYFUNCTION("""COMPUTED_VALUE"""),"No, But if someone could bare the cost I will")</f>
        <v>No, But if someone could bare the cost I will</v>
      </c>
      <c r="G749" s="1" t="str">
        <f ca="1">IFERROR(__xludf.DUMMYFUNCTION("""COMPUTED_VALUE"""),"This will be hard to do, but if it is the right company I would try")</f>
        <v>This will be hard to do, but if it is the right company I would try</v>
      </c>
      <c r="H749" s="1" t="str">
        <f ca="1">IFERROR(__xludf.DUMMYFUNCTION("""COMPUTED_VALUE"""),"No")</f>
        <v>No</v>
      </c>
      <c r="I749" s="1" t="str">
        <f ca="1">IFERROR(__xludf.DUMMYFUNCTION("""COMPUTED_VALUE"""),"Will NOT work for them")</f>
        <v>Will NOT work for them</v>
      </c>
      <c r="J749" s="1">
        <f ca="1">IFERROR(__xludf.DUMMYFUNCTION("""COMPUTED_VALUE"""),9)</f>
        <v>9</v>
      </c>
      <c r="K749" s="1" t="str">
        <f ca="1">IFERROR(__xludf.DUMMYFUNCTION("""COMPUTED_VALUE"""),"Fully Remote with Options to travel as and when needed")</f>
        <v>Fully Remote with Options to travel as and when needed</v>
      </c>
      <c r="L749" s="1" t="str">
        <f ca="1">IFERROR(__xludf.DUMMYFUNCTION("""COMPUTED_VALUE"""),"Employer who pushes your limits by enabling an learning environment, and rewards you at the end")</f>
        <v>Employer who pushes your limits by enabling an learning environment, and rewards you at the end</v>
      </c>
      <c r="M7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9"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749" s="1" t="str">
        <f ca="1">IFERROR(__xludf.DUMMYFUNCTION("""COMPUTED_VALUE"""),"Manager who sets goal and helps me achieve it")</f>
        <v>Manager who sets goal and helps me achieve it</v>
      </c>
      <c r="P749"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749" s="1"/>
    </row>
    <row r="750" spans="1:17" ht="13.2" x14ac:dyDescent="0.25">
      <c r="A750" s="2">
        <f ca="1">IFERROR(__xludf.DUMMYFUNCTION("""COMPUTED_VALUE"""),45022.5275921412)</f>
        <v>45022.527592141203</v>
      </c>
      <c r="B750" s="1" t="str">
        <f ca="1">IFERROR(__xludf.DUMMYFUNCTION("""COMPUTED_VALUE"""),"India")</f>
        <v>India</v>
      </c>
      <c r="C750" s="1">
        <f ca="1">IFERROR(__xludf.DUMMYFUNCTION("""COMPUTED_VALUE"""),521165)</f>
        <v>521165</v>
      </c>
      <c r="D750" s="3" t="str">
        <f ca="1">IFERROR(__xludf.DUMMYFUNCTION("""COMPUTED_VALUE"""),"Male")</f>
        <v>Male</v>
      </c>
      <c r="E750" s="1" t="str">
        <f ca="1">IFERROR(__xludf.DUMMYFUNCTION("""COMPUTED_VALUE"""),"Social Media like LinkedIn")</f>
        <v>Social Media like LinkedIn</v>
      </c>
      <c r="F750" s="1" t="str">
        <f ca="1">IFERROR(__xludf.DUMMYFUNCTION("""COMPUTED_VALUE"""),"No I would not be pursuing Higher Education outside of India")</f>
        <v>No I would not be pursuing Higher Education outside of India</v>
      </c>
      <c r="G750" s="1" t="str">
        <f ca="1">IFERROR(__xludf.DUMMYFUNCTION("""COMPUTED_VALUE"""),"This will be hard to do, but if it is the right company I would try")</f>
        <v>This will be hard to do, but if it is the right company I would try</v>
      </c>
      <c r="H750" s="1" t="str">
        <f ca="1">IFERROR(__xludf.DUMMYFUNCTION("""COMPUTED_VALUE"""),"No")</f>
        <v>No</v>
      </c>
      <c r="I750" s="1" t="str">
        <f ca="1">IFERROR(__xludf.DUMMYFUNCTION("""COMPUTED_VALUE"""),"Will work for them")</f>
        <v>Will work for them</v>
      </c>
      <c r="J750" s="1">
        <f ca="1">IFERROR(__xludf.DUMMYFUNCTION("""COMPUTED_VALUE"""),9)</f>
        <v>9</v>
      </c>
      <c r="K750" s="1" t="str">
        <f ca="1">IFERROR(__xludf.DUMMYFUNCTION("""COMPUTED_VALUE"""),"Fully Remote with Options to travel as and when needed")</f>
        <v>Fully Remote with Options to travel as and when needed</v>
      </c>
      <c r="L750" s="1" t="str">
        <f ca="1">IFERROR(__xludf.DUMMYFUNCTION("""COMPUTED_VALUE"""),"Employer who rewards learning and enables that environment")</f>
        <v>Employer who rewards learning and enables that environment</v>
      </c>
      <c r="M75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50"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750" s="1" t="str">
        <f ca="1">IFERROR(__xludf.DUMMYFUNCTION("""COMPUTED_VALUE"""),"Manager who sets goal and helps me achieve it")</f>
        <v>Manager who sets goal and helps me achieve it</v>
      </c>
      <c r="P750" s="1" t="str">
        <f ca="1">IFERROR(__xludf.DUMMYFUNCTION("""COMPUTED_VALUE"""),"Work with 5 to 6 people in my team")</f>
        <v>Work with 5 to 6 people in my team</v>
      </c>
      <c r="Q750" s="1"/>
    </row>
    <row r="751" spans="1:17" ht="13.2" x14ac:dyDescent="0.25">
      <c r="A751" s="2">
        <f ca="1">IFERROR(__xludf.DUMMYFUNCTION("""COMPUTED_VALUE"""),45022.5300930439)</f>
        <v>45022.530093043897</v>
      </c>
      <c r="B751" s="1" t="str">
        <f ca="1">IFERROR(__xludf.DUMMYFUNCTION("""COMPUTED_VALUE"""),"India")</f>
        <v>India</v>
      </c>
      <c r="C751" s="1">
        <f ca="1">IFERROR(__xludf.DUMMYFUNCTION("""COMPUTED_VALUE"""),110022)</f>
        <v>110022</v>
      </c>
      <c r="D751" s="3" t="str">
        <f ca="1">IFERROR(__xludf.DUMMYFUNCTION("""COMPUTED_VALUE"""),"Female")</f>
        <v>Female</v>
      </c>
      <c r="E751" s="1" t="str">
        <f ca="1">IFERROR(__xludf.DUMMYFUNCTION("""COMPUTED_VALUE"""),"People who have changed the world for better")</f>
        <v>People who have changed the world for better</v>
      </c>
      <c r="F751" s="1" t="str">
        <f ca="1">IFERROR(__xludf.DUMMYFUNCTION("""COMPUTED_VALUE"""),"No I would not be pursuing Higher Education outside of India")</f>
        <v>No I would not be pursuing Higher Education outside of India</v>
      </c>
      <c r="G751" s="1" t="str">
        <f ca="1">IFERROR(__xludf.DUMMYFUNCTION("""COMPUTED_VALUE"""),"This will be hard to do, but if it is the right company I would try")</f>
        <v>This will be hard to do, but if it is the right company I would try</v>
      </c>
      <c r="H751" s="1" t="str">
        <f ca="1">IFERROR(__xludf.DUMMYFUNCTION("""COMPUTED_VALUE"""),"Yes")</f>
        <v>Yes</v>
      </c>
      <c r="I751" s="1" t="str">
        <f ca="1">IFERROR(__xludf.DUMMYFUNCTION("""COMPUTED_VALUE"""),"Will work for them")</f>
        <v>Will work for them</v>
      </c>
      <c r="J751" s="1">
        <f ca="1">IFERROR(__xludf.DUMMYFUNCTION("""COMPUTED_VALUE"""),7)</f>
        <v>7</v>
      </c>
      <c r="K751" s="1" t="str">
        <f ca="1">IFERROR(__xludf.DUMMYFUNCTION("""COMPUTED_VALUE"""),"Hybrid Working Environment with more than 15 days a month at office")</f>
        <v>Hybrid Working Environment with more than 15 days a month at office</v>
      </c>
      <c r="L751" s="1" t="str">
        <f ca="1">IFERROR(__xludf.DUMMYFUNCTION("""COMPUTED_VALUE"""),"Employer who rewards learning and enables that environment")</f>
        <v>Employer who rewards learning and enables that environment</v>
      </c>
      <c r="M7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5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751" s="1" t="str">
        <f ca="1">IFERROR(__xludf.DUMMYFUNCTION("""COMPUTED_VALUE"""),"Manager who sets goal and helps me achieve it")</f>
        <v>Manager who sets goal and helps me achieve it</v>
      </c>
      <c r="P751" s="1" t="str">
        <f ca="1">IFERROR(__xludf.DUMMYFUNCTION("""COMPUTED_VALUE"""),"Work alone")</f>
        <v>Work alone</v>
      </c>
      <c r="Q751" s="1"/>
    </row>
    <row r="752" spans="1:17" ht="13.2" x14ac:dyDescent="0.25">
      <c r="A752" s="2">
        <f ca="1">IFERROR(__xludf.DUMMYFUNCTION("""COMPUTED_VALUE"""),45022.5307184143)</f>
        <v>45022.530718414302</v>
      </c>
      <c r="B752" s="1" t="str">
        <f ca="1">IFERROR(__xludf.DUMMYFUNCTION("""COMPUTED_VALUE"""),"India")</f>
        <v>India</v>
      </c>
      <c r="C752" s="1">
        <f ca="1">IFERROR(__xludf.DUMMYFUNCTION("""COMPUTED_VALUE"""),560028)</f>
        <v>560028</v>
      </c>
      <c r="D752" s="3" t="str">
        <f ca="1">IFERROR(__xludf.DUMMYFUNCTION("""COMPUTED_VALUE"""),"Male")</f>
        <v>Male</v>
      </c>
      <c r="E752" s="1" t="str">
        <f ca="1">IFERROR(__xludf.DUMMYFUNCTION("""COMPUTED_VALUE"""),"People who have changed the world for better")</f>
        <v>People who have changed the world for better</v>
      </c>
      <c r="F752" s="1" t="str">
        <f ca="1">IFERROR(__xludf.DUMMYFUNCTION("""COMPUTED_VALUE"""),"Yes, I will earn and do that")</f>
        <v>Yes, I will earn and do that</v>
      </c>
      <c r="G752" s="1" t="str">
        <f ca="1">IFERROR(__xludf.DUMMYFUNCTION("""COMPUTED_VALUE"""),"This will be hard to do, but if it is the right company I would try")</f>
        <v>This will be hard to do, but if it is the right company I would try</v>
      </c>
      <c r="H752" s="1" t="str">
        <f ca="1">IFERROR(__xludf.DUMMYFUNCTION("""COMPUTED_VALUE"""),"No")</f>
        <v>No</v>
      </c>
      <c r="I752" s="1" t="str">
        <f ca="1">IFERROR(__xludf.DUMMYFUNCTION("""COMPUTED_VALUE"""),"Will NOT work for them")</f>
        <v>Will NOT work for them</v>
      </c>
      <c r="J752" s="1">
        <f ca="1">IFERROR(__xludf.DUMMYFUNCTION("""COMPUTED_VALUE"""),7)</f>
        <v>7</v>
      </c>
      <c r="K752" s="1" t="str">
        <f ca="1">IFERROR(__xludf.DUMMYFUNCTION("""COMPUTED_VALUE"""),"Hybrid Working Environment with less than 3 days a month at office")</f>
        <v>Hybrid Working Environment with less than 3 days a month at office</v>
      </c>
      <c r="L752" s="1" t="str">
        <f ca="1">IFERROR(__xludf.DUMMYFUNCTION("""COMPUTED_VALUE"""),"Employer who pushes your limits by enabling an learning environment, and rewards you at the end")</f>
        <v>Employer who pushes your limits by enabling an learning environment, and rewards you at the end</v>
      </c>
      <c r="M7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5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752" s="1" t="str">
        <f ca="1">IFERROR(__xludf.DUMMYFUNCTION("""COMPUTED_VALUE"""),"Manager who sets goal and helps me achieve it")</f>
        <v>Manager who sets goal and helps me achieve it</v>
      </c>
      <c r="P752" s="1" t="str">
        <f ca="1">IFERROR(__xludf.DUMMYFUNCTION("""COMPUTED_VALUE"""),"Work with 7 to 10 or more people in my team")</f>
        <v>Work with 7 to 10 or more people in my team</v>
      </c>
      <c r="Q752" s="1"/>
    </row>
    <row r="753" spans="1:17" ht="13.2" x14ac:dyDescent="0.25">
      <c r="A753" s="2">
        <f ca="1">IFERROR(__xludf.DUMMYFUNCTION("""COMPUTED_VALUE"""),45022.5312215393)</f>
        <v>45022.531221539299</v>
      </c>
      <c r="B753" s="1" t="str">
        <f ca="1">IFERROR(__xludf.DUMMYFUNCTION("""COMPUTED_VALUE"""),"India")</f>
        <v>India</v>
      </c>
      <c r="C753" s="1">
        <f ca="1">IFERROR(__xludf.DUMMYFUNCTION("""COMPUTED_VALUE"""),641045)</f>
        <v>641045</v>
      </c>
      <c r="D753" s="3" t="str">
        <f ca="1">IFERROR(__xludf.DUMMYFUNCTION("""COMPUTED_VALUE"""),"Male")</f>
        <v>Male</v>
      </c>
      <c r="E753" s="1" t="str">
        <f ca="1">IFERROR(__xludf.DUMMYFUNCTION("""COMPUTED_VALUE"""),"My Parents")</f>
        <v>My Parents</v>
      </c>
      <c r="F753" s="1" t="str">
        <f ca="1">IFERROR(__xludf.DUMMYFUNCTION("""COMPUTED_VALUE"""),"No, But if someone could bare the cost I will")</f>
        <v>No, But if someone could bare the cost I will</v>
      </c>
      <c r="G753" s="1" t="str">
        <f ca="1">IFERROR(__xludf.DUMMYFUNCTION("""COMPUTED_VALUE"""),"This will be hard to do, but if it is the right company I would try")</f>
        <v>This will be hard to do, but if it is the right company I would try</v>
      </c>
      <c r="H753" s="1" t="str">
        <f ca="1">IFERROR(__xludf.DUMMYFUNCTION("""COMPUTED_VALUE"""),"Yes")</f>
        <v>Yes</v>
      </c>
      <c r="I753" s="1" t="str">
        <f ca="1">IFERROR(__xludf.DUMMYFUNCTION("""COMPUTED_VALUE"""),"Will work for them")</f>
        <v>Will work for them</v>
      </c>
      <c r="J753" s="1">
        <f ca="1">IFERROR(__xludf.DUMMYFUNCTION("""COMPUTED_VALUE"""),7)</f>
        <v>7</v>
      </c>
      <c r="K753" s="1" t="str">
        <f ca="1">IFERROR(__xludf.DUMMYFUNCTION("""COMPUTED_VALUE"""),"Fully Remote with Options to travel as and when needed")</f>
        <v>Fully Remote with Options to travel as and when needed</v>
      </c>
      <c r="L753" s="1" t="str">
        <f ca="1">IFERROR(__xludf.DUMMYFUNCTION("""COMPUTED_VALUE"""),"Employer who appreciates learning and enables that environment")</f>
        <v>Employer who appreciates learning and enables that environment</v>
      </c>
      <c r="M753"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753" s="1" t="str">
        <f ca="1">IFERROR(__xludf.DUMMYFUNCTION("""COMPUTED_VALUE"""),"Build and develop a Team, Become a content Creator in some platform, I Want to sell things/Sales, An Artificial Intelligence Specialist / Talking to Robots")</f>
        <v>Build and develop a Team, Become a content Creator in some platform, I Want to sell things/Sales, An Artificial Intelligence Specialist / Talking to Robots</v>
      </c>
      <c r="O753" s="1" t="str">
        <f ca="1">IFERROR(__xludf.DUMMYFUNCTION("""COMPUTED_VALUE"""),"Manager who explains what is expected, sets a goal and helps achieve it")</f>
        <v>Manager who explains what is expected, sets a goal and helps achieve it</v>
      </c>
      <c r="P753" s="1" t="str">
        <f ca="1">IFERROR(__xludf.DUMMYFUNCTION("""COMPUTED_VALUE"""),"Work alone")</f>
        <v>Work alone</v>
      </c>
      <c r="Q753" s="1"/>
    </row>
    <row r="754" spans="1:17" ht="13.2" x14ac:dyDescent="0.25">
      <c r="A754" s="2">
        <f ca="1">IFERROR(__xludf.DUMMYFUNCTION("""COMPUTED_VALUE"""),45022.5383153819)</f>
        <v>45022.538315381898</v>
      </c>
      <c r="B754" s="1" t="str">
        <f ca="1">IFERROR(__xludf.DUMMYFUNCTION("""COMPUTED_VALUE"""),"India")</f>
        <v>India</v>
      </c>
      <c r="C754" s="1">
        <f ca="1">IFERROR(__xludf.DUMMYFUNCTION("""COMPUTED_VALUE"""),110077)</f>
        <v>110077</v>
      </c>
      <c r="D754" s="3" t="str">
        <f ca="1">IFERROR(__xludf.DUMMYFUNCTION("""COMPUTED_VALUE"""),"Female")</f>
        <v>Female</v>
      </c>
      <c r="E754" s="1" t="str">
        <f ca="1">IFERROR(__xludf.DUMMYFUNCTION("""COMPUTED_VALUE"""),"Influencers who had successful careers")</f>
        <v>Influencers who had successful careers</v>
      </c>
      <c r="F754" s="1" t="str">
        <f ca="1">IFERROR(__xludf.DUMMYFUNCTION("""COMPUTED_VALUE"""),"No I would not be pursuing Higher Education outside of India")</f>
        <v>No I would not be pursuing Higher Education outside of India</v>
      </c>
      <c r="G754" s="1" t="str">
        <f ca="1">IFERROR(__xludf.DUMMYFUNCTION("""COMPUTED_VALUE"""),"This will be hard to do, but if it is the right company I would try")</f>
        <v>This will be hard to do, but if it is the right company I would try</v>
      </c>
      <c r="H754" s="1" t="str">
        <f ca="1">IFERROR(__xludf.DUMMYFUNCTION("""COMPUTED_VALUE"""),"No")</f>
        <v>No</v>
      </c>
      <c r="I754" s="1" t="str">
        <f ca="1">IFERROR(__xludf.DUMMYFUNCTION("""COMPUTED_VALUE"""),"Will NOT work for them")</f>
        <v>Will NOT work for them</v>
      </c>
      <c r="J754" s="1">
        <f ca="1">IFERROR(__xludf.DUMMYFUNCTION("""COMPUTED_VALUE"""),3)</f>
        <v>3</v>
      </c>
      <c r="K754" s="1" t="str">
        <f ca="1">IFERROR(__xludf.DUMMYFUNCTION("""COMPUTED_VALUE"""),"Fully Remote with Options to travel as and when needed")</f>
        <v>Fully Remote with Options to travel as and when needed</v>
      </c>
      <c r="L754" s="1" t="str">
        <f ca="1">IFERROR(__xludf.DUMMYFUNCTION("""COMPUTED_VALUE"""),"Employer who pushes your limits by enabling an learning environment, and rewards you at the end")</f>
        <v>Employer who pushes your limits by enabling an learning environment, and rewards you at the end</v>
      </c>
      <c r="M754" s="1" t="str">
        <f ca="1">IFERROR(__xludf.DUMMYFUNCTION("""COMPUTED_VALUE"""),"Self Paced Learning Portals of the Company, Instructor or Expert Learning Programs, Manager Teaching you")</f>
        <v>Self Paced Learning Portals of the Company, Instructor or Expert Learning Programs, Manager Teaching you</v>
      </c>
      <c r="N75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4" s="1" t="str">
        <f ca="1">IFERROR(__xludf.DUMMYFUNCTION("""COMPUTED_VALUE"""),"Manager who explains what is expected, sets a goal and helps achieve it")</f>
        <v>Manager who explains what is expected, sets a goal and helps achieve it</v>
      </c>
      <c r="P754" s="1" t="str">
        <f ca="1">IFERROR(__xludf.DUMMYFUNCTION("""COMPUTED_VALUE"""),"Work with 2 to 3 people in my team")</f>
        <v>Work with 2 to 3 people in my team</v>
      </c>
      <c r="Q754" s="1"/>
    </row>
    <row r="755" spans="1:17" ht="13.2" x14ac:dyDescent="0.25">
      <c r="A755" s="2">
        <f ca="1">IFERROR(__xludf.DUMMYFUNCTION("""COMPUTED_VALUE"""),45022.5383874074)</f>
        <v>45022.538387407403</v>
      </c>
      <c r="B755" s="1" t="str">
        <f ca="1">IFERROR(__xludf.DUMMYFUNCTION("""COMPUTED_VALUE"""),"India")</f>
        <v>India</v>
      </c>
      <c r="C755" s="1">
        <f ca="1">IFERROR(__xludf.DUMMYFUNCTION("""COMPUTED_VALUE"""),521163)</f>
        <v>521163</v>
      </c>
      <c r="D755" s="3" t="str">
        <f ca="1">IFERROR(__xludf.DUMMYFUNCTION("""COMPUTED_VALUE"""),"Male")</f>
        <v>Male</v>
      </c>
      <c r="E755" s="1" t="str">
        <f ca="1">IFERROR(__xludf.DUMMYFUNCTION("""COMPUTED_VALUE"""),"My Parents")</f>
        <v>My Parents</v>
      </c>
      <c r="F755" s="1" t="str">
        <f ca="1">IFERROR(__xludf.DUMMYFUNCTION("""COMPUTED_VALUE"""),"No, But if someone could bare the cost I will")</f>
        <v>No, But if someone could bare the cost I will</v>
      </c>
      <c r="G755" s="1" t="str">
        <f ca="1">IFERROR(__xludf.DUMMYFUNCTION("""COMPUTED_VALUE"""),"This will be hard to do, but if it is the right company I would try")</f>
        <v>This will be hard to do, but if it is the right company I would try</v>
      </c>
      <c r="H755" s="1" t="str">
        <f ca="1">IFERROR(__xludf.DUMMYFUNCTION("""COMPUTED_VALUE"""),"No")</f>
        <v>No</v>
      </c>
      <c r="I755" s="1" t="str">
        <f ca="1">IFERROR(__xludf.DUMMYFUNCTION("""COMPUTED_VALUE"""),"Will NOT work for them")</f>
        <v>Will NOT work for them</v>
      </c>
      <c r="J755" s="1">
        <f ca="1">IFERROR(__xludf.DUMMYFUNCTION("""COMPUTED_VALUE"""),5)</f>
        <v>5</v>
      </c>
      <c r="K755" s="1" t="str">
        <f ca="1">IFERROR(__xludf.DUMMYFUNCTION("""COMPUTED_VALUE"""),"Fully Remote with Options to travel as and when needed")</f>
        <v>Fully Remote with Options to travel as and when needed</v>
      </c>
      <c r="L755" s="1" t="str">
        <f ca="1">IFERROR(__xludf.DUMMYFUNCTION("""COMPUTED_VALUE"""),"Employer who pushes your limits by enabling an learning environment, and rewards you at the end")</f>
        <v>Employer who pushes your limits by enabling an learning environment, and rewards you at the end</v>
      </c>
      <c r="M7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55" s="1" t="str">
        <f ca="1">IFERROR(__xludf.DUMMYFUNCTION("""COMPUTED_VALUE"""),"Teaching in any of the institutes/colleges/online or offline, Build and develop a Team, Design and Develop amazing software, Become a content Creator in some platform")</f>
        <v>Teaching in any of the institutes/colleges/online or offline, Build and develop a Team, Design and Develop amazing software, Become a content Creator in some platform</v>
      </c>
      <c r="O755" s="1" t="str">
        <f ca="1">IFERROR(__xludf.DUMMYFUNCTION("""COMPUTED_VALUE"""),"Manager who explains what is expected, sets a goal and helps achieve it")</f>
        <v>Manager who explains what is expected, sets a goal and helps achieve it</v>
      </c>
      <c r="P755" s="1" t="str">
        <f ca="1">IFERROR(__xludf.DUMMYFUNCTION("""COMPUTED_VALUE"""),"Work with 5 to 6 people in my team")</f>
        <v>Work with 5 to 6 people in my team</v>
      </c>
      <c r="Q755" s="1"/>
    </row>
    <row r="756" spans="1:17" ht="13.2" x14ac:dyDescent="0.25">
      <c r="A756" s="2">
        <f ca="1">IFERROR(__xludf.DUMMYFUNCTION("""COMPUTED_VALUE"""),45022.5399110995)</f>
        <v>45022.539911099499</v>
      </c>
      <c r="B756" s="1" t="str">
        <f ca="1">IFERROR(__xludf.DUMMYFUNCTION("""COMPUTED_VALUE"""),"India")</f>
        <v>India</v>
      </c>
      <c r="C756" s="1">
        <f ca="1">IFERROR(__xludf.DUMMYFUNCTION("""COMPUTED_VALUE"""),560029)</f>
        <v>560029</v>
      </c>
      <c r="D756" s="3" t="str">
        <f ca="1">IFERROR(__xludf.DUMMYFUNCTION("""COMPUTED_VALUE"""),"Male")</f>
        <v>Male</v>
      </c>
      <c r="E756" s="1" t="str">
        <f ca="1">IFERROR(__xludf.DUMMYFUNCTION("""COMPUTED_VALUE"""),"Social Media like LinkedIn")</f>
        <v>Social Media like LinkedIn</v>
      </c>
      <c r="F756" s="1" t="str">
        <f ca="1">IFERROR(__xludf.DUMMYFUNCTION("""COMPUTED_VALUE"""),"No, But if someone could bare the cost I will")</f>
        <v>No, But if someone could bare the cost I will</v>
      </c>
      <c r="G756" s="1" t="str">
        <f ca="1">IFERROR(__xludf.DUMMYFUNCTION("""COMPUTED_VALUE"""),"This will be hard to do, but if it is the right company I would try")</f>
        <v>This will be hard to do, but if it is the right company I would try</v>
      </c>
      <c r="H756" s="1" t="str">
        <f ca="1">IFERROR(__xludf.DUMMYFUNCTION("""COMPUTED_VALUE"""),"No")</f>
        <v>No</v>
      </c>
      <c r="I756" s="1" t="str">
        <f ca="1">IFERROR(__xludf.DUMMYFUNCTION("""COMPUTED_VALUE"""),"Will NOT work for them")</f>
        <v>Will NOT work for them</v>
      </c>
      <c r="J756" s="1">
        <f ca="1">IFERROR(__xludf.DUMMYFUNCTION("""COMPUTED_VALUE"""),1)</f>
        <v>1</v>
      </c>
      <c r="K756" s="1" t="str">
        <f ca="1">IFERROR(__xludf.DUMMYFUNCTION("""COMPUTED_VALUE"""),"Hybrid Working Environment with more than 15 days a month at office")</f>
        <v>Hybrid Working Environment with more than 15 days a month at office</v>
      </c>
      <c r="L756" s="1" t="str">
        <f ca="1">IFERROR(__xludf.DUMMYFUNCTION("""COMPUTED_VALUE"""),"Employer who pushes your limits by enabling an learning environment, and rewards you at the end")</f>
        <v>Employer who pushes your limits by enabling an learning environment, and rewards you at the end</v>
      </c>
      <c r="M75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56" s="1" t="str">
        <f ca="1">IFERROR(__xludf.DUMMYFUNCTION("""COMPUTED_VALUE"""),"Build and develop a Team, Design and Develop amazing software, Work as a freelancer and do my thing my way, An Artificial Intelligence Specialist / Talking to Robots")</f>
        <v>Build and develop a Team, Design and Develop amazing software, Work as a freelancer and do my thing my way, An Artificial Intelligence Specialist / Talking to Robots</v>
      </c>
      <c r="O756" s="1" t="str">
        <f ca="1">IFERROR(__xludf.DUMMYFUNCTION("""COMPUTED_VALUE"""),"Manager who sets goal and helps me achieve it")</f>
        <v>Manager who sets goal and helps me achieve it</v>
      </c>
      <c r="P756" s="1" t="str">
        <f ca="1">IFERROR(__xludf.DUMMYFUNCTION("""COMPUTED_VALUE"""),"Work with 5 to 6 people in my team, Work with 7 to 10 or more people in my team")</f>
        <v>Work with 5 to 6 people in my team, Work with 7 to 10 or more people in my team</v>
      </c>
      <c r="Q756" s="1"/>
    </row>
    <row r="757" spans="1:17" ht="13.2" x14ac:dyDescent="0.25">
      <c r="A757" s="2">
        <f ca="1">IFERROR(__xludf.DUMMYFUNCTION("""COMPUTED_VALUE"""),45022.540764618)</f>
        <v>45022.540764618003</v>
      </c>
      <c r="B757" s="1" t="str">
        <f ca="1">IFERROR(__xludf.DUMMYFUNCTION("""COMPUTED_VALUE"""),"India")</f>
        <v>India</v>
      </c>
      <c r="C757" s="1">
        <f ca="1">IFERROR(__xludf.DUMMYFUNCTION("""COMPUTED_VALUE"""),560029)</f>
        <v>560029</v>
      </c>
      <c r="D757" s="3" t="str">
        <f ca="1">IFERROR(__xludf.DUMMYFUNCTION("""COMPUTED_VALUE"""),"Male")</f>
        <v>Male</v>
      </c>
      <c r="E757" s="1" t="str">
        <f ca="1">IFERROR(__xludf.DUMMYFUNCTION("""COMPUTED_VALUE"""),"My Parents")</f>
        <v>My Parents</v>
      </c>
      <c r="F757" s="1" t="str">
        <f ca="1">IFERROR(__xludf.DUMMYFUNCTION("""COMPUTED_VALUE"""),"No, But if someone could bare the cost I will")</f>
        <v>No, But if someone could bare the cost I will</v>
      </c>
      <c r="G757" s="1" t="str">
        <f ca="1">IFERROR(__xludf.DUMMYFUNCTION("""COMPUTED_VALUE"""),"This will be hard to do, but if it is the right company I would try")</f>
        <v>This will be hard to do, but if it is the right company I would try</v>
      </c>
      <c r="H757" s="1" t="str">
        <f ca="1">IFERROR(__xludf.DUMMYFUNCTION("""COMPUTED_VALUE"""),"No")</f>
        <v>No</v>
      </c>
      <c r="I757" s="1" t="str">
        <f ca="1">IFERROR(__xludf.DUMMYFUNCTION("""COMPUTED_VALUE"""),"Will NOT work for them")</f>
        <v>Will NOT work for them</v>
      </c>
      <c r="J757" s="1">
        <f ca="1">IFERROR(__xludf.DUMMYFUNCTION("""COMPUTED_VALUE"""),3)</f>
        <v>3</v>
      </c>
      <c r="K757" s="1" t="str">
        <f ca="1">IFERROR(__xludf.DUMMYFUNCTION("""COMPUTED_VALUE"""),"Fully Remote with Options to travel as and when needed")</f>
        <v>Fully Remote with Options to travel as and when needed</v>
      </c>
      <c r="L757" s="1" t="str">
        <f ca="1">IFERROR(__xludf.DUMMYFUNCTION("""COMPUTED_VALUE"""),"Employer who pushes your limits by enabling an learning environment, and rewards you at the end")</f>
        <v>Employer who pushes your limits by enabling an learning environment, and rewards you at the end</v>
      </c>
      <c r="M75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57" s="1" t="str">
        <f ca="1">IFERROR(__xludf.DUMMYFUNCTION("""COMPUTED_VALUE"""),"Build and develop a Team, Look deeply into Data and generate insights, I Want to sell things/Sales, An Artificial Intelligence Specialist / Talking to Robots")</f>
        <v>Build and develop a Team, Look deeply into Data and generate insights, I Want to sell things/Sales, An Artificial Intelligence Specialist / Talking to Robots</v>
      </c>
      <c r="O757" s="1" t="str">
        <f ca="1">IFERROR(__xludf.DUMMYFUNCTION("""COMPUTED_VALUE"""),"Manager who sets goal and helps me achieve it")</f>
        <v>Manager who sets goal and helps me achieve it</v>
      </c>
      <c r="P757" s="1" t="str">
        <f ca="1">IFERROR(__xludf.DUMMYFUNCTION("""COMPUTED_VALUE"""),"Work with 7 to 10 or more people in my team")</f>
        <v>Work with 7 to 10 or more people in my team</v>
      </c>
      <c r="Q757" s="1"/>
    </row>
    <row r="758" spans="1:17" ht="13.2" x14ac:dyDescent="0.25">
      <c r="A758" s="2">
        <f ca="1">IFERROR(__xludf.DUMMYFUNCTION("""COMPUTED_VALUE"""),45022.5514951273)</f>
        <v>45022.5514951273</v>
      </c>
      <c r="B758" s="1" t="str">
        <f ca="1">IFERROR(__xludf.DUMMYFUNCTION("""COMPUTED_VALUE"""),"India")</f>
        <v>India</v>
      </c>
      <c r="C758" s="1">
        <f ca="1">IFERROR(__xludf.DUMMYFUNCTION("""COMPUTED_VALUE"""),431810)</f>
        <v>431810</v>
      </c>
      <c r="D758" s="3" t="str">
        <f ca="1">IFERROR(__xludf.DUMMYFUNCTION("""COMPUTED_VALUE"""),"Male")</f>
        <v>Male</v>
      </c>
      <c r="E758" s="1" t="str">
        <f ca="1">IFERROR(__xludf.DUMMYFUNCTION("""COMPUTED_VALUE"""),"Influencers who had successful careers")</f>
        <v>Influencers who had successful careers</v>
      </c>
      <c r="F758" s="1" t="str">
        <f ca="1">IFERROR(__xludf.DUMMYFUNCTION("""COMPUTED_VALUE"""),"No, But if someone could bare the cost I will")</f>
        <v>No, But if someone could bare the cost I will</v>
      </c>
      <c r="G758" s="1" t="str">
        <f ca="1">IFERROR(__xludf.DUMMYFUNCTION("""COMPUTED_VALUE"""),"This will be hard to do, but if it is the right company I would try")</f>
        <v>This will be hard to do, but if it is the right company I would try</v>
      </c>
      <c r="H758" s="1" t="str">
        <f ca="1">IFERROR(__xludf.DUMMYFUNCTION("""COMPUTED_VALUE"""),"Yes")</f>
        <v>Yes</v>
      </c>
      <c r="I758" s="1" t="str">
        <f ca="1">IFERROR(__xludf.DUMMYFUNCTION("""COMPUTED_VALUE"""),"Will work for them")</f>
        <v>Will work for them</v>
      </c>
      <c r="J758" s="1">
        <f ca="1">IFERROR(__xludf.DUMMYFUNCTION("""COMPUTED_VALUE"""),9)</f>
        <v>9</v>
      </c>
      <c r="K758" s="1" t="str">
        <f ca="1">IFERROR(__xludf.DUMMYFUNCTION("""COMPUTED_VALUE"""),"Fully Remote with Options to travel as and when needed")</f>
        <v>Fully Remote with Options to travel as and when needed</v>
      </c>
      <c r="L758" s="1" t="str">
        <f ca="1">IFERROR(__xludf.DUMMYFUNCTION("""COMPUTED_VALUE"""),"Employer who pushes your limits and doesn't enables learning environment and never rewards you")</f>
        <v>Employer who pushes your limits and doesn't enables learning environment and never rewards you</v>
      </c>
      <c r="M758"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58"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758" s="1" t="str">
        <f ca="1">IFERROR(__xludf.DUMMYFUNCTION("""COMPUTED_VALUE"""),"Manager who explains what is expected, sets a goal and helps achieve it")</f>
        <v>Manager who explains what is expected, sets a goal and helps achieve it</v>
      </c>
      <c r="P758" s="1" t="str">
        <f ca="1">IFERROR(__xludf.DUMMYFUNCTION("""COMPUTED_VALUE"""),"Work with 5 to 6 people in my team")</f>
        <v>Work with 5 to 6 people in my team</v>
      </c>
      <c r="Q758" s="1"/>
    </row>
    <row r="759" spans="1:17" ht="13.2" x14ac:dyDescent="0.25">
      <c r="A759" s="2">
        <f ca="1">IFERROR(__xludf.DUMMYFUNCTION("""COMPUTED_VALUE"""),45022.5620576504)</f>
        <v>45022.562057650401</v>
      </c>
      <c r="B759" s="1" t="str">
        <f ca="1">IFERROR(__xludf.DUMMYFUNCTION("""COMPUTED_VALUE"""),"India")</f>
        <v>India</v>
      </c>
      <c r="C759" s="1">
        <f ca="1">IFERROR(__xludf.DUMMYFUNCTION("""COMPUTED_VALUE"""),431001)</f>
        <v>431001</v>
      </c>
      <c r="D759" s="3" t="str">
        <f ca="1">IFERROR(__xludf.DUMMYFUNCTION("""COMPUTED_VALUE"""),"Male")</f>
        <v>Male</v>
      </c>
      <c r="E759" s="1" t="str">
        <f ca="1">IFERROR(__xludf.DUMMYFUNCTION("""COMPUTED_VALUE"""),"Social Media like LinkedIn")</f>
        <v>Social Media like LinkedIn</v>
      </c>
      <c r="F759" s="1" t="str">
        <f ca="1">IFERROR(__xludf.DUMMYFUNCTION("""COMPUTED_VALUE"""),"Yes, I will earn and do that")</f>
        <v>Yes, I will earn and do that</v>
      </c>
      <c r="G759" s="1" t="str">
        <f ca="1">IFERROR(__xludf.DUMMYFUNCTION("""COMPUTED_VALUE"""),"This will be hard to do, but if it is the right company I would try")</f>
        <v>This will be hard to do, but if it is the right company I would try</v>
      </c>
      <c r="H759" s="1" t="str">
        <f ca="1">IFERROR(__xludf.DUMMYFUNCTION("""COMPUTED_VALUE"""),"No")</f>
        <v>No</v>
      </c>
      <c r="I759" s="1" t="str">
        <f ca="1">IFERROR(__xludf.DUMMYFUNCTION("""COMPUTED_VALUE"""),"Will NOT work for them")</f>
        <v>Will NOT work for them</v>
      </c>
      <c r="J759" s="1">
        <f ca="1">IFERROR(__xludf.DUMMYFUNCTION("""COMPUTED_VALUE"""),5)</f>
        <v>5</v>
      </c>
      <c r="K759" s="1" t="str">
        <f ca="1">IFERROR(__xludf.DUMMYFUNCTION("""COMPUTED_VALUE"""),"Fully Remote with No option to visit offices")</f>
        <v>Fully Remote with No option to visit offices</v>
      </c>
      <c r="L759" s="1" t="str">
        <f ca="1">IFERROR(__xludf.DUMMYFUNCTION("""COMPUTED_VALUE"""),"Employer who pushes your limits by enabling an learning environment, and rewards you at the end")</f>
        <v>Employer who pushes your limits by enabling an learning environment, and rewards you at the end</v>
      </c>
      <c r="M7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59"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9" s="1" t="str">
        <f ca="1">IFERROR(__xludf.DUMMYFUNCTION("""COMPUTED_VALUE"""),"Manager who explains what is expected, sets a goal and helps achieve it")</f>
        <v>Manager who explains what is expected, sets a goal and helps achieve it</v>
      </c>
      <c r="P759" s="1" t="str">
        <f ca="1">IFERROR(__xludf.DUMMYFUNCTION("""COMPUTED_VALUE"""),"Work with 5 to 6 people in my team")</f>
        <v>Work with 5 to 6 people in my team</v>
      </c>
      <c r="Q759" s="1"/>
    </row>
    <row r="760" spans="1:17" ht="13.2" x14ac:dyDescent="0.25">
      <c r="A760" s="2">
        <f ca="1">IFERROR(__xludf.DUMMYFUNCTION("""COMPUTED_VALUE"""),45022.5666586458)</f>
        <v>45022.566658645803</v>
      </c>
      <c r="B760" s="1" t="str">
        <f ca="1">IFERROR(__xludf.DUMMYFUNCTION("""COMPUTED_VALUE"""),"India")</f>
        <v>India</v>
      </c>
      <c r="C760" s="1">
        <f ca="1">IFERROR(__xludf.DUMMYFUNCTION("""COMPUTED_VALUE"""),110045)</f>
        <v>110045</v>
      </c>
      <c r="D760" s="3" t="str">
        <f ca="1">IFERROR(__xludf.DUMMYFUNCTION("""COMPUTED_VALUE"""),"Male")</f>
        <v>Male</v>
      </c>
      <c r="E760" s="1" t="str">
        <f ca="1">IFERROR(__xludf.DUMMYFUNCTION("""COMPUTED_VALUE"""),"Social Media like LinkedIn")</f>
        <v>Social Media like LinkedIn</v>
      </c>
      <c r="F760" s="1" t="str">
        <f ca="1">IFERROR(__xludf.DUMMYFUNCTION("""COMPUTED_VALUE"""),"Yes, I will earn and do that")</f>
        <v>Yes, I will earn and do that</v>
      </c>
      <c r="G760" s="1" t="str">
        <f ca="1">IFERROR(__xludf.DUMMYFUNCTION("""COMPUTED_VALUE"""),"Will work for 3 years or more")</f>
        <v>Will work for 3 years or more</v>
      </c>
      <c r="H760" s="1" t="str">
        <f ca="1">IFERROR(__xludf.DUMMYFUNCTION("""COMPUTED_VALUE"""),"No")</f>
        <v>No</v>
      </c>
      <c r="I760" s="1" t="str">
        <f ca="1">IFERROR(__xludf.DUMMYFUNCTION("""COMPUTED_VALUE"""),"Will NOT work for them")</f>
        <v>Will NOT work for them</v>
      </c>
      <c r="J760" s="1">
        <f ca="1">IFERROR(__xludf.DUMMYFUNCTION("""COMPUTED_VALUE"""),8)</f>
        <v>8</v>
      </c>
      <c r="K760" s="1" t="str">
        <f ca="1">IFERROR(__xludf.DUMMYFUNCTION("""COMPUTED_VALUE"""),"Fully Remote with Options to travel as and when needed")</f>
        <v>Fully Remote with Options to travel as and when needed</v>
      </c>
      <c r="L760" s="1" t="str">
        <f ca="1">IFERROR(__xludf.DUMMYFUNCTION("""COMPUTED_VALUE"""),"Employer who pushes your limits by enabling an learning environment, and rewards you at the end")</f>
        <v>Employer who pushes your limits by enabling an learning environment, and rewards you at the end</v>
      </c>
      <c r="M76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6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760" s="1" t="str">
        <f ca="1">IFERROR(__xludf.DUMMYFUNCTION("""COMPUTED_VALUE"""),"Manager who explains what is expected, sets a goal and helps achieve it")</f>
        <v>Manager who explains what is expected, sets a goal and helps achieve it</v>
      </c>
      <c r="P760" s="1" t="str">
        <f ca="1">IFERROR(__xludf.DUMMYFUNCTION("""COMPUTED_VALUE"""),"Work with 2 to 3 people in my team")</f>
        <v>Work with 2 to 3 people in my team</v>
      </c>
      <c r="Q760" s="1"/>
    </row>
    <row r="761" spans="1:17" ht="13.2" x14ac:dyDescent="0.25">
      <c r="A761" s="2">
        <f ca="1">IFERROR(__xludf.DUMMYFUNCTION("""COMPUTED_VALUE"""),45022.5689937615)</f>
        <v>45022.568993761502</v>
      </c>
      <c r="B761" s="1" t="str">
        <f ca="1">IFERROR(__xludf.DUMMYFUNCTION("""COMPUTED_VALUE"""),"India")</f>
        <v>India</v>
      </c>
      <c r="C761" s="1">
        <f ca="1">IFERROR(__xludf.DUMMYFUNCTION("""COMPUTED_VALUE"""),577201)</f>
        <v>577201</v>
      </c>
      <c r="D761" s="3" t="str">
        <f ca="1">IFERROR(__xludf.DUMMYFUNCTION("""COMPUTED_VALUE"""),"Female")</f>
        <v>Female</v>
      </c>
      <c r="E761" s="1" t="str">
        <f ca="1">IFERROR(__xludf.DUMMYFUNCTION("""COMPUTED_VALUE"""),"People who have changed the world for better")</f>
        <v>People who have changed the world for better</v>
      </c>
      <c r="F761" s="1" t="str">
        <f ca="1">IFERROR(__xludf.DUMMYFUNCTION("""COMPUTED_VALUE"""),"No, But if someone could bare the cost I will")</f>
        <v>No, But if someone could bare the cost I will</v>
      </c>
      <c r="G761" s="1" t="str">
        <f ca="1">IFERROR(__xludf.DUMMYFUNCTION("""COMPUTED_VALUE"""),"This will be hard to do, but if it is the right company I would try")</f>
        <v>This will be hard to do, but if it is the right company I would try</v>
      </c>
      <c r="H761" s="1" t="str">
        <f ca="1">IFERROR(__xludf.DUMMYFUNCTION("""COMPUTED_VALUE"""),"No")</f>
        <v>No</v>
      </c>
      <c r="I761" s="1" t="str">
        <f ca="1">IFERROR(__xludf.DUMMYFUNCTION("""COMPUTED_VALUE"""),"Will NOT work for them")</f>
        <v>Will NOT work for them</v>
      </c>
      <c r="J761" s="1">
        <f ca="1">IFERROR(__xludf.DUMMYFUNCTION("""COMPUTED_VALUE"""),5)</f>
        <v>5</v>
      </c>
      <c r="K761" s="1" t="str">
        <f ca="1">IFERROR(__xludf.DUMMYFUNCTION("""COMPUTED_VALUE"""),"Hybrid Working Environment with more than 15 days a month at office")</f>
        <v>Hybrid Working Environment with more than 15 days a month at office</v>
      </c>
      <c r="L761" s="1" t="str">
        <f ca="1">IFERROR(__xludf.DUMMYFUNCTION("""COMPUTED_VALUE"""),"Employer who rewards learning and enables that environment")</f>
        <v>Employer who rewards learning and enables that environment</v>
      </c>
      <c r="M76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1"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761" s="1" t="str">
        <f ca="1">IFERROR(__xludf.DUMMYFUNCTION("""COMPUTED_VALUE"""),"Manager who explains what is expected, sets a goal and helps achieve it")</f>
        <v>Manager who explains what is expected, sets a goal and helps achieve it</v>
      </c>
      <c r="P761" s="1" t="str">
        <f ca="1">IFERROR(__xludf.DUMMYFUNCTION("""COMPUTED_VALUE"""),"Work with 5 to 6 people in my team, Work with more than 10 people in my team")</f>
        <v>Work with 5 to 6 people in my team, Work with more than 10 people in my team</v>
      </c>
      <c r="Q761" s="1"/>
    </row>
    <row r="762" spans="1:17" ht="13.2" x14ac:dyDescent="0.25">
      <c r="A762" s="2">
        <f ca="1">IFERROR(__xludf.DUMMYFUNCTION("""COMPUTED_VALUE"""),45022.5745396064)</f>
        <v>45022.574539606401</v>
      </c>
      <c r="B762" s="1" t="str">
        <f ca="1">IFERROR(__xludf.DUMMYFUNCTION("""COMPUTED_VALUE"""),"India")</f>
        <v>India</v>
      </c>
      <c r="C762" s="1">
        <f ca="1">IFERROR(__xludf.DUMMYFUNCTION("""COMPUTED_VALUE"""),110057)</f>
        <v>110057</v>
      </c>
      <c r="D762" s="3" t="str">
        <f ca="1">IFERROR(__xludf.DUMMYFUNCTION("""COMPUTED_VALUE"""),"Male")</f>
        <v>Male</v>
      </c>
      <c r="E762" s="1" t="str">
        <f ca="1">IFERROR(__xludf.DUMMYFUNCTION("""COMPUTED_VALUE"""),"Influencers who had successful careers")</f>
        <v>Influencers who had successful careers</v>
      </c>
      <c r="F762" s="1" t="str">
        <f ca="1">IFERROR(__xludf.DUMMYFUNCTION("""COMPUTED_VALUE"""),"Yes, I will earn and do that")</f>
        <v>Yes, I will earn and do that</v>
      </c>
      <c r="G762" s="1" t="str">
        <f ca="1">IFERROR(__xludf.DUMMYFUNCTION("""COMPUTED_VALUE"""),"Will work for 3 years or more")</f>
        <v>Will work for 3 years or more</v>
      </c>
      <c r="H762" s="1" t="str">
        <f ca="1">IFERROR(__xludf.DUMMYFUNCTION("""COMPUTED_VALUE"""),"Yes")</f>
        <v>Yes</v>
      </c>
      <c r="I762" s="1" t="str">
        <f ca="1">IFERROR(__xludf.DUMMYFUNCTION("""COMPUTED_VALUE"""),"Will NOT work for them")</f>
        <v>Will NOT work for them</v>
      </c>
      <c r="J762" s="1">
        <f ca="1">IFERROR(__xludf.DUMMYFUNCTION("""COMPUTED_VALUE"""),9)</f>
        <v>9</v>
      </c>
      <c r="K762" s="1" t="str">
        <f ca="1">IFERROR(__xludf.DUMMYFUNCTION("""COMPUTED_VALUE"""),"Fully Remote with Options to travel as and when needed")</f>
        <v>Fully Remote with Options to travel as and when needed</v>
      </c>
      <c r="L762" s="1" t="str">
        <f ca="1">IFERROR(__xludf.DUMMYFUNCTION("""COMPUTED_VALUE"""),"Employer who pushes your limits by enabling an learning environment, and rewards you at the end")</f>
        <v>Employer who pushes your limits by enabling an learning environment, and rewards you at the end</v>
      </c>
      <c r="M762" s="1" t="str">
        <f ca="1">IFERROR(__xludf.DUMMYFUNCTION("""COMPUTED_VALUE"""),"Instructor or Expert Learning Programs, Learning by observing others, Manager Teaching you")</f>
        <v>Instructor or Expert Learning Programs, Learning by observing others, Manager Teaching you</v>
      </c>
      <c r="N76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762" s="1" t="str">
        <f ca="1">IFERROR(__xludf.DUMMYFUNCTION("""COMPUTED_VALUE"""),"Manager who sets goal and helps me achieve it")</f>
        <v>Manager who sets goal and helps me achieve it</v>
      </c>
      <c r="P762" s="1" t="str">
        <f ca="1">IFERROR(__xludf.DUMMYFUNCTION("""COMPUTED_VALUE"""),"Work with 7 to 10 or more people in my team")</f>
        <v>Work with 7 to 10 or more people in my team</v>
      </c>
      <c r="Q762" s="1"/>
    </row>
    <row r="763" spans="1:17" ht="13.2" x14ac:dyDescent="0.25">
      <c r="A763" s="2">
        <f ca="1">IFERROR(__xludf.DUMMYFUNCTION("""COMPUTED_VALUE"""),45022.576988449)</f>
        <v>45022.576988449</v>
      </c>
      <c r="B763" s="1" t="str">
        <f ca="1">IFERROR(__xludf.DUMMYFUNCTION("""COMPUTED_VALUE"""),"India")</f>
        <v>India</v>
      </c>
      <c r="C763" s="1">
        <f ca="1">IFERROR(__xludf.DUMMYFUNCTION("""COMPUTED_VALUE"""),110085)</f>
        <v>110085</v>
      </c>
      <c r="D763" s="3" t="str">
        <f ca="1">IFERROR(__xludf.DUMMYFUNCTION("""COMPUTED_VALUE"""),"Female")</f>
        <v>Female</v>
      </c>
      <c r="E763" s="1" t="str">
        <f ca="1">IFERROR(__xludf.DUMMYFUNCTION("""COMPUTED_VALUE"""),"Influencers who had successful careers")</f>
        <v>Influencers who had successful careers</v>
      </c>
      <c r="F763" s="1" t="str">
        <f ca="1">IFERROR(__xludf.DUMMYFUNCTION("""COMPUTED_VALUE"""),"Yes, I will earn and do that")</f>
        <v>Yes, I will earn and do that</v>
      </c>
      <c r="G763" s="1" t="str">
        <f ca="1">IFERROR(__xludf.DUMMYFUNCTION("""COMPUTED_VALUE"""),"Will work for 3 years or more")</f>
        <v>Will work for 3 years or more</v>
      </c>
      <c r="H763" s="1" t="str">
        <f ca="1">IFERROR(__xludf.DUMMYFUNCTION("""COMPUTED_VALUE"""),"No")</f>
        <v>No</v>
      </c>
      <c r="I763" s="1" t="str">
        <f ca="1">IFERROR(__xludf.DUMMYFUNCTION("""COMPUTED_VALUE"""),"Will NOT work for them")</f>
        <v>Will NOT work for them</v>
      </c>
      <c r="J763" s="1">
        <f ca="1">IFERROR(__xludf.DUMMYFUNCTION("""COMPUTED_VALUE"""),5)</f>
        <v>5</v>
      </c>
      <c r="K763" s="1" t="str">
        <f ca="1">IFERROR(__xludf.DUMMYFUNCTION("""COMPUTED_VALUE"""),"Every Day Office Environment")</f>
        <v>Every Day Office Environment</v>
      </c>
      <c r="L763" s="1" t="str">
        <f ca="1">IFERROR(__xludf.DUMMYFUNCTION("""COMPUTED_VALUE"""),"Employer who pushes your limits by enabling an learning environment, and rewards you at the end")</f>
        <v>Employer who pushes your limits by enabling an learning environment, and rewards you at the end</v>
      </c>
      <c r="M76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3" s="1" t="str">
        <f ca="1">IFERROR(__xludf.DUMMYFUNCTION("""COMPUTED_VALUE"""),"Business Operations in any organization, Look deeply into Data and generate insights, Work as a freelancer and do my thing my way, I Want to sell things/Sales")</f>
        <v>Business Operations in any organization, Look deeply into Data and generate insights, Work as a freelancer and do my thing my way, I Want to sell things/Sales</v>
      </c>
      <c r="O763" s="1" t="str">
        <f ca="1">IFERROR(__xludf.DUMMYFUNCTION("""COMPUTED_VALUE"""),"Manager who sets goal and helps me achieve it")</f>
        <v>Manager who sets goal and helps me achieve it</v>
      </c>
      <c r="P763" s="1" t="str">
        <f ca="1">IFERROR(__xludf.DUMMYFUNCTION("""COMPUTED_VALUE"""),"Work with 7 to 10 or more people in my team")</f>
        <v>Work with 7 to 10 or more people in my team</v>
      </c>
      <c r="Q763" s="1"/>
    </row>
    <row r="764" spans="1:17" ht="13.2" x14ac:dyDescent="0.25">
      <c r="A764" s="2">
        <f ca="1">IFERROR(__xludf.DUMMYFUNCTION("""COMPUTED_VALUE"""),45022.5783013426)</f>
        <v>45022.578301342597</v>
      </c>
      <c r="B764" s="1" t="str">
        <f ca="1">IFERROR(__xludf.DUMMYFUNCTION("""COMPUTED_VALUE"""),"India")</f>
        <v>India</v>
      </c>
      <c r="C764" s="1">
        <f ca="1">IFERROR(__xludf.DUMMYFUNCTION("""COMPUTED_VALUE"""),110018)</f>
        <v>110018</v>
      </c>
      <c r="D764" s="3" t="str">
        <f ca="1">IFERROR(__xludf.DUMMYFUNCTION("""COMPUTED_VALUE"""),"Female")</f>
        <v>Female</v>
      </c>
      <c r="E764" s="1" t="str">
        <f ca="1">IFERROR(__xludf.DUMMYFUNCTION("""COMPUTED_VALUE"""),"My Parents")</f>
        <v>My Parents</v>
      </c>
      <c r="F764" s="1" t="str">
        <f ca="1">IFERROR(__xludf.DUMMYFUNCTION("""COMPUTED_VALUE"""),"No I would not be pursuing Higher Education outside of India")</f>
        <v>No I would not be pursuing Higher Education outside of India</v>
      </c>
      <c r="G764" s="1" t="str">
        <f ca="1">IFERROR(__xludf.DUMMYFUNCTION("""COMPUTED_VALUE"""),"Will work for 3 years or more")</f>
        <v>Will work for 3 years or more</v>
      </c>
      <c r="H764" s="1" t="str">
        <f ca="1">IFERROR(__xludf.DUMMYFUNCTION("""COMPUTED_VALUE"""),"No")</f>
        <v>No</v>
      </c>
      <c r="I764" s="1" t="str">
        <f ca="1">IFERROR(__xludf.DUMMYFUNCTION("""COMPUTED_VALUE"""),"Will NOT work for them")</f>
        <v>Will NOT work for them</v>
      </c>
      <c r="J764" s="1">
        <f ca="1">IFERROR(__xludf.DUMMYFUNCTION("""COMPUTED_VALUE"""),7)</f>
        <v>7</v>
      </c>
      <c r="K764" s="1" t="str">
        <f ca="1">IFERROR(__xludf.DUMMYFUNCTION("""COMPUTED_VALUE"""),"Hybrid Working Environment with less than 3 days a month at office")</f>
        <v>Hybrid Working Environment with less than 3 days a month at office</v>
      </c>
      <c r="L764" s="1" t="str">
        <f ca="1">IFERROR(__xludf.DUMMYFUNCTION("""COMPUTED_VALUE"""),"Employer who appreciates learning and enables that environment")</f>
        <v>Employer who appreciates learning and enables that environment</v>
      </c>
      <c r="M764" s="1" t="str">
        <f ca="1">IFERROR(__xludf.DUMMYFUNCTION("""COMPUTED_VALUE"""),"Self Paced Learning Portals of the Company, Learning by observing others, Manager Teaching you")</f>
        <v>Self Paced Learning Portals of the Company, Learning by observing others, Manager Teaching you</v>
      </c>
      <c r="N764"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764" s="1" t="str">
        <f ca="1">IFERROR(__xludf.DUMMYFUNCTION("""COMPUTED_VALUE"""),"Manager who sets goal and helps me achieve it")</f>
        <v>Manager who sets goal and helps me achieve it</v>
      </c>
      <c r="P764" s="1" t="str">
        <f ca="1">IFERROR(__xludf.DUMMYFUNCTION("""COMPUTED_VALUE"""),"Work with 7 to 10 or more people in my team")</f>
        <v>Work with 7 to 10 or more people in my team</v>
      </c>
      <c r="Q764" s="1"/>
    </row>
    <row r="765" spans="1:17" ht="13.2" x14ac:dyDescent="0.25">
      <c r="A765" s="2">
        <f ca="1">IFERROR(__xludf.DUMMYFUNCTION("""COMPUTED_VALUE"""),45022.5816137847)</f>
        <v>45022.5816137847</v>
      </c>
      <c r="B765" s="1" t="str">
        <f ca="1">IFERROR(__xludf.DUMMYFUNCTION("""COMPUTED_VALUE"""),"India")</f>
        <v>India</v>
      </c>
      <c r="C765" s="1">
        <f ca="1">IFERROR(__xludf.DUMMYFUNCTION("""COMPUTED_VALUE"""),515775)</f>
        <v>515775</v>
      </c>
      <c r="D765" s="3" t="str">
        <f ca="1">IFERROR(__xludf.DUMMYFUNCTION("""COMPUTED_VALUE"""),"Male")</f>
        <v>Male</v>
      </c>
      <c r="E765" s="1" t="str">
        <f ca="1">IFERROR(__xludf.DUMMYFUNCTION("""COMPUTED_VALUE"""),"My Parents")</f>
        <v>My Parents</v>
      </c>
      <c r="F765" s="1" t="str">
        <f ca="1">IFERROR(__xludf.DUMMYFUNCTION("""COMPUTED_VALUE"""),"Yes, I will earn and do that")</f>
        <v>Yes, I will earn and do that</v>
      </c>
      <c r="G765" s="1" t="str">
        <f ca="1">IFERROR(__xludf.DUMMYFUNCTION("""COMPUTED_VALUE"""),"Will work for 3 years or more")</f>
        <v>Will work for 3 years or more</v>
      </c>
      <c r="H765" s="1" t="str">
        <f ca="1">IFERROR(__xludf.DUMMYFUNCTION("""COMPUTED_VALUE"""),"Yes")</f>
        <v>Yes</v>
      </c>
      <c r="I765" s="1" t="str">
        <f ca="1">IFERROR(__xludf.DUMMYFUNCTION("""COMPUTED_VALUE"""),"Will work for them")</f>
        <v>Will work for them</v>
      </c>
      <c r="J765" s="1">
        <f ca="1">IFERROR(__xludf.DUMMYFUNCTION("""COMPUTED_VALUE"""),3)</f>
        <v>3</v>
      </c>
      <c r="K765" s="1" t="str">
        <f ca="1">IFERROR(__xludf.DUMMYFUNCTION("""COMPUTED_VALUE"""),"Every Day Office Environment")</f>
        <v>Every Day Office Environment</v>
      </c>
      <c r="L765" s="1" t="str">
        <f ca="1">IFERROR(__xludf.DUMMYFUNCTION("""COMPUTED_VALUE"""),"Employer who appreciates learning and enables that environment")</f>
        <v>Employer who appreciates learning and enables that environment</v>
      </c>
      <c r="M7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5"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765" s="1" t="str">
        <f ca="1">IFERROR(__xludf.DUMMYFUNCTION("""COMPUTED_VALUE"""),"Manager who sets targets and expects me to achieve it")</f>
        <v>Manager who sets targets and expects me to achieve it</v>
      </c>
      <c r="P765" s="1" t="str">
        <f ca="1">IFERROR(__xludf.DUMMYFUNCTION("""COMPUTED_VALUE"""),"Work with 5 to 6 people in my team")</f>
        <v>Work with 5 to 6 people in my team</v>
      </c>
      <c r="Q765" s="1"/>
    </row>
    <row r="766" spans="1:17" ht="13.2" x14ac:dyDescent="0.25">
      <c r="A766" s="2">
        <f ca="1">IFERROR(__xludf.DUMMYFUNCTION("""COMPUTED_VALUE"""),45022.5838014467)</f>
        <v>45022.583801446701</v>
      </c>
      <c r="B766" s="1" t="str">
        <f ca="1">IFERROR(__xludf.DUMMYFUNCTION("""COMPUTED_VALUE"""),"India")</f>
        <v>India</v>
      </c>
      <c r="C766" s="1">
        <f ca="1">IFERROR(__xludf.DUMMYFUNCTION("""COMPUTED_VALUE"""),122010)</f>
        <v>122010</v>
      </c>
      <c r="D766" s="3" t="str">
        <f ca="1">IFERROR(__xludf.DUMMYFUNCTION("""COMPUTED_VALUE"""),"Male")</f>
        <v>Male</v>
      </c>
      <c r="E766" s="1" t="str">
        <f ca="1">IFERROR(__xludf.DUMMYFUNCTION("""COMPUTED_VALUE"""),"People who have changed the world for better")</f>
        <v>People who have changed the world for better</v>
      </c>
      <c r="F766" s="1" t="str">
        <f ca="1">IFERROR(__xludf.DUMMYFUNCTION("""COMPUTED_VALUE"""),"Yes, I will earn and do that")</f>
        <v>Yes, I will earn and do that</v>
      </c>
      <c r="G766" s="1" t="str">
        <f ca="1">IFERROR(__xludf.DUMMYFUNCTION("""COMPUTED_VALUE"""),"Will work for 3 years or more")</f>
        <v>Will work for 3 years or more</v>
      </c>
      <c r="H766" s="1" t="str">
        <f ca="1">IFERROR(__xludf.DUMMYFUNCTION("""COMPUTED_VALUE"""),"No")</f>
        <v>No</v>
      </c>
      <c r="I766" s="1" t="str">
        <f ca="1">IFERROR(__xludf.DUMMYFUNCTION("""COMPUTED_VALUE"""),"Will work for them")</f>
        <v>Will work for them</v>
      </c>
      <c r="J766" s="1">
        <f ca="1">IFERROR(__xludf.DUMMYFUNCTION("""COMPUTED_VALUE"""),8)</f>
        <v>8</v>
      </c>
      <c r="K766" s="1" t="str">
        <f ca="1">IFERROR(__xludf.DUMMYFUNCTION("""COMPUTED_VALUE"""),"Fully Remote with No option to visit offices")</f>
        <v>Fully Remote with No option to visit offices</v>
      </c>
      <c r="L766" s="1" t="str">
        <f ca="1">IFERROR(__xludf.DUMMYFUNCTION("""COMPUTED_VALUE"""),"Employer who appreciates learning and enables that environment")</f>
        <v>Employer who appreciates learning and enables that environment</v>
      </c>
      <c r="M7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766" s="1" t="str">
        <f ca="1">IFERROR(__xludf.DUMMYFUNCTION("""COMPUTED_VALUE"""),"Manager who sets goal and helps me achieve it")</f>
        <v>Manager who sets goal and helps me achieve it</v>
      </c>
      <c r="P766" s="1" t="str">
        <f ca="1">IFERROR(__xludf.DUMMYFUNCTION("""COMPUTED_VALUE"""),"Work with 2 to 3 people in my team")</f>
        <v>Work with 2 to 3 people in my team</v>
      </c>
      <c r="Q766" s="1"/>
    </row>
    <row r="767" spans="1:17" ht="13.2" x14ac:dyDescent="0.25">
      <c r="A767" s="2">
        <f ca="1">IFERROR(__xludf.DUMMYFUNCTION("""COMPUTED_VALUE"""),45022.6001559838)</f>
        <v>45022.600155983797</v>
      </c>
      <c r="B767" s="1" t="str">
        <f ca="1">IFERROR(__xludf.DUMMYFUNCTION("""COMPUTED_VALUE"""),"India")</f>
        <v>India</v>
      </c>
      <c r="C767" s="1">
        <f ca="1">IFERROR(__xludf.DUMMYFUNCTION("""COMPUTED_VALUE"""),401105)</f>
        <v>401105</v>
      </c>
      <c r="D767" s="3" t="str">
        <f ca="1">IFERROR(__xludf.DUMMYFUNCTION("""COMPUTED_VALUE"""),"Male")</f>
        <v>Male</v>
      </c>
      <c r="E767" s="1" t="str">
        <f ca="1">IFERROR(__xludf.DUMMYFUNCTION("""COMPUTED_VALUE"""),"Influencers who had successful careers")</f>
        <v>Influencers who had successful careers</v>
      </c>
      <c r="F767" s="1" t="str">
        <f ca="1">IFERROR(__xludf.DUMMYFUNCTION("""COMPUTED_VALUE"""),"No, But if someone could bare the cost I will")</f>
        <v>No, But if someone could bare the cost I will</v>
      </c>
      <c r="G767" s="1" t="str">
        <f ca="1">IFERROR(__xludf.DUMMYFUNCTION("""COMPUTED_VALUE"""),"This will be hard to do, but if it is the right company I would try")</f>
        <v>This will be hard to do, but if it is the right company I would try</v>
      </c>
      <c r="H767" s="1" t="str">
        <f ca="1">IFERROR(__xludf.DUMMYFUNCTION("""COMPUTED_VALUE"""),"No")</f>
        <v>No</v>
      </c>
      <c r="I767" s="1" t="str">
        <f ca="1">IFERROR(__xludf.DUMMYFUNCTION("""COMPUTED_VALUE"""),"Will NOT work for them")</f>
        <v>Will NOT work for them</v>
      </c>
      <c r="J767" s="1">
        <f ca="1">IFERROR(__xludf.DUMMYFUNCTION("""COMPUTED_VALUE"""),6)</f>
        <v>6</v>
      </c>
      <c r="K767" s="1" t="str">
        <f ca="1">IFERROR(__xludf.DUMMYFUNCTION("""COMPUTED_VALUE"""),"Fully Remote with Options to travel as and when needed")</f>
        <v>Fully Remote with Options to travel as and when needed</v>
      </c>
      <c r="L767" s="1" t="str">
        <f ca="1">IFERROR(__xludf.DUMMYFUNCTION("""COMPUTED_VALUE"""),"Employer who pushes your limits by enabling an learning environment, and rewards you at the end")</f>
        <v>Employer who pushes your limits by enabling an learning environment, and rewards you at the end</v>
      </c>
      <c r="M7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7"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767" s="1" t="str">
        <f ca="1">IFERROR(__xludf.DUMMYFUNCTION("""COMPUTED_VALUE"""),"Manager who explains what is expected, sets a goal and helps achieve it")</f>
        <v>Manager who explains what is expected, sets a goal and helps achieve it</v>
      </c>
      <c r="P767" s="1" t="str">
        <f ca="1">IFERROR(__xludf.DUMMYFUNCTION("""COMPUTED_VALUE"""),"Work with 2 to 3 people in my team")</f>
        <v>Work with 2 to 3 people in my team</v>
      </c>
      <c r="Q767" s="1"/>
    </row>
    <row r="768" spans="1:17" ht="13.2" x14ac:dyDescent="0.25">
      <c r="A768" s="2">
        <f ca="1">IFERROR(__xludf.DUMMYFUNCTION("""COMPUTED_VALUE"""),45022.6062017708)</f>
        <v>45022.606201770803</v>
      </c>
      <c r="B768" s="1" t="str">
        <f ca="1">IFERROR(__xludf.DUMMYFUNCTION("""COMPUTED_VALUE"""),"India")</f>
        <v>India</v>
      </c>
      <c r="C768" s="1">
        <f ca="1">IFERROR(__xludf.DUMMYFUNCTION("""COMPUTED_VALUE"""),535218)</f>
        <v>535218</v>
      </c>
      <c r="D768" s="3" t="str">
        <f ca="1">IFERROR(__xludf.DUMMYFUNCTION("""COMPUTED_VALUE"""),"Male")</f>
        <v>Male</v>
      </c>
      <c r="E768" s="1" t="str">
        <f ca="1">IFERROR(__xludf.DUMMYFUNCTION("""COMPUTED_VALUE"""),"My Parents")</f>
        <v>My Parents</v>
      </c>
      <c r="F768" s="1" t="str">
        <f ca="1">IFERROR(__xludf.DUMMYFUNCTION("""COMPUTED_VALUE"""),"No I would not be pursuing Higher Education outside of India")</f>
        <v>No I would not be pursuing Higher Education outside of India</v>
      </c>
      <c r="G768" s="1" t="str">
        <f ca="1">IFERROR(__xludf.DUMMYFUNCTION("""COMPUTED_VALUE"""),"Will work for 3 years or more")</f>
        <v>Will work for 3 years or more</v>
      </c>
      <c r="H768" s="1" t="str">
        <f ca="1">IFERROR(__xludf.DUMMYFUNCTION("""COMPUTED_VALUE"""),"No")</f>
        <v>No</v>
      </c>
      <c r="I768" s="1" t="str">
        <f ca="1">IFERROR(__xludf.DUMMYFUNCTION("""COMPUTED_VALUE"""),"Will NOT work for them")</f>
        <v>Will NOT work for them</v>
      </c>
      <c r="J768" s="1">
        <f ca="1">IFERROR(__xludf.DUMMYFUNCTION("""COMPUTED_VALUE"""),5)</f>
        <v>5</v>
      </c>
      <c r="K768" s="1" t="str">
        <f ca="1">IFERROR(__xludf.DUMMYFUNCTION("""COMPUTED_VALUE"""),"Hybrid Working Environment with more than 15 days a month at office")</f>
        <v>Hybrid Working Environment with more than 15 days a month at office</v>
      </c>
      <c r="L768" s="1" t="str">
        <f ca="1">IFERROR(__xludf.DUMMYFUNCTION("""COMPUTED_VALUE"""),"Employer who rewards learning and enables that environment")</f>
        <v>Employer who rewards learning and enables that environment</v>
      </c>
      <c r="M768" s="1" t="str">
        <f ca="1">IFERROR(__xludf.DUMMYFUNCTION("""COMPUTED_VALUE"""),"Self Paced Learning Portals of the Company, Instructor or Expert Learning Programs, Manager Teaching you")</f>
        <v>Self Paced Learning Portals of the Company, Instructor or Expert Learning Programs, Manager Teaching you</v>
      </c>
      <c r="N768"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768" s="1" t="str">
        <f ca="1">IFERROR(__xludf.DUMMYFUNCTION("""COMPUTED_VALUE"""),"Manager who clearly describes what she/he needs")</f>
        <v>Manager who clearly describes what she/he needs</v>
      </c>
      <c r="P76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68" s="1"/>
    </row>
    <row r="769" spans="1:17" ht="13.2" x14ac:dyDescent="0.25">
      <c r="A769" s="2">
        <f ca="1">IFERROR(__xludf.DUMMYFUNCTION("""COMPUTED_VALUE"""),45022.6066152777)</f>
        <v>45022.606615277698</v>
      </c>
      <c r="B769" s="1" t="str">
        <f ca="1">IFERROR(__xludf.DUMMYFUNCTION("""COMPUTED_VALUE"""),"India")</f>
        <v>India</v>
      </c>
      <c r="C769" s="1">
        <f ca="1">IFERROR(__xludf.DUMMYFUNCTION("""COMPUTED_VALUE"""),401105)</f>
        <v>401105</v>
      </c>
      <c r="D769" s="3" t="str">
        <f ca="1">IFERROR(__xludf.DUMMYFUNCTION("""COMPUTED_VALUE"""),"Male")</f>
        <v>Male</v>
      </c>
      <c r="E769" s="1" t="str">
        <f ca="1">IFERROR(__xludf.DUMMYFUNCTION("""COMPUTED_VALUE"""),"Influencers who had successful careers")</f>
        <v>Influencers who had successful careers</v>
      </c>
      <c r="F769" s="1" t="str">
        <f ca="1">IFERROR(__xludf.DUMMYFUNCTION("""COMPUTED_VALUE"""),"Yes, I will earn and do that")</f>
        <v>Yes, I will earn and do that</v>
      </c>
      <c r="G769" s="1" t="str">
        <f ca="1">IFERROR(__xludf.DUMMYFUNCTION("""COMPUTED_VALUE"""),"Will work for 3 years or more")</f>
        <v>Will work for 3 years or more</v>
      </c>
      <c r="H769" s="1" t="str">
        <f ca="1">IFERROR(__xludf.DUMMYFUNCTION("""COMPUTED_VALUE"""),"No")</f>
        <v>No</v>
      </c>
      <c r="I769" s="1" t="str">
        <f ca="1">IFERROR(__xludf.DUMMYFUNCTION("""COMPUTED_VALUE"""),"Will NOT work for them")</f>
        <v>Will NOT work for them</v>
      </c>
      <c r="J769" s="1">
        <f ca="1">IFERROR(__xludf.DUMMYFUNCTION("""COMPUTED_VALUE"""),5)</f>
        <v>5</v>
      </c>
      <c r="K769" s="1" t="str">
        <f ca="1">IFERROR(__xludf.DUMMYFUNCTION("""COMPUTED_VALUE"""),"Every Day Office Environment")</f>
        <v>Every Day Office Environment</v>
      </c>
      <c r="L769" s="1" t="str">
        <f ca="1">IFERROR(__xludf.DUMMYFUNCTION("""COMPUTED_VALUE"""),"Employer who pushes your limits by enabling an learning environment, and rewards you at the end")</f>
        <v>Employer who pushes your limits by enabling an learning environment, and rewards you at the end</v>
      </c>
      <c r="M7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9"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769" s="1" t="str">
        <f ca="1">IFERROR(__xludf.DUMMYFUNCTION("""COMPUTED_VALUE"""),"Manager who explains what is expected, sets a goal and helps achieve it")</f>
        <v>Manager who explains what is expected, sets a goal and helps achieve it</v>
      </c>
      <c r="P769" s="1" t="str">
        <f ca="1">IFERROR(__xludf.DUMMYFUNCTION("""COMPUTED_VALUE"""),"Work with 2 to 3 people in my team")</f>
        <v>Work with 2 to 3 people in my team</v>
      </c>
      <c r="Q769" s="1"/>
    </row>
    <row r="770" spans="1:17" ht="13.2" x14ac:dyDescent="0.25">
      <c r="A770" s="2">
        <f ca="1">IFERROR(__xludf.DUMMYFUNCTION("""COMPUTED_VALUE"""),45022.606674456)</f>
        <v>45022.606674456001</v>
      </c>
      <c r="B770" s="1" t="str">
        <f ca="1">IFERROR(__xludf.DUMMYFUNCTION("""COMPUTED_VALUE"""),"India")</f>
        <v>India</v>
      </c>
      <c r="C770" s="1">
        <f ca="1">IFERROR(__xludf.DUMMYFUNCTION("""COMPUTED_VALUE"""),110077)</f>
        <v>110077</v>
      </c>
      <c r="D770" s="3" t="str">
        <f ca="1">IFERROR(__xludf.DUMMYFUNCTION("""COMPUTED_VALUE"""),"Male")</f>
        <v>Male</v>
      </c>
      <c r="E770" s="1" t="str">
        <f ca="1">IFERROR(__xludf.DUMMYFUNCTION("""COMPUTED_VALUE"""),"Social Media like LinkedIn")</f>
        <v>Social Media like LinkedIn</v>
      </c>
      <c r="F770" s="1" t="str">
        <f ca="1">IFERROR(__xludf.DUMMYFUNCTION("""COMPUTED_VALUE"""),"No, But if someone could bare the cost I will")</f>
        <v>No, But if someone could bare the cost I will</v>
      </c>
      <c r="G770" s="1" t="str">
        <f ca="1">IFERROR(__xludf.DUMMYFUNCTION("""COMPUTED_VALUE"""),"This will be hard to do, but if it is the right company I would try")</f>
        <v>This will be hard to do, but if it is the right company I would try</v>
      </c>
      <c r="H770" s="1" t="str">
        <f ca="1">IFERROR(__xludf.DUMMYFUNCTION("""COMPUTED_VALUE"""),"No")</f>
        <v>No</v>
      </c>
      <c r="I770" s="1" t="str">
        <f ca="1">IFERROR(__xludf.DUMMYFUNCTION("""COMPUTED_VALUE"""),"Will work for them")</f>
        <v>Will work for them</v>
      </c>
      <c r="J770" s="1">
        <f ca="1">IFERROR(__xludf.DUMMYFUNCTION("""COMPUTED_VALUE"""),5)</f>
        <v>5</v>
      </c>
      <c r="K770" s="1" t="str">
        <f ca="1">IFERROR(__xludf.DUMMYFUNCTION("""COMPUTED_VALUE"""),"Fully Remote with No option to visit offices")</f>
        <v>Fully Remote with No option to visit offices</v>
      </c>
      <c r="L770" s="1" t="str">
        <f ca="1">IFERROR(__xludf.DUMMYFUNCTION("""COMPUTED_VALUE"""),"Employer who pushes your limits by enabling an learning environment, and rewards you at the end")</f>
        <v>Employer who pushes your limits by enabling an learning environment, and rewards you at the end</v>
      </c>
      <c r="M77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0"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770" s="1" t="str">
        <f ca="1">IFERROR(__xludf.DUMMYFUNCTION("""COMPUTED_VALUE"""),"Manager who sets targets and expects me to achieve it")</f>
        <v>Manager who sets targets and expects me to achieve it</v>
      </c>
      <c r="P770" s="1" t="str">
        <f ca="1">IFERROR(__xludf.DUMMYFUNCTION("""COMPUTED_VALUE"""),"Work alone, Work with 7 to 10 or more people in my team, Work with more than 10 people in my team")</f>
        <v>Work alone, Work with 7 to 10 or more people in my team, Work with more than 10 people in my team</v>
      </c>
      <c r="Q770" s="1"/>
    </row>
    <row r="771" spans="1:17" ht="13.2" x14ac:dyDescent="0.25">
      <c r="A771" s="2">
        <f ca="1">IFERROR(__xludf.DUMMYFUNCTION("""COMPUTED_VALUE"""),45022.6173563888)</f>
        <v>45022.617356388801</v>
      </c>
      <c r="B771" s="1" t="str">
        <f ca="1">IFERROR(__xludf.DUMMYFUNCTION("""COMPUTED_VALUE"""),"India")</f>
        <v>India</v>
      </c>
      <c r="C771" s="1">
        <f ca="1">IFERROR(__xludf.DUMMYFUNCTION("""COMPUTED_VALUE"""),401105)</f>
        <v>401105</v>
      </c>
      <c r="D771" s="3" t="str">
        <f ca="1">IFERROR(__xludf.DUMMYFUNCTION("""COMPUTED_VALUE"""),"Male")</f>
        <v>Male</v>
      </c>
      <c r="E771" s="1" t="str">
        <f ca="1">IFERROR(__xludf.DUMMYFUNCTION("""COMPUTED_VALUE"""),"Influencers who had successful careers")</f>
        <v>Influencers who had successful careers</v>
      </c>
      <c r="F771" s="1" t="str">
        <f ca="1">IFERROR(__xludf.DUMMYFUNCTION("""COMPUTED_VALUE"""),"No I would not be pursuing Higher Education outside of India")</f>
        <v>No I would not be pursuing Higher Education outside of India</v>
      </c>
      <c r="G771" s="1" t="str">
        <f ca="1">IFERROR(__xludf.DUMMYFUNCTION("""COMPUTED_VALUE"""),"Will work for 3 years or more")</f>
        <v>Will work for 3 years or more</v>
      </c>
      <c r="H771" s="1" t="str">
        <f ca="1">IFERROR(__xludf.DUMMYFUNCTION("""COMPUTED_VALUE"""),"No")</f>
        <v>No</v>
      </c>
      <c r="I771" s="1" t="str">
        <f ca="1">IFERROR(__xludf.DUMMYFUNCTION("""COMPUTED_VALUE"""),"Will work for them")</f>
        <v>Will work for them</v>
      </c>
      <c r="J771" s="1">
        <f ca="1">IFERROR(__xludf.DUMMYFUNCTION("""COMPUTED_VALUE"""),6)</f>
        <v>6</v>
      </c>
      <c r="K771" s="1" t="str">
        <f ca="1">IFERROR(__xludf.DUMMYFUNCTION("""COMPUTED_VALUE"""),"Hybrid Working Environment with less than 3 days a month at office")</f>
        <v>Hybrid Working Environment with less than 3 days a month at office</v>
      </c>
      <c r="L771" s="1" t="str">
        <f ca="1">IFERROR(__xludf.DUMMYFUNCTION("""COMPUTED_VALUE"""),"Employer who appreciates learning and enables that environment")</f>
        <v>Employer who appreciates learning and enables that environment</v>
      </c>
      <c r="M771" s="1" t="str">
        <f ca="1">IFERROR(__xludf.DUMMYFUNCTION("""COMPUTED_VALUE"""),"Self Paced Learning Portals of the Company, Instructor or Expert Learning Programs, Manager Teaching you")</f>
        <v>Self Paced Learning Portals of the Company, Instructor or Expert Learning Programs, Manager Teaching you</v>
      </c>
      <c r="N77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771" s="1" t="str">
        <f ca="1">IFERROR(__xludf.DUMMYFUNCTION("""COMPUTED_VALUE"""),"Manager who sets targets and expects me to achieve it")</f>
        <v>Manager who sets targets and expects me to achieve it</v>
      </c>
      <c r="P771" s="1" t="str">
        <f ca="1">IFERROR(__xludf.DUMMYFUNCTION("""COMPUTED_VALUE"""),"Work with 2 to 3 people in my team")</f>
        <v>Work with 2 to 3 people in my team</v>
      </c>
      <c r="Q771" s="1"/>
    </row>
    <row r="772" spans="1:17" ht="13.2" x14ac:dyDescent="0.25">
      <c r="A772" s="2">
        <f ca="1">IFERROR(__xludf.DUMMYFUNCTION("""COMPUTED_VALUE"""),45022.617568125)</f>
        <v>45022.617568125002</v>
      </c>
      <c r="B772" s="1" t="str">
        <f ca="1">IFERROR(__xludf.DUMMYFUNCTION("""COMPUTED_VALUE"""),"India")</f>
        <v>India</v>
      </c>
      <c r="C772" s="1">
        <f ca="1">IFERROR(__xludf.DUMMYFUNCTION("""COMPUTED_VALUE"""),400086)</f>
        <v>400086</v>
      </c>
      <c r="D772" s="3" t="str">
        <f ca="1">IFERROR(__xludf.DUMMYFUNCTION("""COMPUTED_VALUE"""),"Female")</f>
        <v>Female</v>
      </c>
      <c r="E772" s="1" t="str">
        <f ca="1">IFERROR(__xludf.DUMMYFUNCTION("""COMPUTED_VALUE"""),"People who have changed the world for better")</f>
        <v>People who have changed the world for better</v>
      </c>
      <c r="F772" s="1" t="str">
        <f ca="1">IFERROR(__xludf.DUMMYFUNCTION("""COMPUTED_VALUE"""),"No I would not be pursuing Higher Education outside of India")</f>
        <v>No I would not be pursuing Higher Education outside of India</v>
      </c>
      <c r="G772" s="1" t="str">
        <f ca="1">IFERROR(__xludf.DUMMYFUNCTION("""COMPUTED_VALUE"""),"This will be hard to do, but if it is the right company I would try")</f>
        <v>This will be hard to do, but if it is the right company I would try</v>
      </c>
      <c r="H772" s="1" t="str">
        <f ca="1">IFERROR(__xludf.DUMMYFUNCTION("""COMPUTED_VALUE"""),"No")</f>
        <v>No</v>
      </c>
      <c r="I772" s="1" t="str">
        <f ca="1">IFERROR(__xludf.DUMMYFUNCTION("""COMPUTED_VALUE"""),"Will NOT work for them")</f>
        <v>Will NOT work for them</v>
      </c>
      <c r="J772" s="1">
        <f ca="1">IFERROR(__xludf.DUMMYFUNCTION("""COMPUTED_VALUE"""),10)</f>
        <v>10</v>
      </c>
      <c r="K772" s="1" t="str">
        <f ca="1">IFERROR(__xludf.DUMMYFUNCTION("""COMPUTED_VALUE"""),"Fully Remote with Options to travel as and when needed")</f>
        <v>Fully Remote with Options to travel as and when needed</v>
      </c>
      <c r="L772" s="1" t="str">
        <f ca="1">IFERROR(__xludf.DUMMYFUNCTION("""COMPUTED_VALUE"""),"Employer who appreciates learning and enables that environment")</f>
        <v>Employer who appreciates learning and enables that environment</v>
      </c>
      <c r="M7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72"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772" s="1" t="str">
        <f ca="1">IFERROR(__xludf.DUMMYFUNCTION("""COMPUTED_VALUE"""),"Manager who clearly describes what she/he needs")</f>
        <v>Manager who clearly describes what she/he needs</v>
      </c>
      <c r="P77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72" s="1"/>
    </row>
    <row r="773" spans="1:17" ht="13.2" x14ac:dyDescent="0.25">
      <c r="A773" s="2">
        <f ca="1">IFERROR(__xludf.DUMMYFUNCTION("""COMPUTED_VALUE"""),45022.6175771296)</f>
        <v>45022.617577129597</v>
      </c>
      <c r="B773" s="1" t="str">
        <f ca="1">IFERROR(__xludf.DUMMYFUNCTION("""COMPUTED_VALUE"""),"India")</f>
        <v>India</v>
      </c>
      <c r="C773" s="1">
        <f ca="1">IFERROR(__xludf.DUMMYFUNCTION("""COMPUTED_VALUE"""),122001)</f>
        <v>122001</v>
      </c>
      <c r="D773" s="3" t="str">
        <f ca="1">IFERROR(__xludf.DUMMYFUNCTION("""COMPUTED_VALUE"""),"Male")</f>
        <v>Male</v>
      </c>
      <c r="E773" s="1" t="str">
        <f ca="1">IFERROR(__xludf.DUMMYFUNCTION("""COMPUTED_VALUE"""),"Social Media like LinkedIn")</f>
        <v>Social Media like LinkedIn</v>
      </c>
      <c r="F773" s="1" t="str">
        <f ca="1">IFERROR(__xludf.DUMMYFUNCTION("""COMPUTED_VALUE"""),"No I would not be pursuing Higher Education outside of India")</f>
        <v>No I would not be pursuing Higher Education outside of India</v>
      </c>
      <c r="G773" s="1" t="str">
        <f ca="1">IFERROR(__xludf.DUMMYFUNCTION("""COMPUTED_VALUE"""),"Will work for 3 years or more")</f>
        <v>Will work for 3 years or more</v>
      </c>
      <c r="H773" s="1" t="str">
        <f ca="1">IFERROR(__xludf.DUMMYFUNCTION("""COMPUTED_VALUE"""),"No")</f>
        <v>No</v>
      </c>
      <c r="I773" s="1" t="str">
        <f ca="1">IFERROR(__xludf.DUMMYFUNCTION("""COMPUTED_VALUE"""),"Will NOT work for them")</f>
        <v>Will NOT work for them</v>
      </c>
      <c r="J773" s="1">
        <f ca="1">IFERROR(__xludf.DUMMYFUNCTION("""COMPUTED_VALUE"""),5)</f>
        <v>5</v>
      </c>
      <c r="K773" s="1" t="str">
        <f ca="1">IFERROR(__xludf.DUMMYFUNCTION("""COMPUTED_VALUE"""),"Hybrid Working Environment with less than 3 days a month at office")</f>
        <v>Hybrid Working Environment with less than 3 days a month at office</v>
      </c>
      <c r="L773" s="1" t="str">
        <f ca="1">IFERROR(__xludf.DUMMYFUNCTION("""COMPUTED_VALUE"""),"Employer who rewards learning and enables that environment")</f>
        <v>Employer who rewards learning and enables that environment</v>
      </c>
      <c r="M77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73" s="1" t="str">
        <f ca="1">IFERROR(__xludf.DUMMYFUNCTION("""COMPUTED_VALUE"""),"Manager who explains what is expected, sets a goal and helps achieve it")</f>
        <v>Manager who explains what is expected, sets a goal and helps achieve it</v>
      </c>
      <c r="P773" s="1" t="str">
        <f ca="1">IFERROR(__xludf.DUMMYFUNCTION("""COMPUTED_VALUE"""),"Work with 7 to 10 or more people in my team")</f>
        <v>Work with 7 to 10 or more people in my team</v>
      </c>
      <c r="Q773" s="1"/>
    </row>
    <row r="774" spans="1:17" ht="13.2" x14ac:dyDescent="0.25">
      <c r="A774" s="2">
        <f ca="1">IFERROR(__xludf.DUMMYFUNCTION("""COMPUTED_VALUE"""),45022.6264064467)</f>
        <v>45022.626406446703</v>
      </c>
      <c r="B774" s="1" t="str">
        <f ca="1">IFERROR(__xludf.DUMMYFUNCTION("""COMPUTED_VALUE"""),"India")</f>
        <v>India</v>
      </c>
      <c r="C774" s="1">
        <f ca="1">IFERROR(__xludf.DUMMYFUNCTION("""COMPUTED_VALUE"""),401107)</f>
        <v>401107</v>
      </c>
      <c r="D774" s="3" t="str">
        <f ca="1">IFERROR(__xludf.DUMMYFUNCTION("""COMPUTED_VALUE"""),"Male")</f>
        <v>Male</v>
      </c>
      <c r="E774" s="1" t="str">
        <f ca="1">IFERROR(__xludf.DUMMYFUNCTION("""COMPUTED_VALUE"""),"My Parents")</f>
        <v>My Parents</v>
      </c>
      <c r="F774" s="1" t="str">
        <f ca="1">IFERROR(__xludf.DUMMYFUNCTION("""COMPUTED_VALUE"""),"No I would not be pursuing Higher Education outside of India")</f>
        <v>No I would not be pursuing Higher Education outside of India</v>
      </c>
      <c r="G774" s="1" t="str">
        <f ca="1">IFERROR(__xludf.DUMMYFUNCTION("""COMPUTED_VALUE"""),"Will work for 3 years or more")</f>
        <v>Will work for 3 years or more</v>
      </c>
      <c r="H774" s="1" t="str">
        <f ca="1">IFERROR(__xludf.DUMMYFUNCTION("""COMPUTED_VALUE"""),"No")</f>
        <v>No</v>
      </c>
      <c r="I774" s="1" t="str">
        <f ca="1">IFERROR(__xludf.DUMMYFUNCTION("""COMPUTED_VALUE"""),"Will work for them")</f>
        <v>Will work for them</v>
      </c>
      <c r="J774" s="1">
        <f ca="1">IFERROR(__xludf.DUMMYFUNCTION("""COMPUTED_VALUE"""),7)</f>
        <v>7</v>
      </c>
      <c r="K774" s="1" t="str">
        <f ca="1">IFERROR(__xludf.DUMMYFUNCTION("""COMPUTED_VALUE"""),"Every Day Office Environment")</f>
        <v>Every Day Office Environment</v>
      </c>
      <c r="L774" s="1" t="str">
        <f ca="1">IFERROR(__xludf.DUMMYFUNCTION("""COMPUTED_VALUE"""),"Employer who pushes your limits by enabling an learning environment, and rewards you at the end")</f>
        <v>Employer who pushes your limits by enabling an learning environment, and rewards you at the end</v>
      </c>
      <c r="M774" s="1" t="str">
        <f ca="1">IFERROR(__xludf.DUMMYFUNCTION("""COMPUTED_VALUE"""),"Self Paced Learning Portals of the Company, Learning by observing others, Manager Teaching you")</f>
        <v>Self Paced Learning Portals of the Company, Learning by observing others, Manager Teaching you</v>
      </c>
      <c r="N774"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74" s="1" t="str">
        <f ca="1">IFERROR(__xludf.DUMMYFUNCTION("""COMPUTED_VALUE"""),"Manager who sets unrealistic targets")</f>
        <v>Manager who sets unrealistic targets</v>
      </c>
      <c r="P774" s="1" t="str">
        <f ca="1">IFERROR(__xludf.DUMMYFUNCTION("""COMPUTED_VALUE"""),"Work with 2 to 3 people in my team")</f>
        <v>Work with 2 to 3 people in my team</v>
      </c>
      <c r="Q774" s="1"/>
    </row>
    <row r="775" spans="1:17" ht="13.2" x14ac:dyDescent="0.25">
      <c r="A775" s="2">
        <f ca="1">IFERROR(__xludf.DUMMYFUNCTION("""COMPUTED_VALUE"""),45022.6289756481)</f>
        <v>45022.628975648098</v>
      </c>
      <c r="B775" s="1" t="str">
        <f ca="1">IFERROR(__xludf.DUMMYFUNCTION("""COMPUTED_VALUE"""),"India")</f>
        <v>India</v>
      </c>
      <c r="C775" s="1">
        <f ca="1">IFERROR(__xludf.DUMMYFUNCTION("""COMPUTED_VALUE"""),122001)</f>
        <v>122001</v>
      </c>
      <c r="D775" s="3" t="str">
        <f ca="1">IFERROR(__xludf.DUMMYFUNCTION("""COMPUTED_VALUE"""),"Male")</f>
        <v>Male</v>
      </c>
      <c r="E775" s="1" t="str">
        <f ca="1">IFERROR(__xludf.DUMMYFUNCTION("""COMPUTED_VALUE"""),"People from my circle, but not family members")</f>
        <v>People from my circle, but not family members</v>
      </c>
      <c r="F775" s="1" t="str">
        <f ca="1">IFERROR(__xludf.DUMMYFUNCTION("""COMPUTED_VALUE"""),"No I would not be pursuing Higher Education outside of India")</f>
        <v>No I would not be pursuing Higher Education outside of India</v>
      </c>
      <c r="G775" s="1" t="str">
        <f ca="1">IFERROR(__xludf.DUMMYFUNCTION("""COMPUTED_VALUE"""),"Will work for 3 years or more")</f>
        <v>Will work for 3 years or more</v>
      </c>
      <c r="H775" s="1" t="str">
        <f ca="1">IFERROR(__xludf.DUMMYFUNCTION("""COMPUTED_VALUE"""),"Yes")</f>
        <v>Yes</v>
      </c>
      <c r="I775" s="1" t="str">
        <f ca="1">IFERROR(__xludf.DUMMYFUNCTION("""COMPUTED_VALUE"""),"Will NOT work for them")</f>
        <v>Will NOT work for them</v>
      </c>
      <c r="J775" s="1">
        <f ca="1">IFERROR(__xludf.DUMMYFUNCTION("""COMPUTED_VALUE"""),5)</f>
        <v>5</v>
      </c>
      <c r="K775" s="1" t="str">
        <f ca="1">IFERROR(__xludf.DUMMYFUNCTION("""COMPUTED_VALUE"""),"Fully Remote with Options to travel as and when needed")</f>
        <v>Fully Remote with Options to travel as and when needed</v>
      </c>
      <c r="L775" s="1" t="str">
        <f ca="1">IFERROR(__xludf.DUMMYFUNCTION("""COMPUTED_VALUE"""),"Employer who pushes your limits by enabling an learning environment, and rewards you at the end")</f>
        <v>Employer who pushes your limits by enabling an learning environment, and rewards you at the end</v>
      </c>
      <c r="M77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75" s="1" t="str">
        <f ca="1">IFERROR(__xludf.DUMMYFUNCTION("""COMPUTED_VALUE"""),"Business Operations in any organization, Build and develop a Team, Design and Develop amazing software, An Artificial Intelligence Specialist / Talking to Robots")</f>
        <v>Business Operations in any organization, Build and develop a Team, Design and Develop amazing software, An Artificial Intelligence Specialist / Talking to Robots</v>
      </c>
      <c r="O775" s="1" t="str">
        <f ca="1">IFERROR(__xludf.DUMMYFUNCTION("""COMPUTED_VALUE"""),"Manager who sets goal and helps me achieve it")</f>
        <v>Manager who sets goal and helps me achieve it</v>
      </c>
      <c r="P775" s="1" t="str">
        <f ca="1">IFERROR(__xludf.DUMMYFUNCTION("""COMPUTED_VALUE"""),"Work with 2 to 3 people in my team")</f>
        <v>Work with 2 to 3 people in my team</v>
      </c>
      <c r="Q775" s="1"/>
    </row>
    <row r="776" spans="1:17" ht="13.2" x14ac:dyDescent="0.25">
      <c r="A776" s="2">
        <f ca="1">IFERROR(__xludf.DUMMYFUNCTION("""COMPUTED_VALUE"""),45022.6415342939)</f>
        <v>45022.6415342939</v>
      </c>
      <c r="B776" s="1" t="str">
        <f ca="1">IFERROR(__xludf.DUMMYFUNCTION("""COMPUTED_VALUE"""),"India")</f>
        <v>India</v>
      </c>
      <c r="C776" s="1">
        <f ca="1">IFERROR(__xludf.DUMMYFUNCTION("""COMPUTED_VALUE"""),400067)</f>
        <v>400067</v>
      </c>
      <c r="D776" s="3" t="str">
        <f ca="1">IFERROR(__xludf.DUMMYFUNCTION("""COMPUTED_VALUE"""),"Female")</f>
        <v>Female</v>
      </c>
      <c r="E776" s="1" t="str">
        <f ca="1">IFERROR(__xludf.DUMMYFUNCTION("""COMPUTED_VALUE"""),"People who have changed the world for better")</f>
        <v>People who have changed the world for better</v>
      </c>
      <c r="F776" s="1" t="str">
        <f ca="1">IFERROR(__xludf.DUMMYFUNCTION("""COMPUTED_VALUE"""),"Yes, I will earn and do that")</f>
        <v>Yes, I will earn and do that</v>
      </c>
      <c r="G776" s="1" t="str">
        <f ca="1">IFERROR(__xludf.DUMMYFUNCTION("""COMPUTED_VALUE"""),"No way")</f>
        <v>No way</v>
      </c>
      <c r="H776" s="1" t="str">
        <f ca="1">IFERROR(__xludf.DUMMYFUNCTION("""COMPUTED_VALUE"""),"No")</f>
        <v>No</v>
      </c>
      <c r="I776" s="1" t="str">
        <f ca="1">IFERROR(__xludf.DUMMYFUNCTION("""COMPUTED_VALUE"""),"Will NOT work for them")</f>
        <v>Will NOT work for them</v>
      </c>
      <c r="J776" s="1">
        <f ca="1">IFERROR(__xludf.DUMMYFUNCTION("""COMPUTED_VALUE"""),3)</f>
        <v>3</v>
      </c>
      <c r="K776" s="1" t="str">
        <f ca="1">IFERROR(__xludf.DUMMYFUNCTION("""COMPUTED_VALUE"""),"Hybrid Working Environment with more than 15 days a month at office")</f>
        <v>Hybrid Working Environment with more than 15 days a month at office</v>
      </c>
      <c r="L776" s="1" t="str">
        <f ca="1">IFERROR(__xludf.DUMMYFUNCTION("""COMPUTED_VALUE"""),"Employer who rewards learning and enables that environment")</f>
        <v>Employer who rewards learning and enables that environment</v>
      </c>
      <c r="M776" s="1" t="str">
        <f ca="1">IFERROR(__xludf.DUMMYFUNCTION("""COMPUTED_VALUE"""),"Self Paced Learning Portals of the Company, Learning by observing others, Manager Teaching you")</f>
        <v>Self Paced Learning Portals of the Company, Learning by observing others, Manager Teaching you</v>
      </c>
      <c r="N776"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776" s="1" t="str">
        <f ca="1">IFERROR(__xludf.DUMMYFUNCTION("""COMPUTED_VALUE"""),"Manager who sets targets and expects me to achieve it")</f>
        <v>Manager who sets targets and expects me to achieve it</v>
      </c>
      <c r="P776" s="1" t="str">
        <f ca="1">IFERROR(__xludf.DUMMYFUNCTION("""COMPUTED_VALUE"""),"Work with 5 to 6 people in my team")</f>
        <v>Work with 5 to 6 people in my team</v>
      </c>
      <c r="Q776" s="1"/>
    </row>
    <row r="777" spans="1:17" ht="13.2" x14ac:dyDescent="0.25">
      <c r="A777" s="2">
        <f ca="1">IFERROR(__xludf.DUMMYFUNCTION("""COMPUTED_VALUE"""),45022.6485037037)</f>
        <v>45022.648503703698</v>
      </c>
      <c r="B777" s="1" t="str">
        <f ca="1">IFERROR(__xludf.DUMMYFUNCTION("""COMPUTED_VALUE"""),"UAE")</f>
        <v>UAE</v>
      </c>
      <c r="C777" s="1">
        <f ca="1">IFERROR(__xludf.DUMMYFUNCTION("""COMPUTED_VALUE"""),61455)</f>
        <v>61455</v>
      </c>
      <c r="D777" s="3" t="str">
        <f ca="1">IFERROR(__xludf.DUMMYFUNCTION("""COMPUTED_VALUE"""),"Male")</f>
        <v>Male</v>
      </c>
      <c r="E777" s="1" t="str">
        <f ca="1">IFERROR(__xludf.DUMMYFUNCTION("""COMPUTED_VALUE"""),"My Parents")</f>
        <v>My Parents</v>
      </c>
      <c r="F777" s="1" t="str">
        <f ca="1">IFERROR(__xludf.DUMMYFUNCTION("""COMPUTED_VALUE"""),"Yes, I will earn and do that")</f>
        <v>Yes, I will earn and do that</v>
      </c>
      <c r="G777" s="1" t="str">
        <f ca="1">IFERROR(__xludf.DUMMYFUNCTION("""COMPUTED_VALUE"""),"No way")</f>
        <v>No way</v>
      </c>
      <c r="H777" s="1" t="str">
        <f ca="1">IFERROR(__xludf.DUMMYFUNCTION("""COMPUTED_VALUE"""),"Yes")</f>
        <v>Yes</v>
      </c>
      <c r="I777" s="1" t="str">
        <f ca="1">IFERROR(__xludf.DUMMYFUNCTION("""COMPUTED_VALUE"""),"Will NOT work for them")</f>
        <v>Will NOT work for them</v>
      </c>
      <c r="J777" s="1">
        <f ca="1">IFERROR(__xludf.DUMMYFUNCTION("""COMPUTED_VALUE"""),8)</f>
        <v>8</v>
      </c>
      <c r="K777" s="1" t="str">
        <f ca="1">IFERROR(__xludf.DUMMYFUNCTION("""COMPUTED_VALUE"""),"Fully Remote with Options to travel as and when needed")</f>
        <v>Fully Remote with Options to travel as and when needed</v>
      </c>
      <c r="L777" s="1" t="str">
        <f ca="1">IFERROR(__xludf.DUMMYFUNCTION("""COMPUTED_VALUE"""),"Employer who appreciates learning and enables that environment")</f>
        <v>Employer who appreciates learning and enables that environment</v>
      </c>
      <c r="M77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7"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777" s="1" t="str">
        <f ca="1">IFERROR(__xludf.DUMMYFUNCTION("""COMPUTED_VALUE"""),"Manager who clearly describes what she/he needs")</f>
        <v>Manager who clearly describes what she/he needs</v>
      </c>
      <c r="P777" s="1" t="str">
        <f ca="1">IFERROR(__xludf.DUMMYFUNCTION("""COMPUTED_VALUE"""),"Work with 5 to 6 people in my team")</f>
        <v>Work with 5 to 6 people in my team</v>
      </c>
      <c r="Q777" s="1"/>
    </row>
    <row r="778" spans="1:17" ht="13.2" x14ac:dyDescent="0.25">
      <c r="A778" s="2">
        <f ca="1">IFERROR(__xludf.DUMMYFUNCTION("""COMPUTED_VALUE"""),45022.6487885416)</f>
        <v>45022.648788541599</v>
      </c>
      <c r="B778" s="1" t="str">
        <f ca="1">IFERROR(__xludf.DUMMYFUNCTION("""COMPUTED_VALUE"""),"India")</f>
        <v>India</v>
      </c>
      <c r="C778" s="1">
        <f ca="1">IFERROR(__xludf.DUMMYFUNCTION("""COMPUTED_VALUE"""),507115)</f>
        <v>507115</v>
      </c>
      <c r="D778" s="3" t="str">
        <f ca="1">IFERROR(__xludf.DUMMYFUNCTION("""COMPUTED_VALUE"""),"Male")</f>
        <v>Male</v>
      </c>
      <c r="E778" s="1" t="str">
        <f ca="1">IFERROR(__xludf.DUMMYFUNCTION("""COMPUTED_VALUE"""),"My Parents")</f>
        <v>My Parents</v>
      </c>
      <c r="F778" s="1" t="str">
        <f ca="1">IFERROR(__xludf.DUMMYFUNCTION("""COMPUTED_VALUE"""),"Yes, I will earn and do that")</f>
        <v>Yes, I will earn and do that</v>
      </c>
      <c r="G778" s="1" t="str">
        <f ca="1">IFERROR(__xludf.DUMMYFUNCTION("""COMPUTED_VALUE"""),"This will be hard to do, but if it is the right company I would try")</f>
        <v>This will be hard to do, but if it is the right company I would try</v>
      </c>
      <c r="H778" s="1" t="str">
        <f ca="1">IFERROR(__xludf.DUMMYFUNCTION("""COMPUTED_VALUE"""),"No")</f>
        <v>No</v>
      </c>
      <c r="I778" s="1" t="str">
        <f ca="1">IFERROR(__xludf.DUMMYFUNCTION("""COMPUTED_VALUE"""),"Will NOT work for them")</f>
        <v>Will NOT work for them</v>
      </c>
      <c r="J778" s="1">
        <f ca="1">IFERROR(__xludf.DUMMYFUNCTION("""COMPUTED_VALUE"""),5)</f>
        <v>5</v>
      </c>
      <c r="K778" s="1" t="str">
        <f ca="1">IFERROR(__xludf.DUMMYFUNCTION("""COMPUTED_VALUE"""),"Fully Remote with Options to travel as and when needed")</f>
        <v>Fully Remote with Options to travel as and when needed</v>
      </c>
      <c r="L778" s="1" t="str">
        <f ca="1">IFERROR(__xludf.DUMMYFUNCTION("""COMPUTED_VALUE"""),"Employer who appreciates learning and enables that environment")</f>
        <v>Employer who appreciates learning and enables that environment</v>
      </c>
      <c r="M77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78"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778" s="1" t="str">
        <f ca="1">IFERROR(__xludf.DUMMYFUNCTION("""COMPUTED_VALUE"""),"Manager who clearly describes what she/he needs")</f>
        <v>Manager who clearly describes what she/he needs</v>
      </c>
      <c r="P778"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778" s="1"/>
    </row>
    <row r="779" spans="1:17" ht="13.2" x14ac:dyDescent="0.25">
      <c r="A779" s="2">
        <f ca="1">IFERROR(__xludf.DUMMYFUNCTION("""COMPUTED_VALUE"""),45022.6492488194)</f>
        <v>45022.649248819398</v>
      </c>
      <c r="B779" s="1" t="str">
        <f ca="1">IFERROR(__xludf.DUMMYFUNCTION("""COMPUTED_VALUE"""),"India")</f>
        <v>India</v>
      </c>
      <c r="C779" s="1">
        <f ca="1">IFERROR(__xludf.DUMMYFUNCTION("""COMPUTED_VALUE"""),507002)</f>
        <v>507002</v>
      </c>
      <c r="D779" s="3" t="str">
        <f ca="1">IFERROR(__xludf.DUMMYFUNCTION("""COMPUTED_VALUE"""),"Male")</f>
        <v>Male</v>
      </c>
      <c r="E779" s="1" t="str">
        <f ca="1">IFERROR(__xludf.DUMMYFUNCTION("""COMPUTED_VALUE"""),"People who have changed the world for better")</f>
        <v>People who have changed the world for better</v>
      </c>
      <c r="F779" s="1" t="str">
        <f ca="1">IFERROR(__xludf.DUMMYFUNCTION("""COMPUTED_VALUE"""),"Yes, I will earn and do that")</f>
        <v>Yes, I will earn and do that</v>
      </c>
      <c r="G779" s="1" t="str">
        <f ca="1">IFERROR(__xludf.DUMMYFUNCTION("""COMPUTED_VALUE"""),"Will work for 3 years or more")</f>
        <v>Will work for 3 years or more</v>
      </c>
      <c r="H779" s="1" t="str">
        <f ca="1">IFERROR(__xludf.DUMMYFUNCTION("""COMPUTED_VALUE"""),"Yes")</f>
        <v>Yes</v>
      </c>
      <c r="I779" s="1" t="str">
        <f ca="1">IFERROR(__xludf.DUMMYFUNCTION("""COMPUTED_VALUE"""),"Will work for them")</f>
        <v>Will work for them</v>
      </c>
      <c r="J779" s="1">
        <f ca="1">IFERROR(__xludf.DUMMYFUNCTION("""COMPUTED_VALUE"""),10)</f>
        <v>10</v>
      </c>
      <c r="K779" s="1" t="str">
        <f ca="1">IFERROR(__xludf.DUMMYFUNCTION("""COMPUTED_VALUE"""),"Hybrid Working Environment with less than 3 days a month at office")</f>
        <v>Hybrid Working Environment with less than 3 days a month at office</v>
      </c>
      <c r="L779" s="1" t="str">
        <f ca="1">IFERROR(__xludf.DUMMYFUNCTION("""COMPUTED_VALUE"""),"Employer who appreciates learning and enables that environment")</f>
        <v>Employer who appreciates learning and enables that environment</v>
      </c>
      <c r="M7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79"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779" s="1" t="str">
        <f ca="1">IFERROR(__xludf.DUMMYFUNCTION("""COMPUTED_VALUE"""),"Manager who sets goal and helps me achieve it")</f>
        <v>Manager who sets goal and helps me achieve it</v>
      </c>
      <c r="P779" s="1" t="str">
        <f ca="1">IFERROR(__xludf.DUMMYFUNCTION("""COMPUTED_VALUE"""),"Work with more than 10 people in my team")</f>
        <v>Work with more than 10 people in my team</v>
      </c>
      <c r="Q779" s="1"/>
    </row>
    <row r="780" spans="1:17" ht="13.2" x14ac:dyDescent="0.25">
      <c r="A780" s="2">
        <f ca="1">IFERROR(__xludf.DUMMYFUNCTION("""COMPUTED_VALUE"""),45022.6502233796)</f>
        <v>45022.650223379598</v>
      </c>
      <c r="B780" s="1" t="str">
        <f ca="1">IFERROR(__xludf.DUMMYFUNCTION("""COMPUTED_VALUE"""),"India")</f>
        <v>India</v>
      </c>
      <c r="C780" s="1">
        <f ca="1">IFERROR(__xludf.DUMMYFUNCTION("""COMPUTED_VALUE"""),380054)</f>
        <v>380054</v>
      </c>
      <c r="D780" s="3" t="str">
        <f ca="1">IFERROR(__xludf.DUMMYFUNCTION("""COMPUTED_VALUE"""),"Female")</f>
        <v>Female</v>
      </c>
      <c r="E780" s="1" t="str">
        <f ca="1">IFERROR(__xludf.DUMMYFUNCTION("""COMPUTED_VALUE"""),"My Parents")</f>
        <v>My Parents</v>
      </c>
      <c r="F780" s="1" t="str">
        <f ca="1">IFERROR(__xludf.DUMMYFUNCTION("""COMPUTED_VALUE"""),"No I would not be pursuing Higher Education outside of India")</f>
        <v>No I would not be pursuing Higher Education outside of India</v>
      </c>
      <c r="G780" s="1" t="str">
        <f ca="1">IFERROR(__xludf.DUMMYFUNCTION("""COMPUTED_VALUE"""),"Will work for 3 years or more")</f>
        <v>Will work for 3 years or more</v>
      </c>
      <c r="H780" s="1" t="str">
        <f ca="1">IFERROR(__xludf.DUMMYFUNCTION("""COMPUTED_VALUE"""),"Yes")</f>
        <v>Yes</v>
      </c>
      <c r="I780" s="1" t="str">
        <f ca="1">IFERROR(__xludf.DUMMYFUNCTION("""COMPUTED_VALUE"""),"Will NOT work for them")</f>
        <v>Will NOT work for them</v>
      </c>
      <c r="J780" s="1">
        <f ca="1">IFERROR(__xludf.DUMMYFUNCTION("""COMPUTED_VALUE"""),10)</f>
        <v>10</v>
      </c>
      <c r="K780" s="1" t="str">
        <f ca="1">IFERROR(__xludf.DUMMYFUNCTION("""COMPUTED_VALUE"""),"Every Day Office Environment")</f>
        <v>Every Day Office Environment</v>
      </c>
      <c r="L780" s="1" t="str">
        <f ca="1">IFERROR(__xludf.DUMMYFUNCTION("""COMPUTED_VALUE"""),"Employer who pushes your limits by enabling an learning environment, and rewards you at the end")</f>
        <v>Employer who pushes your limits by enabling an learning environment, and rewards you at the end</v>
      </c>
      <c r="M78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80" s="1" t="str">
        <f ca="1">IFERROR(__xludf.DUMMYFUNCTION("""COMPUTED_VALUE"""),"Work as a freelancer and do my thing my way, Entrepreneur or Start Up, I Want to sell things/Sales, Manufacturing / Oil and Gas/ Construction / Hard Physical Work related")</f>
        <v>Work as a freelancer and do my thing my way, Entrepreneur or Start Up, I Want to sell things/Sales, Manufacturing / Oil and Gas/ Construction / Hard Physical Work related</v>
      </c>
      <c r="O780" s="1" t="str">
        <f ca="1">IFERROR(__xludf.DUMMYFUNCTION("""COMPUTED_VALUE"""),"Manager who explains what is expected, sets a goal and helps achieve it")</f>
        <v>Manager who explains what is expected, sets a goal and helps achieve it</v>
      </c>
      <c r="P780" s="1" t="str">
        <f ca="1">IFERROR(__xludf.DUMMYFUNCTION("""COMPUTED_VALUE"""),"Work with more than 10 people in my team")</f>
        <v>Work with more than 10 people in my team</v>
      </c>
      <c r="Q780" s="1"/>
    </row>
    <row r="781" spans="1:17" ht="13.2" x14ac:dyDescent="0.25">
      <c r="A781" s="2">
        <f ca="1">IFERROR(__xludf.DUMMYFUNCTION("""COMPUTED_VALUE"""),45022.6503503935)</f>
        <v>45022.650350393502</v>
      </c>
      <c r="B781" s="1" t="str">
        <f ca="1">IFERROR(__xludf.DUMMYFUNCTION("""COMPUTED_VALUE"""),"India")</f>
        <v>India</v>
      </c>
      <c r="C781" s="1">
        <f ca="1">IFERROR(__xludf.DUMMYFUNCTION("""COMPUTED_VALUE"""),507001)</f>
        <v>507001</v>
      </c>
      <c r="D781" s="3" t="str">
        <f ca="1">IFERROR(__xludf.DUMMYFUNCTION("""COMPUTED_VALUE"""),"Male")</f>
        <v>Male</v>
      </c>
      <c r="E781" s="1" t="str">
        <f ca="1">IFERROR(__xludf.DUMMYFUNCTION("""COMPUTED_VALUE"""),"Influencers who had successful careers")</f>
        <v>Influencers who had successful careers</v>
      </c>
      <c r="F781" s="1" t="str">
        <f ca="1">IFERROR(__xludf.DUMMYFUNCTION("""COMPUTED_VALUE"""),"Yes, I will earn and do that")</f>
        <v>Yes, I will earn and do that</v>
      </c>
      <c r="G781" s="1" t="str">
        <f ca="1">IFERROR(__xludf.DUMMYFUNCTION("""COMPUTED_VALUE"""),"This will be hard to do, but if it is the right company I would try")</f>
        <v>This will be hard to do, but if it is the right company I would try</v>
      </c>
      <c r="H781" s="1" t="str">
        <f ca="1">IFERROR(__xludf.DUMMYFUNCTION("""COMPUTED_VALUE"""),"No")</f>
        <v>No</v>
      </c>
      <c r="I781" s="1" t="str">
        <f ca="1">IFERROR(__xludf.DUMMYFUNCTION("""COMPUTED_VALUE"""),"Will NOT work for them")</f>
        <v>Will NOT work for them</v>
      </c>
      <c r="J781" s="1">
        <f ca="1">IFERROR(__xludf.DUMMYFUNCTION("""COMPUTED_VALUE"""),7)</f>
        <v>7</v>
      </c>
      <c r="K781" s="1" t="str">
        <f ca="1">IFERROR(__xludf.DUMMYFUNCTION("""COMPUTED_VALUE"""),"Fully Remote with Options to travel as and when needed")</f>
        <v>Fully Remote with Options to travel as and when needed</v>
      </c>
      <c r="L781" s="1" t="str">
        <f ca="1">IFERROR(__xludf.DUMMYFUNCTION("""COMPUTED_VALUE"""),"Employer who rewards learning and enables that environment")</f>
        <v>Employer who rewards learning and enables that environment</v>
      </c>
      <c r="M781"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8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781" s="1" t="str">
        <f ca="1">IFERROR(__xludf.DUMMYFUNCTION("""COMPUTED_VALUE"""),"Manager who explains what is expected, sets a goal and helps achieve it")</f>
        <v>Manager who explains what is expected, sets a goal and helps achieve it</v>
      </c>
      <c r="P781" s="1" t="str">
        <f ca="1">IFERROR(__xludf.DUMMYFUNCTION("""COMPUTED_VALUE"""),"Work with 2 to 3 people in my team")</f>
        <v>Work with 2 to 3 people in my team</v>
      </c>
      <c r="Q781" s="1"/>
    </row>
    <row r="782" spans="1:17" ht="13.2" x14ac:dyDescent="0.25">
      <c r="A782" s="2">
        <f ca="1">IFERROR(__xludf.DUMMYFUNCTION("""COMPUTED_VALUE"""),45022.6505352777)</f>
        <v>45022.650535277702</v>
      </c>
      <c r="B782" s="1" t="str">
        <f ca="1">IFERROR(__xludf.DUMMYFUNCTION("""COMPUTED_VALUE"""),"India")</f>
        <v>India</v>
      </c>
      <c r="C782" s="1">
        <f ca="1">IFERROR(__xludf.DUMMYFUNCTION("""COMPUTED_VALUE"""),560096)</f>
        <v>560096</v>
      </c>
      <c r="D782" s="3" t="str">
        <f ca="1">IFERROR(__xludf.DUMMYFUNCTION("""COMPUTED_VALUE"""),"Female")</f>
        <v>Female</v>
      </c>
      <c r="E782" s="1" t="str">
        <f ca="1">IFERROR(__xludf.DUMMYFUNCTION("""COMPUTED_VALUE"""),"People who have changed the world for better")</f>
        <v>People who have changed the world for better</v>
      </c>
      <c r="F782" s="1" t="str">
        <f ca="1">IFERROR(__xludf.DUMMYFUNCTION("""COMPUTED_VALUE"""),"No, But if someone could bare the cost I will")</f>
        <v>No, But if someone could bare the cost I will</v>
      </c>
      <c r="G782" s="1" t="str">
        <f ca="1">IFERROR(__xludf.DUMMYFUNCTION("""COMPUTED_VALUE"""),"This will be hard to do, but if it is the right company I would try")</f>
        <v>This will be hard to do, but if it is the right company I would try</v>
      </c>
      <c r="H782" s="1" t="str">
        <f ca="1">IFERROR(__xludf.DUMMYFUNCTION("""COMPUTED_VALUE"""),"No")</f>
        <v>No</v>
      </c>
      <c r="I782" s="1" t="str">
        <f ca="1">IFERROR(__xludf.DUMMYFUNCTION("""COMPUTED_VALUE"""),"Will NOT work for them")</f>
        <v>Will NOT work for them</v>
      </c>
      <c r="J782" s="1">
        <f ca="1">IFERROR(__xludf.DUMMYFUNCTION("""COMPUTED_VALUE"""),5)</f>
        <v>5</v>
      </c>
      <c r="K782" s="1" t="str">
        <f ca="1">IFERROR(__xludf.DUMMYFUNCTION("""COMPUTED_VALUE"""),"Hybrid Working Environment with more than 15 days a month at office")</f>
        <v>Hybrid Working Environment with more than 15 days a month at office</v>
      </c>
      <c r="L782" s="1" t="str">
        <f ca="1">IFERROR(__xludf.DUMMYFUNCTION("""COMPUTED_VALUE"""),"Employer who rewards learning and enables that environment")</f>
        <v>Employer who rewards learning and enables that environment</v>
      </c>
      <c r="M78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82" s="1" t="str">
        <f ca="1">IFERROR(__xludf.DUMMYFUNCTION("""COMPUTED_VALUE"""),"Manager who explains what is expected, sets a goal and helps achieve it")</f>
        <v>Manager who explains what is expected, sets a goal and helps achieve it</v>
      </c>
      <c r="P782" s="1" t="str">
        <f ca="1">IFERROR(__xludf.DUMMYFUNCTION("""COMPUTED_VALUE"""),"Work with 2 to 3 people in my team, Work with 5 to 6 people in my team")</f>
        <v>Work with 2 to 3 people in my team, Work with 5 to 6 people in my team</v>
      </c>
      <c r="Q782" s="1"/>
    </row>
    <row r="783" spans="1:17" ht="13.2" x14ac:dyDescent="0.25">
      <c r="A783" s="2">
        <f ca="1">IFERROR(__xludf.DUMMYFUNCTION("""COMPUTED_VALUE"""),45022.6526775463)</f>
        <v>45022.652677546299</v>
      </c>
      <c r="B783" s="1" t="str">
        <f ca="1">IFERROR(__xludf.DUMMYFUNCTION("""COMPUTED_VALUE"""),"India")</f>
        <v>India</v>
      </c>
      <c r="C783" s="1">
        <f ca="1">IFERROR(__xludf.DUMMYFUNCTION("""COMPUTED_VALUE"""),380006)</f>
        <v>380006</v>
      </c>
      <c r="D783" s="3" t="str">
        <f ca="1">IFERROR(__xludf.DUMMYFUNCTION("""COMPUTED_VALUE"""),"Male")</f>
        <v>Male</v>
      </c>
      <c r="E783" s="1" t="str">
        <f ca="1">IFERROR(__xludf.DUMMYFUNCTION("""COMPUTED_VALUE"""),"People who have changed the world for better")</f>
        <v>People who have changed the world for better</v>
      </c>
      <c r="F783" s="1" t="str">
        <f ca="1">IFERROR(__xludf.DUMMYFUNCTION("""COMPUTED_VALUE"""),"No, But if someone could bare the cost I will")</f>
        <v>No, But if someone could bare the cost I will</v>
      </c>
      <c r="G783" s="1" t="str">
        <f ca="1">IFERROR(__xludf.DUMMYFUNCTION("""COMPUTED_VALUE"""),"Will work for 3 years or more")</f>
        <v>Will work for 3 years or more</v>
      </c>
      <c r="H783" s="1" t="str">
        <f ca="1">IFERROR(__xludf.DUMMYFUNCTION("""COMPUTED_VALUE"""),"No")</f>
        <v>No</v>
      </c>
      <c r="I783" s="1" t="str">
        <f ca="1">IFERROR(__xludf.DUMMYFUNCTION("""COMPUTED_VALUE"""),"Will NOT work for them")</f>
        <v>Will NOT work for them</v>
      </c>
      <c r="J783" s="1">
        <f ca="1">IFERROR(__xludf.DUMMYFUNCTION("""COMPUTED_VALUE"""),3)</f>
        <v>3</v>
      </c>
      <c r="K783" s="1" t="str">
        <f ca="1">IFERROR(__xludf.DUMMYFUNCTION("""COMPUTED_VALUE"""),"Fully Remote with Options to travel as and when needed")</f>
        <v>Fully Remote with Options to travel as and when needed</v>
      </c>
      <c r="L783" s="1" t="str">
        <f ca="1">IFERROR(__xludf.DUMMYFUNCTION("""COMPUTED_VALUE"""),"Employer who pushes your limits by enabling an learning environment, and rewards you at the end")</f>
        <v>Employer who pushes your limits by enabling an learning environment, and rewards you at the end</v>
      </c>
      <c r="M7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83" s="1" t="str">
        <f ca="1">IFERROR(__xludf.DUMMYFUNCTION("""COMPUTED_VALUE"""),"Business Operations in any organization, Manage and drive End-to-End Projects or Products, Build and develop a Team, Work as a freelancer and do my thing my way")</f>
        <v>Business Operations in any organization, Manage and drive End-to-End Projects or Products, Build and develop a Team, Work as a freelancer and do my thing my way</v>
      </c>
      <c r="O783" s="1" t="str">
        <f ca="1">IFERROR(__xludf.DUMMYFUNCTION("""COMPUTED_VALUE"""),"Manager who explains what is expected, sets a goal and helps achieve it")</f>
        <v>Manager who explains what is expected, sets a goal and helps achieve it</v>
      </c>
      <c r="P783" s="1" t="str">
        <f ca="1">IFERROR(__xludf.DUMMYFUNCTION("""COMPUTED_VALUE"""),"Work with 5 to 6 people in my team")</f>
        <v>Work with 5 to 6 people in my team</v>
      </c>
      <c r="Q783" s="1"/>
    </row>
    <row r="784" spans="1:17" ht="13.2" x14ac:dyDescent="0.25">
      <c r="A784" s="2">
        <f ca="1">IFERROR(__xludf.DUMMYFUNCTION("""COMPUTED_VALUE"""),45022.654706956)</f>
        <v>45022.654706955997</v>
      </c>
      <c r="B784" s="1" t="str">
        <f ca="1">IFERROR(__xludf.DUMMYFUNCTION("""COMPUTED_VALUE"""),"India")</f>
        <v>India</v>
      </c>
      <c r="C784" s="1">
        <f ca="1">IFERROR(__xludf.DUMMYFUNCTION("""COMPUTED_VALUE"""),507001)</f>
        <v>507001</v>
      </c>
      <c r="D784" s="3" t="str">
        <f ca="1">IFERROR(__xludf.DUMMYFUNCTION("""COMPUTED_VALUE"""),"Female")</f>
        <v>Female</v>
      </c>
      <c r="E784" s="1" t="str">
        <f ca="1">IFERROR(__xludf.DUMMYFUNCTION("""COMPUTED_VALUE"""),"Influencers who had successful careers")</f>
        <v>Influencers who had successful careers</v>
      </c>
      <c r="F784" s="1" t="str">
        <f ca="1">IFERROR(__xludf.DUMMYFUNCTION("""COMPUTED_VALUE"""),"No I would not be pursuing Higher Education outside of India")</f>
        <v>No I would not be pursuing Higher Education outside of India</v>
      </c>
      <c r="G784" s="1" t="str">
        <f ca="1">IFERROR(__xludf.DUMMYFUNCTION("""COMPUTED_VALUE"""),"This will be hard to do, but if it is the right company I would try")</f>
        <v>This will be hard to do, but if it is the right company I would try</v>
      </c>
      <c r="H784" s="1" t="str">
        <f ca="1">IFERROR(__xludf.DUMMYFUNCTION("""COMPUTED_VALUE"""),"Yes")</f>
        <v>Yes</v>
      </c>
      <c r="I784" s="1" t="str">
        <f ca="1">IFERROR(__xludf.DUMMYFUNCTION("""COMPUTED_VALUE"""),"Will NOT work for them")</f>
        <v>Will NOT work for them</v>
      </c>
      <c r="J784" s="1">
        <f ca="1">IFERROR(__xludf.DUMMYFUNCTION("""COMPUTED_VALUE"""),6)</f>
        <v>6</v>
      </c>
      <c r="K784" s="1" t="str">
        <f ca="1">IFERROR(__xludf.DUMMYFUNCTION("""COMPUTED_VALUE"""),"Hybrid Working Environment with less than 3 days a month at office")</f>
        <v>Hybrid Working Environment with less than 3 days a month at office</v>
      </c>
      <c r="L784" s="1" t="str">
        <f ca="1">IFERROR(__xludf.DUMMYFUNCTION("""COMPUTED_VALUE"""),"Employer who rewards learning and enables that environment")</f>
        <v>Employer who rewards learning and enables that environment</v>
      </c>
      <c r="M78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8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784" s="1" t="str">
        <f ca="1">IFERROR(__xludf.DUMMYFUNCTION("""COMPUTED_VALUE"""),"Manager who explains what is expected, sets a goal and helps achieve it")</f>
        <v>Manager who explains what is expected, sets a goal and helps achieve it</v>
      </c>
      <c r="P784" s="1" t="str">
        <f ca="1">IFERROR(__xludf.DUMMYFUNCTION("""COMPUTED_VALUE"""),"Work with 2 to 3 people in my team")</f>
        <v>Work with 2 to 3 people in my team</v>
      </c>
      <c r="Q784" s="1"/>
    </row>
    <row r="785" spans="1:17" ht="13.2" x14ac:dyDescent="0.25">
      <c r="A785" s="2">
        <f ca="1">IFERROR(__xludf.DUMMYFUNCTION("""COMPUTED_VALUE"""),45022.6601119675)</f>
        <v>45022.660111967503</v>
      </c>
      <c r="B785" s="1" t="str">
        <f ca="1">IFERROR(__xludf.DUMMYFUNCTION("""COMPUTED_VALUE"""),"India")</f>
        <v>India</v>
      </c>
      <c r="C785" s="1">
        <f ca="1">IFERROR(__xludf.DUMMYFUNCTION("""COMPUTED_VALUE"""),380026)</f>
        <v>380026</v>
      </c>
      <c r="D785" s="3" t="str">
        <f ca="1">IFERROR(__xludf.DUMMYFUNCTION("""COMPUTED_VALUE"""),"Male")</f>
        <v>Male</v>
      </c>
      <c r="E785" s="1" t="str">
        <f ca="1">IFERROR(__xludf.DUMMYFUNCTION("""COMPUTED_VALUE"""),"My Parents")</f>
        <v>My Parents</v>
      </c>
      <c r="F785" s="1" t="str">
        <f ca="1">IFERROR(__xludf.DUMMYFUNCTION("""COMPUTED_VALUE"""),"No I would not be pursuing Higher Education outside of India")</f>
        <v>No I would not be pursuing Higher Education outside of India</v>
      </c>
      <c r="G785" s="1" t="str">
        <f ca="1">IFERROR(__xludf.DUMMYFUNCTION("""COMPUTED_VALUE"""),"This will be hard to do, but if it is the right company I would try")</f>
        <v>This will be hard to do, but if it is the right company I would try</v>
      </c>
      <c r="H785" s="1" t="str">
        <f ca="1">IFERROR(__xludf.DUMMYFUNCTION("""COMPUTED_VALUE"""),"No")</f>
        <v>No</v>
      </c>
      <c r="I785" s="1" t="str">
        <f ca="1">IFERROR(__xludf.DUMMYFUNCTION("""COMPUTED_VALUE"""),"Will NOT work for them")</f>
        <v>Will NOT work for them</v>
      </c>
      <c r="J785" s="1">
        <f ca="1">IFERROR(__xludf.DUMMYFUNCTION("""COMPUTED_VALUE"""),5)</f>
        <v>5</v>
      </c>
      <c r="K785" s="1" t="str">
        <f ca="1">IFERROR(__xludf.DUMMYFUNCTION("""COMPUTED_VALUE"""),"Hybrid Working Environment with more than 15 days a month at office")</f>
        <v>Hybrid Working Environment with more than 15 days a month at office</v>
      </c>
      <c r="L785" s="1" t="str">
        <f ca="1">IFERROR(__xludf.DUMMYFUNCTION("""COMPUTED_VALUE"""),"Employer who rewards learning and enables that environment")</f>
        <v>Employer who rewards learning and enables that environment</v>
      </c>
      <c r="M78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5"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785" s="1" t="str">
        <f ca="1">IFERROR(__xludf.DUMMYFUNCTION("""COMPUTED_VALUE"""),"Manager who sets goal and helps me achieve it")</f>
        <v>Manager who sets goal and helps me achieve it</v>
      </c>
      <c r="P785" s="1" t="str">
        <f ca="1">IFERROR(__xludf.DUMMYFUNCTION("""COMPUTED_VALUE"""),"Work with more than 10 people in my team")</f>
        <v>Work with more than 10 people in my team</v>
      </c>
      <c r="Q785" s="1"/>
    </row>
    <row r="786" spans="1:17" ht="13.2" x14ac:dyDescent="0.25">
      <c r="A786" s="2">
        <f ca="1">IFERROR(__xludf.DUMMYFUNCTION("""COMPUTED_VALUE"""),45022.673158993)</f>
        <v>45022.673158992999</v>
      </c>
      <c r="B786" s="1" t="str">
        <f ca="1">IFERROR(__xludf.DUMMYFUNCTION("""COMPUTED_VALUE"""),"Others")</f>
        <v>Others</v>
      </c>
      <c r="C786" s="1">
        <f ca="1">IFERROR(__xludf.DUMMYFUNCTION("""COMPUTED_VALUE"""),2911)</f>
        <v>2911</v>
      </c>
      <c r="D786" s="3" t="str">
        <f ca="1">IFERROR(__xludf.DUMMYFUNCTION("""COMPUTED_VALUE"""),"Female")</f>
        <v>Female</v>
      </c>
      <c r="E786" s="1" t="str">
        <f ca="1">IFERROR(__xludf.DUMMYFUNCTION("""COMPUTED_VALUE"""),"People who have changed the world for better")</f>
        <v>People who have changed the world for better</v>
      </c>
      <c r="F786" s="1" t="str">
        <f ca="1">IFERROR(__xludf.DUMMYFUNCTION("""COMPUTED_VALUE"""),"Yes, I will earn and do that")</f>
        <v>Yes, I will earn and do that</v>
      </c>
      <c r="G786" s="1" t="str">
        <f ca="1">IFERROR(__xludf.DUMMYFUNCTION("""COMPUTED_VALUE"""),"Will work for 3 years or more")</f>
        <v>Will work for 3 years or more</v>
      </c>
      <c r="H786" s="1" t="str">
        <f ca="1">IFERROR(__xludf.DUMMYFUNCTION("""COMPUTED_VALUE"""),"No")</f>
        <v>No</v>
      </c>
      <c r="I786" s="1" t="str">
        <f ca="1">IFERROR(__xludf.DUMMYFUNCTION("""COMPUTED_VALUE"""),"Will NOT work for them")</f>
        <v>Will NOT work for them</v>
      </c>
      <c r="J786" s="1">
        <f ca="1">IFERROR(__xludf.DUMMYFUNCTION("""COMPUTED_VALUE"""),10)</f>
        <v>10</v>
      </c>
      <c r="K786" s="1" t="str">
        <f ca="1">IFERROR(__xludf.DUMMYFUNCTION("""COMPUTED_VALUE"""),"Fully Remote with Options to travel as and when needed")</f>
        <v>Fully Remote with Options to travel as and when needed</v>
      </c>
      <c r="L786" s="1" t="str">
        <f ca="1">IFERROR(__xludf.DUMMYFUNCTION("""COMPUTED_VALUE"""),"Employer who appreciates learning and enables that environment")</f>
        <v>Employer who appreciates learning and enables that environment</v>
      </c>
      <c r="M78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6"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786" s="1" t="str">
        <f ca="1">IFERROR(__xludf.DUMMYFUNCTION("""COMPUTED_VALUE"""),"Manager who explains what is expected, sets a goal and helps achieve it")</f>
        <v>Manager who explains what is expected, sets a goal and helps achieve it</v>
      </c>
      <c r="P786" s="1" t="str">
        <f ca="1">IFERROR(__xludf.DUMMYFUNCTION("""COMPUTED_VALUE"""),"Work with more than 10 people in my team")</f>
        <v>Work with more than 10 people in my team</v>
      </c>
      <c r="Q786" s="1"/>
    </row>
    <row r="787" spans="1:17" ht="13.2" x14ac:dyDescent="0.25">
      <c r="A787" s="2">
        <f ca="1">IFERROR(__xludf.DUMMYFUNCTION("""COMPUTED_VALUE"""),45022.6771887615)</f>
        <v>45022.677188761503</v>
      </c>
      <c r="B787" s="1" t="str">
        <f ca="1">IFERROR(__xludf.DUMMYFUNCTION("""COMPUTED_VALUE"""),"India")</f>
        <v>India</v>
      </c>
      <c r="C787" s="1">
        <f ca="1">IFERROR(__xludf.DUMMYFUNCTION("""COMPUTED_VALUE"""),380054)</f>
        <v>380054</v>
      </c>
      <c r="D787" s="3" t="str">
        <f ca="1">IFERROR(__xludf.DUMMYFUNCTION("""COMPUTED_VALUE"""),"Female")</f>
        <v>Female</v>
      </c>
      <c r="E787" s="1" t="str">
        <f ca="1">IFERROR(__xludf.DUMMYFUNCTION("""COMPUTED_VALUE"""),"People from my circle, but not family members")</f>
        <v>People from my circle, but not family members</v>
      </c>
      <c r="F787" s="1" t="str">
        <f ca="1">IFERROR(__xludf.DUMMYFUNCTION("""COMPUTED_VALUE"""),"Yes, I will earn and do that")</f>
        <v>Yes, I will earn and do that</v>
      </c>
      <c r="G787" s="1" t="str">
        <f ca="1">IFERROR(__xludf.DUMMYFUNCTION("""COMPUTED_VALUE"""),"Will work for 3 years or more")</f>
        <v>Will work for 3 years or more</v>
      </c>
      <c r="H787" s="1" t="str">
        <f ca="1">IFERROR(__xludf.DUMMYFUNCTION("""COMPUTED_VALUE"""),"Yes")</f>
        <v>Yes</v>
      </c>
      <c r="I787" s="1" t="str">
        <f ca="1">IFERROR(__xludf.DUMMYFUNCTION("""COMPUTED_VALUE"""),"Will NOT work for them")</f>
        <v>Will NOT work for them</v>
      </c>
      <c r="J787" s="1">
        <f ca="1">IFERROR(__xludf.DUMMYFUNCTION("""COMPUTED_VALUE"""),9)</f>
        <v>9</v>
      </c>
      <c r="K787" s="1" t="str">
        <f ca="1">IFERROR(__xludf.DUMMYFUNCTION("""COMPUTED_VALUE"""),"Hybrid Working Environment with more than 15 days a month at office")</f>
        <v>Hybrid Working Environment with more than 15 days a month at office</v>
      </c>
      <c r="L787" s="1" t="str">
        <f ca="1">IFERROR(__xludf.DUMMYFUNCTION("""COMPUTED_VALUE"""),"Employer who rewards learning and enables that environment")</f>
        <v>Employer who rewards learning and enables that environment</v>
      </c>
      <c r="M78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8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787" s="1" t="str">
        <f ca="1">IFERROR(__xludf.DUMMYFUNCTION("""COMPUTED_VALUE"""),"Manager who explains what is expected, sets a goal and helps achieve it")</f>
        <v>Manager who explains what is expected, sets a goal and helps achieve it</v>
      </c>
      <c r="P787" s="1" t="str">
        <f ca="1">IFERROR(__xludf.DUMMYFUNCTION("""COMPUTED_VALUE"""),"Work with 5 to 6 people in my team")</f>
        <v>Work with 5 to 6 people in my team</v>
      </c>
      <c r="Q787" s="1"/>
    </row>
    <row r="788" spans="1:17" ht="13.2" x14ac:dyDescent="0.25">
      <c r="A788" s="2">
        <f ca="1">IFERROR(__xludf.DUMMYFUNCTION("""COMPUTED_VALUE"""),45022.6776432638)</f>
        <v>45022.6776432638</v>
      </c>
      <c r="B788" s="1" t="str">
        <f ca="1">IFERROR(__xludf.DUMMYFUNCTION("""COMPUTED_VALUE"""),"India")</f>
        <v>India</v>
      </c>
      <c r="C788" s="1">
        <f ca="1">IFERROR(__xludf.DUMMYFUNCTION("""COMPUTED_VALUE"""),173212)</f>
        <v>173212</v>
      </c>
      <c r="D788" s="3" t="str">
        <f ca="1">IFERROR(__xludf.DUMMYFUNCTION("""COMPUTED_VALUE"""),"Male")</f>
        <v>Male</v>
      </c>
      <c r="E788" s="1" t="str">
        <f ca="1">IFERROR(__xludf.DUMMYFUNCTION("""COMPUTED_VALUE"""),"My Parents")</f>
        <v>My Parents</v>
      </c>
      <c r="F788" s="1" t="str">
        <f ca="1">IFERROR(__xludf.DUMMYFUNCTION("""COMPUTED_VALUE"""),"No I would not be pursuing Higher Education outside of India")</f>
        <v>No I would not be pursuing Higher Education outside of India</v>
      </c>
      <c r="G788" s="1" t="str">
        <f ca="1">IFERROR(__xludf.DUMMYFUNCTION("""COMPUTED_VALUE"""),"This will be hard to do, but if it is the right company I would try")</f>
        <v>This will be hard to do, but if it is the right company I would try</v>
      </c>
      <c r="H788" s="1" t="str">
        <f ca="1">IFERROR(__xludf.DUMMYFUNCTION("""COMPUTED_VALUE"""),"No")</f>
        <v>No</v>
      </c>
      <c r="I788" s="1" t="str">
        <f ca="1">IFERROR(__xludf.DUMMYFUNCTION("""COMPUTED_VALUE"""),"Will NOT work for them")</f>
        <v>Will NOT work for them</v>
      </c>
      <c r="J788" s="1">
        <f ca="1">IFERROR(__xludf.DUMMYFUNCTION("""COMPUTED_VALUE"""),5)</f>
        <v>5</v>
      </c>
      <c r="K788" s="1" t="str">
        <f ca="1">IFERROR(__xludf.DUMMYFUNCTION("""COMPUTED_VALUE"""),"Fully Remote with Options to travel as and when needed")</f>
        <v>Fully Remote with Options to travel as and when needed</v>
      </c>
      <c r="L788" s="1" t="str">
        <f ca="1">IFERROR(__xludf.DUMMYFUNCTION("""COMPUTED_VALUE"""),"Employer who pushes your limits by enabling an learning environment, and rewards you at the end")</f>
        <v>Employer who pushes your limits by enabling an learning environment, and rewards you at the end</v>
      </c>
      <c r="M788" s="1" t="str">
        <f ca="1">IFERROR(__xludf.DUMMYFUNCTION("""COMPUTED_VALUE"""),"Self Paced Learning Portals of the Company, Instructor or Expert Learning Programs, Manager Teaching you")</f>
        <v>Self Paced Learning Portals of the Company, Instructor or Expert Learning Programs, Manager Teaching you</v>
      </c>
      <c r="N788"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788" s="1" t="str">
        <f ca="1">IFERROR(__xludf.DUMMYFUNCTION("""COMPUTED_VALUE"""),"Manager who explains what is expected, sets a goal and helps achieve it")</f>
        <v>Manager who explains what is expected, sets a goal and helps achieve it</v>
      </c>
      <c r="P788" s="1" t="str">
        <f ca="1">IFERROR(__xludf.DUMMYFUNCTION("""COMPUTED_VALUE"""),"Work with 2 to 3 people in my team")</f>
        <v>Work with 2 to 3 people in my team</v>
      </c>
      <c r="Q788" s="1"/>
    </row>
    <row r="789" spans="1:17" ht="13.2" x14ac:dyDescent="0.25">
      <c r="A789" s="2">
        <f ca="1">IFERROR(__xludf.DUMMYFUNCTION("""COMPUTED_VALUE"""),45022.6815000347)</f>
        <v>45022.681500034698</v>
      </c>
      <c r="B789" s="1" t="str">
        <f ca="1">IFERROR(__xludf.DUMMYFUNCTION("""COMPUTED_VALUE"""),"India")</f>
        <v>India</v>
      </c>
      <c r="C789" s="1">
        <f ca="1">IFERROR(__xludf.DUMMYFUNCTION("""COMPUTED_VALUE"""),507002)</f>
        <v>507002</v>
      </c>
      <c r="D789" s="3" t="str">
        <f ca="1">IFERROR(__xludf.DUMMYFUNCTION("""COMPUTED_VALUE"""),"Female")</f>
        <v>Female</v>
      </c>
      <c r="E789" s="1" t="str">
        <f ca="1">IFERROR(__xludf.DUMMYFUNCTION("""COMPUTED_VALUE"""),"People from my circle, but not family members")</f>
        <v>People from my circle, but not family members</v>
      </c>
      <c r="F789" s="1" t="str">
        <f ca="1">IFERROR(__xludf.DUMMYFUNCTION("""COMPUTED_VALUE"""),"No I would not be pursuing Higher Education outside of India")</f>
        <v>No I would not be pursuing Higher Education outside of India</v>
      </c>
      <c r="G789" s="1" t="str">
        <f ca="1">IFERROR(__xludf.DUMMYFUNCTION("""COMPUTED_VALUE"""),"Will work for 3 years or more")</f>
        <v>Will work for 3 years or more</v>
      </c>
      <c r="H789" s="1" t="str">
        <f ca="1">IFERROR(__xludf.DUMMYFUNCTION("""COMPUTED_VALUE"""),"Yes")</f>
        <v>Yes</v>
      </c>
      <c r="I789" s="1" t="str">
        <f ca="1">IFERROR(__xludf.DUMMYFUNCTION("""COMPUTED_VALUE"""),"Will NOT work for them")</f>
        <v>Will NOT work for them</v>
      </c>
      <c r="J789" s="1">
        <f ca="1">IFERROR(__xludf.DUMMYFUNCTION("""COMPUTED_VALUE"""),10)</f>
        <v>10</v>
      </c>
      <c r="K789" s="1" t="str">
        <f ca="1">IFERROR(__xludf.DUMMYFUNCTION("""COMPUTED_VALUE"""),"Fully Remote with No option to visit offices")</f>
        <v>Fully Remote with No option to visit offices</v>
      </c>
      <c r="L789" s="1" t="str">
        <f ca="1">IFERROR(__xludf.DUMMYFUNCTION("""COMPUTED_VALUE"""),"Employer who rewards learning and enables that environment")</f>
        <v>Employer who rewards learning and enables that environment</v>
      </c>
      <c r="M78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8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789" s="1" t="str">
        <f ca="1">IFERROR(__xludf.DUMMYFUNCTION("""COMPUTED_VALUE"""),"Manager who sets goal and helps me achieve it")</f>
        <v>Manager who sets goal and helps me achieve it</v>
      </c>
      <c r="P789"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89" s="1"/>
    </row>
    <row r="790" spans="1:17" ht="13.2" x14ac:dyDescent="0.25">
      <c r="A790" s="2">
        <f ca="1">IFERROR(__xludf.DUMMYFUNCTION("""COMPUTED_VALUE"""),45022.685182662)</f>
        <v>45022.685182661997</v>
      </c>
      <c r="B790" s="1" t="str">
        <f ca="1">IFERROR(__xludf.DUMMYFUNCTION("""COMPUTED_VALUE"""),"India")</f>
        <v>India</v>
      </c>
      <c r="C790" s="1">
        <f ca="1">IFERROR(__xludf.DUMMYFUNCTION("""COMPUTED_VALUE"""),110001)</f>
        <v>110001</v>
      </c>
      <c r="D790" s="3" t="str">
        <f ca="1">IFERROR(__xludf.DUMMYFUNCTION("""COMPUTED_VALUE"""),"Female")</f>
        <v>Female</v>
      </c>
      <c r="E790" s="1" t="str">
        <f ca="1">IFERROR(__xludf.DUMMYFUNCTION("""COMPUTED_VALUE"""),"People who have changed the world for better")</f>
        <v>People who have changed the world for better</v>
      </c>
      <c r="F790" s="1" t="str">
        <f ca="1">IFERROR(__xludf.DUMMYFUNCTION("""COMPUTED_VALUE"""),"Yes, I will earn and do that")</f>
        <v>Yes, I will earn and do that</v>
      </c>
      <c r="G790" s="1" t="str">
        <f ca="1">IFERROR(__xludf.DUMMYFUNCTION("""COMPUTED_VALUE"""),"Will work for 3 years or more")</f>
        <v>Will work for 3 years or more</v>
      </c>
      <c r="H790" s="1" t="str">
        <f ca="1">IFERROR(__xludf.DUMMYFUNCTION("""COMPUTED_VALUE"""),"Yes")</f>
        <v>Yes</v>
      </c>
      <c r="I790" s="1" t="str">
        <f ca="1">IFERROR(__xludf.DUMMYFUNCTION("""COMPUTED_VALUE"""),"Will work for them")</f>
        <v>Will work for them</v>
      </c>
      <c r="J790" s="1">
        <f ca="1">IFERROR(__xludf.DUMMYFUNCTION("""COMPUTED_VALUE"""),1)</f>
        <v>1</v>
      </c>
      <c r="K790" s="1" t="str">
        <f ca="1">IFERROR(__xludf.DUMMYFUNCTION("""COMPUTED_VALUE"""),"Every Day Office Environment")</f>
        <v>Every Day Office Environment</v>
      </c>
      <c r="L790" s="1" t="str">
        <f ca="1">IFERROR(__xludf.DUMMYFUNCTION("""COMPUTED_VALUE"""),"Employer who rewards learning and enables that environment")</f>
        <v>Employer who rewards learning and enables that environment</v>
      </c>
      <c r="M790" s="1" t="str">
        <f ca="1">IFERROR(__xludf.DUMMYFUNCTION("""COMPUTED_VALUE"""),"Self Paced Learning Portals of the Company, Instructor or Expert Learning Programs, Manager Teaching you")</f>
        <v>Self Paced Learning Portals of the Company, Instructor or Expert Learning Programs, Manager Teaching you</v>
      </c>
      <c r="N79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790" s="1" t="str">
        <f ca="1">IFERROR(__xludf.DUMMYFUNCTION("""COMPUTED_VALUE"""),"Manager who sets goal and helps me achieve it")</f>
        <v>Manager who sets goal and helps me achieve it</v>
      </c>
      <c r="P790" s="1" t="str">
        <f ca="1">IFERROR(__xludf.DUMMYFUNCTION("""COMPUTED_VALUE"""),"Work with more than 10 people in my team")</f>
        <v>Work with more than 10 people in my team</v>
      </c>
      <c r="Q790" s="1"/>
    </row>
    <row r="791" spans="1:17" ht="13.2" x14ac:dyDescent="0.25">
      <c r="A791" s="2">
        <f ca="1">IFERROR(__xludf.DUMMYFUNCTION("""COMPUTED_VALUE"""),45022.6899167129)</f>
        <v>45022.689916712901</v>
      </c>
      <c r="B791" s="1" t="str">
        <f ca="1">IFERROR(__xludf.DUMMYFUNCTION("""COMPUTED_VALUE"""),"India")</f>
        <v>India</v>
      </c>
      <c r="C791" s="1">
        <f ca="1">IFERROR(__xludf.DUMMYFUNCTION("""COMPUTED_VALUE"""),500032)</f>
        <v>500032</v>
      </c>
      <c r="D791" s="3" t="str">
        <f ca="1">IFERROR(__xludf.DUMMYFUNCTION("""COMPUTED_VALUE"""),"Male")</f>
        <v>Male</v>
      </c>
      <c r="E791" s="1" t="str">
        <f ca="1">IFERROR(__xludf.DUMMYFUNCTION("""COMPUTED_VALUE"""),"People who have changed the world for better")</f>
        <v>People who have changed the world for better</v>
      </c>
      <c r="F791" s="1" t="str">
        <f ca="1">IFERROR(__xludf.DUMMYFUNCTION("""COMPUTED_VALUE"""),"Yes, I will earn and do that")</f>
        <v>Yes, I will earn and do that</v>
      </c>
      <c r="G791" s="1" t="str">
        <f ca="1">IFERROR(__xludf.DUMMYFUNCTION("""COMPUTED_VALUE"""),"Will work for 3 years or more")</f>
        <v>Will work for 3 years or more</v>
      </c>
      <c r="H791" s="1" t="str">
        <f ca="1">IFERROR(__xludf.DUMMYFUNCTION("""COMPUTED_VALUE"""),"No")</f>
        <v>No</v>
      </c>
      <c r="I791" s="1" t="str">
        <f ca="1">IFERROR(__xludf.DUMMYFUNCTION("""COMPUTED_VALUE"""),"Will NOT work for them")</f>
        <v>Will NOT work for them</v>
      </c>
      <c r="J791" s="1">
        <f ca="1">IFERROR(__xludf.DUMMYFUNCTION("""COMPUTED_VALUE"""),5)</f>
        <v>5</v>
      </c>
      <c r="K791" s="1" t="str">
        <f ca="1">IFERROR(__xludf.DUMMYFUNCTION("""COMPUTED_VALUE"""),"Hybrid Working Environment with more than 15 days a month at office")</f>
        <v>Hybrid Working Environment with more than 15 days a month at office</v>
      </c>
      <c r="L791" s="1" t="str">
        <f ca="1">IFERROR(__xludf.DUMMYFUNCTION("""COMPUTED_VALUE"""),"Employer who pushes your limits by enabling an learning environment, and rewards you at the end")</f>
        <v>Employer who pushes your limits by enabling an learning environment, and rewards you at the end</v>
      </c>
      <c r="M7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9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91" s="1" t="str">
        <f ca="1">IFERROR(__xludf.DUMMYFUNCTION("""COMPUTED_VALUE"""),"Manager who explains what is expected, sets a goal and helps achieve it")</f>
        <v>Manager who explains what is expected, sets a goal and helps achieve it</v>
      </c>
      <c r="P791" s="1" t="str">
        <f ca="1">IFERROR(__xludf.DUMMYFUNCTION("""COMPUTED_VALUE"""),"Work with 7 to 10 or more people in my team")</f>
        <v>Work with 7 to 10 or more people in my team</v>
      </c>
      <c r="Q791" s="1"/>
    </row>
    <row r="792" spans="1:17" ht="13.2" x14ac:dyDescent="0.25">
      <c r="A792" s="2">
        <f ca="1">IFERROR(__xludf.DUMMYFUNCTION("""COMPUTED_VALUE"""),45022.7095099652)</f>
        <v>45022.7095099652</v>
      </c>
      <c r="B792" s="1" t="str">
        <f ca="1">IFERROR(__xludf.DUMMYFUNCTION("""COMPUTED_VALUE"""),"India")</f>
        <v>India</v>
      </c>
      <c r="C792" s="1">
        <f ca="1">IFERROR(__xludf.DUMMYFUNCTION("""COMPUTED_VALUE"""),110059)</f>
        <v>110059</v>
      </c>
      <c r="D792" s="3" t="str">
        <f ca="1">IFERROR(__xludf.DUMMYFUNCTION("""COMPUTED_VALUE"""),"Female")</f>
        <v>Female</v>
      </c>
      <c r="E792" s="1" t="str">
        <f ca="1">IFERROR(__xludf.DUMMYFUNCTION("""COMPUTED_VALUE"""),"Influencers who had successful careers")</f>
        <v>Influencers who had successful careers</v>
      </c>
      <c r="F792" s="1" t="str">
        <f ca="1">IFERROR(__xludf.DUMMYFUNCTION("""COMPUTED_VALUE"""),"Yes, I will earn and do that")</f>
        <v>Yes, I will earn and do that</v>
      </c>
      <c r="G792" s="1" t="str">
        <f ca="1">IFERROR(__xludf.DUMMYFUNCTION("""COMPUTED_VALUE"""),"Will work for 3 years or more")</f>
        <v>Will work for 3 years or more</v>
      </c>
      <c r="H792" s="1" t="str">
        <f ca="1">IFERROR(__xludf.DUMMYFUNCTION("""COMPUTED_VALUE"""),"Yes")</f>
        <v>Yes</v>
      </c>
      <c r="I792" s="1" t="str">
        <f ca="1">IFERROR(__xludf.DUMMYFUNCTION("""COMPUTED_VALUE"""),"Will work for them")</f>
        <v>Will work for them</v>
      </c>
      <c r="J792" s="1">
        <f ca="1">IFERROR(__xludf.DUMMYFUNCTION("""COMPUTED_VALUE"""),10)</f>
        <v>10</v>
      </c>
      <c r="K792" s="1" t="str">
        <f ca="1">IFERROR(__xludf.DUMMYFUNCTION("""COMPUTED_VALUE"""),"Fully Remote with Options to travel as and when needed")</f>
        <v>Fully Remote with Options to travel as and when needed</v>
      </c>
      <c r="L792" s="1" t="str">
        <f ca="1">IFERROR(__xludf.DUMMYFUNCTION("""COMPUTED_VALUE"""),"Employer who rewards learning and enables that environment")</f>
        <v>Employer who rewards learning and enables that environment</v>
      </c>
      <c r="M79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9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92" s="1" t="str">
        <f ca="1">IFERROR(__xludf.DUMMYFUNCTION("""COMPUTED_VALUE"""),"Manager who explains what is expected, sets a goal and helps achieve it")</f>
        <v>Manager who explains what is expected, sets a goal and helps achieve it</v>
      </c>
      <c r="P792" s="1" t="str">
        <f ca="1">IFERROR(__xludf.DUMMYFUNCTION("""COMPUTED_VALUE"""),"Work alone, Work with 2 to 3 people in my team")</f>
        <v>Work alone, Work with 2 to 3 people in my team</v>
      </c>
      <c r="Q792" s="1"/>
    </row>
    <row r="793" spans="1:17" ht="13.2" x14ac:dyDescent="0.25">
      <c r="A793" s="2">
        <f ca="1">IFERROR(__xludf.DUMMYFUNCTION("""COMPUTED_VALUE"""),45022.7134775347)</f>
        <v>45022.7134775347</v>
      </c>
      <c r="B793" s="1" t="str">
        <f ca="1">IFERROR(__xludf.DUMMYFUNCTION("""COMPUTED_VALUE"""),"India")</f>
        <v>India</v>
      </c>
      <c r="C793" s="1">
        <f ca="1">IFERROR(__xludf.DUMMYFUNCTION("""COMPUTED_VALUE"""),110063)</f>
        <v>110063</v>
      </c>
      <c r="D793" s="3" t="str">
        <f ca="1">IFERROR(__xludf.DUMMYFUNCTION("""COMPUTED_VALUE"""),"Male")</f>
        <v>Male</v>
      </c>
      <c r="E793" s="1" t="str">
        <f ca="1">IFERROR(__xludf.DUMMYFUNCTION("""COMPUTED_VALUE"""),"My Parents")</f>
        <v>My Parents</v>
      </c>
      <c r="F793" s="1" t="str">
        <f ca="1">IFERROR(__xludf.DUMMYFUNCTION("""COMPUTED_VALUE"""),"Yes, I will earn and do that")</f>
        <v>Yes, I will earn and do that</v>
      </c>
      <c r="G793" s="1" t="str">
        <f ca="1">IFERROR(__xludf.DUMMYFUNCTION("""COMPUTED_VALUE"""),"Will work for 3 years or more")</f>
        <v>Will work for 3 years or more</v>
      </c>
      <c r="H793" s="1" t="str">
        <f ca="1">IFERROR(__xludf.DUMMYFUNCTION("""COMPUTED_VALUE"""),"Yes")</f>
        <v>Yes</v>
      </c>
      <c r="I793" s="1" t="str">
        <f ca="1">IFERROR(__xludf.DUMMYFUNCTION("""COMPUTED_VALUE"""),"Will work for them")</f>
        <v>Will work for them</v>
      </c>
      <c r="J793" s="1">
        <f ca="1">IFERROR(__xludf.DUMMYFUNCTION("""COMPUTED_VALUE"""),3)</f>
        <v>3</v>
      </c>
      <c r="K793" s="1" t="str">
        <f ca="1">IFERROR(__xludf.DUMMYFUNCTION("""COMPUTED_VALUE"""),"Hybrid Working Environment with less than 3 days a month at office")</f>
        <v>Hybrid Working Environment with less than 3 days a month at office</v>
      </c>
      <c r="L793" s="1" t="str">
        <f ca="1">IFERROR(__xludf.DUMMYFUNCTION("""COMPUTED_VALUE"""),"Employer who appreciates learning and enables that environment")</f>
        <v>Employer who appreciates learning and enables that environment</v>
      </c>
      <c r="M793" s="1" t="str">
        <f ca="1">IFERROR(__xludf.DUMMYFUNCTION("""COMPUTED_VALUE"""),"Self Paced Learning Portals of the Company, Instructor or Expert Learning Programs, Manager Teaching you")</f>
        <v>Self Paced Learning Portals of the Company, Instructor or Expert Learning Programs, Manager Teaching you</v>
      </c>
      <c r="N793"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793" s="1" t="str">
        <f ca="1">IFERROR(__xludf.DUMMYFUNCTION("""COMPUTED_VALUE"""),"Manager who sets targets and expects me to achieve it")</f>
        <v>Manager who sets targets and expects me to achieve it</v>
      </c>
      <c r="P793" s="1" t="str">
        <f ca="1">IFERROR(__xludf.DUMMYFUNCTION("""COMPUTED_VALUE"""),"Work with 7 to 10 or more people in my team")</f>
        <v>Work with 7 to 10 or more people in my team</v>
      </c>
      <c r="Q793" s="1"/>
    </row>
    <row r="794" spans="1:17" ht="13.2" x14ac:dyDescent="0.25">
      <c r="A794" s="2">
        <f ca="1">IFERROR(__xludf.DUMMYFUNCTION("""COMPUTED_VALUE"""),45022.715279375)</f>
        <v>45022.715279374999</v>
      </c>
      <c r="B794" s="1" t="str">
        <f ca="1">IFERROR(__xludf.DUMMYFUNCTION("""COMPUTED_VALUE"""),"India")</f>
        <v>India</v>
      </c>
      <c r="C794" s="1">
        <f ca="1">IFERROR(__xludf.DUMMYFUNCTION("""COMPUTED_VALUE"""),380007)</f>
        <v>380007</v>
      </c>
      <c r="D794" s="3" t="str">
        <f ca="1">IFERROR(__xludf.DUMMYFUNCTION("""COMPUTED_VALUE"""),"Female")</f>
        <v>Female</v>
      </c>
      <c r="E794" s="1" t="str">
        <f ca="1">IFERROR(__xludf.DUMMYFUNCTION("""COMPUTED_VALUE"""),"My Parents")</f>
        <v>My Parents</v>
      </c>
      <c r="F794" s="1" t="str">
        <f ca="1">IFERROR(__xludf.DUMMYFUNCTION("""COMPUTED_VALUE"""),"No I would not be pursuing Higher Education outside of India")</f>
        <v>No I would not be pursuing Higher Education outside of India</v>
      </c>
      <c r="G794" s="1" t="str">
        <f ca="1">IFERROR(__xludf.DUMMYFUNCTION("""COMPUTED_VALUE"""),"This will be hard to do, but if it is the right company I would try")</f>
        <v>This will be hard to do, but if it is the right company I would try</v>
      </c>
      <c r="H794" s="1" t="str">
        <f ca="1">IFERROR(__xludf.DUMMYFUNCTION("""COMPUTED_VALUE"""),"No")</f>
        <v>No</v>
      </c>
      <c r="I794" s="1" t="str">
        <f ca="1">IFERROR(__xludf.DUMMYFUNCTION("""COMPUTED_VALUE"""),"Will NOT work for them")</f>
        <v>Will NOT work for them</v>
      </c>
      <c r="J794" s="1">
        <f ca="1">IFERROR(__xludf.DUMMYFUNCTION("""COMPUTED_VALUE"""),2)</f>
        <v>2</v>
      </c>
      <c r="K794" s="1" t="str">
        <f ca="1">IFERROR(__xludf.DUMMYFUNCTION("""COMPUTED_VALUE"""),"Every Day Office Environment")</f>
        <v>Every Day Office Environment</v>
      </c>
      <c r="L794" s="1" t="str">
        <f ca="1">IFERROR(__xludf.DUMMYFUNCTION("""COMPUTED_VALUE"""),"Employer who rewards learning and enables that environment")</f>
        <v>Employer who rewards learning and enables that environment</v>
      </c>
      <c r="M79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94" s="1" t="str">
        <f ca="1">IFERROR(__xludf.DUMMYFUNCTION("""COMPUTED_VALUE"""),"Design and Creative strategy in any company, Business Operations in any organization, Look deeply into Data and generate insights, I Want to sell things/Sales")</f>
        <v>Design and Creative strategy in any company, Business Operations in any organization, Look deeply into Data and generate insights, I Want to sell things/Sales</v>
      </c>
      <c r="O794" s="1" t="str">
        <f ca="1">IFERROR(__xludf.DUMMYFUNCTION("""COMPUTED_VALUE"""),"Manager who clearly describes what she/he needs")</f>
        <v>Manager who clearly describes what she/he needs</v>
      </c>
      <c r="P794" s="1" t="str">
        <f ca="1">IFERROR(__xludf.DUMMYFUNCTION("""COMPUTED_VALUE"""),"Work with 5 to 6 people in my team")</f>
        <v>Work with 5 to 6 people in my team</v>
      </c>
      <c r="Q794" s="1"/>
    </row>
    <row r="795" spans="1:17" ht="13.2" x14ac:dyDescent="0.25">
      <c r="A795" s="2">
        <f ca="1">IFERROR(__xludf.DUMMYFUNCTION("""COMPUTED_VALUE"""),45022.7185759722)</f>
        <v>45022.718575972198</v>
      </c>
      <c r="B795" s="1" t="str">
        <f ca="1">IFERROR(__xludf.DUMMYFUNCTION("""COMPUTED_VALUE"""),"India")</f>
        <v>India</v>
      </c>
      <c r="C795" s="1">
        <f ca="1">IFERROR(__xludf.DUMMYFUNCTION("""COMPUTED_VALUE"""),500032)</f>
        <v>500032</v>
      </c>
      <c r="D795" s="3" t="str">
        <f ca="1">IFERROR(__xludf.DUMMYFUNCTION("""COMPUTED_VALUE"""),"Male")</f>
        <v>Male</v>
      </c>
      <c r="E795" s="1" t="str">
        <f ca="1">IFERROR(__xludf.DUMMYFUNCTION("""COMPUTED_VALUE"""),"My Parents")</f>
        <v>My Parents</v>
      </c>
      <c r="F795" s="1" t="str">
        <f ca="1">IFERROR(__xludf.DUMMYFUNCTION("""COMPUTED_VALUE"""),"No, But if someone could bare the cost I will")</f>
        <v>No, But if someone could bare the cost I will</v>
      </c>
      <c r="G795" s="1" t="str">
        <f ca="1">IFERROR(__xludf.DUMMYFUNCTION("""COMPUTED_VALUE"""),"Will work for 3 years or more")</f>
        <v>Will work for 3 years or more</v>
      </c>
      <c r="H795" s="1" t="str">
        <f ca="1">IFERROR(__xludf.DUMMYFUNCTION("""COMPUTED_VALUE"""),"Yes")</f>
        <v>Yes</v>
      </c>
      <c r="I795" s="1" t="str">
        <f ca="1">IFERROR(__xludf.DUMMYFUNCTION("""COMPUTED_VALUE"""),"Will work for them")</f>
        <v>Will work for them</v>
      </c>
      <c r="J795" s="1">
        <f ca="1">IFERROR(__xludf.DUMMYFUNCTION("""COMPUTED_VALUE"""),8)</f>
        <v>8</v>
      </c>
      <c r="K795" s="1" t="str">
        <f ca="1">IFERROR(__xludf.DUMMYFUNCTION("""COMPUTED_VALUE"""),"Fully Remote with No option to visit offices")</f>
        <v>Fully Remote with No option to visit offices</v>
      </c>
      <c r="L795" s="1" t="str">
        <f ca="1">IFERROR(__xludf.DUMMYFUNCTION("""COMPUTED_VALUE"""),"Employer who pushes your limits by enabling an learning environment, and rewards you at the end")</f>
        <v>Employer who pushes your limits by enabling an learning environment, and rewards you at the end</v>
      </c>
      <c r="M795" s="1" t="str">
        <f ca="1">IFERROR(__xludf.DUMMYFUNCTION("""COMPUTED_VALUE"""),"Instructor or Expert Learning Programs, Self Purchased Course from External Platforms, Manager Teaching you")</f>
        <v>Instructor or Expert Learning Programs, Self Purchased Course from External Platforms, Manager Teaching you</v>
      </c>
      <c r="N795" s="1" t="str">
        <f ca="1">IFERROR(__xludf.DUMMYFUNCTION("""COMPUTED_VALUE"""),"Teaching in any of the institutes/colleges/online or offline, Business Operations in any organization, Work in a BPO setup for some well known client, Work as a freelancer and do my thing my way")</f>
        <v>Teaching in any of the institutes/colleges/online or offline, Business Operations in any organization, Work in a BPO setup for some well known client, Work as a freelancer and do my thing my way</v>
      </c>
      <c r="O795" s="1" t="str">
        <f ca="1">IFERROR(__xludf.DUMMYFUNCTION("""COMPUTED_VALUE"""),"Manager who clearly describes what she/he needs")</f>
        <v>Manager who clearly describes what she/he needs</v>
      </c>
      <c r="P795" s="1" t="str">
        <f ca="1">IFERROR(__xludf.DUMMYFUNCTION("""COMPUTED_VALUE"""),"Work with 5 to 6 people in my team")</f>
        <v>Work with 5 to 6 people in my team</v>
      </c>
      <c r="Q795" s="1"/>
    </row>
    <row r="796" spans="1:17" ht="13.2" x14ac:dyDescent="0.25">
      <c r="A796" s="2">
        <f ca="1">IFERROR(__xludf.DUMMYFUNCTION("""COMPUTED_VALUE"""),45022.7253363773)</f>
        <v>45022.725336377298</v>
      </c>
      <c r="B796" s="1" t="str">
        <f ca="1">IFERROR(__xludf.DUMMYFUNCTION("""COMPUTED_VALUE"""),"India")</f>
        <v>India</v>
      </c>
      <c r="C796" s="1">
        <f ca="1">IFERROR(__xludf.DUMMYFUNCTION("""COMPUTED_VALUE"""),507002)</f>
        <v>507002</v>
      </c>
      <c r="D796" s="3" t="str">
        <f ca="1">IFERROR(__xludf.DUMMYFUNCTION("""COMPUTED_VALUE"""),"Female")</f>
        <v>Female</v>
      </c>
      <c r="E796" s="1" t="str">
        <f ca="1">IFERROR(__xludf.DUMMYFUNCTION("""COMPUTED_VALUE"""),"People who have changed the world for better")</f>
        <v>People who have changed the world for better</v>
      </c>
      <c r="F796" s="1" t="str">
        <f ca="1">IFERROR(__xludf.DUMMYFUNCTION("""COMPUTED_VALUE"""),"Yes, I will earn and do that")</f>
        <v>Yes, I will earn and do that</v>
      </c>
      <c r="G796" s="1" t="str">
        <f ca="1">IFERROR(__xludf.DUMMYFUNCTION("""COMPUTED_VALUE"""),"Will work for 3 years or more")</f>
        <v>Will work for 3 years or more</v>
      </c>
      <c r="H796" s="1" t="str">
        <f ca="1">IFERROR(__xludf.DUMMYFUNCTION("""COMPUTED_VALUE"""),"Yes")</f>
        <v>Yes</v>
      </c>
      <c r="I796" s="1" t="str">
        <f ca="1">IFERROR(__xludf.DUMMYFUNCTION("""COMPUTED_VALUE"""),"Will work for them")</f>
        <v>Will work for them</v>
      </c>
      <c r="J796" s="1">
        <f ca="1">IFERROR(__xludf.DUMMYFUNCTION("""COMPUTED_VALUE"""),7)</f>
        <v>7</v>
      </c>
      <c r="K796" s="1" t="str">
        <f ca="1">IFERROR(__xludf.DUMMYFUNCTION("""COMPUTED_VALUE"""),"Every Day Office Environment")</f>
        <v>Every Day Office Environment</v>
      </c>
      <c r="L796" s="1" t="str">
        <f ca="1">IFERROR(__xludf.DUMMYFUNCTION("""COMPUTED_VALUE"""),"Employer who pushes your limits by enabling an learning environment, and rewards you at the end")</f>
        <v>Employer who pushes your limits by enabling an learning environment, and rewards you at the end</v>
      </c>
      <c r="M7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9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796" s="1" t="str">
        <f ca="1">IFERROR(__xludf.DUMMYFUNCTION("""COMPUTED_VALUE"""),"Manager who clearly describes what she/he needs")</f>
        <v>Manager who clearly describes what she/he needs</v>
      </c>
      <c r="P796" s="1" t="str">
        <f ca="1">IFERROR(__xludf.DUMMYFUNCTION("""COMPUTED_VALUE"""),"Work alone, Work with 2 to 3 people in my team")</f>
        <v>Work alone, Work with 2 to 3 people in my team</v>
      </c>
      <c r="Q796" s="1"/>
    </row>
    <row r="797" spans="1:17" ht="13.2" x14ac:dyDescent="0.25">
      <c r="A797" s="2">
        <f ca="1">IFERROR(__xludf.DUMMYFUNCTION("""COMPUTED_VALUE"""),45022.7329243402)</f>
        <v>45022.732924340198</v>
      </c>
      <c r="B797" s="1" t="str">
        <f ca="1">IFERROR(__xludf.DUMMYFUNCTION("""COMPUTED_VALUE"""),"India")</f>
        <v>India</v>
      </c>
      <c r="C797" s="1">
        <f ca="1">IFERROR(__xludf.DUMMYFUNCTION("""COMPUTED_VALUE"""),641035)</f>
        <v>641035</v>
      </c>
      <c r="D797" s="3" t="str">
        <f ca="1">IFERROR(__xludf.DUMMYFUNCTION("""COMPUTED_VALUE"""),"Male")</f>
        <v>Male</v>
      </c>
      <c r="E797" s="1" t="str">
        <f ca="1">IFERROR(__xludf.DUMMYFUNCTION("""COMPUTED_VALUE"""),"Influencers who had successful careers")</f>
        <v>Influencers who had successful careers</v>
      </c>
      <c r="F797" s="1" t="str">
        <f ca="1">IFERROR(__xludf.DUMMYFUNCTION("""COMPUTED_VALUE"""),"No I would not be pursuing Higher Education outside of India")</f>
        <v>No I would not be pursuing Higher Education outside of India</v>
      </c>
      <c r="G797" s="1" t="str">
        <f ca="1">IFERROR(__xludf.DUMMYFUNCTION("""COMPUTED_VALUE"""),"This will be hard to do, but if it is the right company I would try")</f>
        <v>This will be hard to do, but if it is the right company I would try</v>
      </c>
      <c r="H797" s="1" t="str">
        <f ca="1">IFERROR(__xludf.DUMMYFUNCTION("""COMPUTED_VALUE"""),"No")</f>
        <v>No</v>
      </c>
      <c r="I797" s="1" t="str">
        <f ca="1">IFERROR(__xludf.DUMMYFUNCTION("""COMPUTED_VALUE"""),"Will work for them")</f>
        <v>Will work for them</v>
      </c>
      <c r="J797" s="1">
        <f ca="1">IFERROR(__xludf.DUMMYFUNCTION("""COMPUTED_VALUE"""),3)</f>
        <v>3</v>
      </c>
      <c r="K797" s="1" t="str">
        <f ca="1">IFERROR(__xludf.DUMMYFUNCTION("""COMPUTED_VALUE"""),"Hybrid Working Environment with less than 3 days a month at office")</f>
        <v>Hybrid Working Environment with less than 3 days a month at office</v>
      </c>
      <c r="L797" s="1" t="str">
        <f ca="1">IFERROR(__xludf.DUMMYFUNCTION("""COMPUTED_VALUE"""),"Employer who appreciates learning and enables that environment")</f>
        <v>Employer who appreciates learning and enables that environment</v>
      </c>
      <c r="M79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9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797" s="1" t="str">
        <f ca="1">IFERROR(__xludf.DUMMYFUNCTION("""COMPUTED_VALUE"""),"Manager who sets goal and helps me achieve it")</f>
        <v>Manager who sets goal and helps me achieve it</v>
      </c>
      <c r="P797" s="1" t="str">
        <f ca="1">IFERROR(__xludf.DUMMYFUNCTION("""COMPUTED_VALUE"""),"Work with more than 10 people in my team")</f>
        <v>Work with more than 10 people in my team</v>
      </c>
      <c r="Q797" s="1"/>
    </row>
    <row r="798" spans="1:17" ht="13.2" x14ac:dyDescent="0.25">
      <c r="A798" s="2">
        <f ca="1">IFERROR(__xludf.DUMMYFUNCTION("""COMPUTED_VALUE"""),45022.7389106365)</f>
        <v>45022.738910636501</v>
      </c>
      <c r="B798" s="1" t="str">
        <f ca="1">IFERROR(__xludf.DUMMYFUNCTION("""COMPUTED_VALUE"""),"India")</f>
        <v>India</v>
      </c>
      <c r="C798" s="1">
        <f ca="1">IFERROR(__xludf.DUMMYFUNCTION("""COMPUTED_VALUE"""),380058)</f>
        <v>380058</v>
      </c>
      <c r="D798" s="3" t="str">
        <f ca="1">IFERROR(__xludf.DUMMYFUNCTION("""COMPUTED_VALUE"""),"Female")</f>
        <v>Female</v>
      </c>
      <c r="E798" s="1" t="str">
        <f ca="1">IFERROR(__xludf.DUMMYFUNCTION("""COMPUTED_VALUE"""),"My Parents")</f>
        <v>My Parents</v>
      </c>
      <c r="F798" s="1" t="str">
        <f ca="1">IFERROR(__xludf.DUMMYFUNCTION("""COMPUTED_VALUE"""),"No I would not be pursuing Higher Education outside of India")</f>
        <v>No I would not be pursuing Higher Education outside of India</v>
      </c>
      <c r="G798" s="1" t="str">
        <f ca="1">IFERROR(__xludf.DUMMYFUNCTION("""COMPUTED_VALUE"""),"This will be hard to do, but if it is the right company I would try")</f>
        <v>This will be hard to do, but if it is the right company I would try</v>
      </c>
      <c r="H798" s="1" t="str">
        <f ca="1">IFERROR(__xludf.DUMMYFUNCTION("""COMPUTED_VALUE"""),"No")</f>
        <v>No</v>
      </c>
      <c r="I798" s="1" t="str">
        <f ca="1">IFERROR(__xludf.DUMMYFUNCTION("""COMPUTED_VALUE"""),"Will NOT work for them")</f>
        <v>Will NOT work for them</v>
      </c>
      <c r="J798" s="1">
        <f ca="1">IFERROR(__xludf.DUMMYFUNCTION("""COMPUTED_VALUE"""),1)</f>
        <v>1</v>
      </c>
      <c r="K798" s="1" t="str">
        <f ca="1">IFERROR(__xludf.DUMMYFUNCTION("""COMPUTED_VALUE"""),"Every Day Office Environment")</f>
        <v>Every Day Office Environment</v>
      </c>
      <c r="L798" s="1" t="str">
        <f ca="1">IFERROR(__xludf.DUMMYFUNCTION("""COMPUTED_VALUE"""),"Employer who appreciates learning and enables that environment")</f>
        <v>Employer who appreciates learning and enables that environment</v>
      </c>
      <c r="M7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9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798" s="1" t="str">
        <f ca="1">IFERROR(__xludf.DUMMYFUNCTION("""COMPUTED_VALUE"""),"Manager who sets goal and helps me achieve it")</f>
        <v>Manager who sets goal and helps me achieve it</v>
      </c>
      <c r="P798" s="1" t="str">
        <f ca="1">IFERROR(__xludf.DUMMYFUNCTION("""COMPUTED_VALUE"""),"Work with 5 to 6 people in my team")</f>
        <v>Work with 5 to 6 people in my team</v>
      </c>
      <c r="Q798" s="1"/>
    </row>
    <row r="799" spans="1:17" ht="13.2" x14ac:dyDescent="0.25">
      <c r="A799" s="2">
        <f ca="1">IFERROR(__xludf.DUMMYFUNCTION("""COMPUTED_VALUE"""),45022.7458083101)</f>
        <v>45022.745808310101</v>
      </c>
      <c r="B799" s="1" t="str">
        <f ca="1">IFERROR(__xludf.DUMMYFUNCTION("""COMPUTED_VALUE"""),"India")</f>
        <v>India</v>
      </c>
      <c r="C799" s="1">
        <f ca="1">IFERROR(__xludf.DUMMYFUNCTION("""COMPUTED_VALUE"""),382330)</f>
        <v>382330</v>
      </c>
      <c r="D799" s="3" t="str">
        <f ca="1">IFERROR(__xludf.DUMMYFUNCTION("""COMPUTED_VALUE"""),"Male")</f>
        <v>Male</v>
      </c>
      <c r="E799" s="1" t="str">
        <f ca="1">IFERROR(__xludf.DUMMYFUNCTION("""COMPUTED_VALUE"""),"People who have changed the world for better")</f>
        <v>People who have changed the world for better</v>
      </c>
      <c r="F799" s="1" t="str">
        <f ca="1">IFERROR(__xludf.DUMMYFUNCTION("""COMPUTED_VALUE"""),"Yes, I will earn and do that")</f>
        <v>Yes, I will earn and do that</v>
      </c>
      <c r="G799" s="1" t="str">
        <f ca="1">IFERROR(__xludf.DUMMYFUNCTION("""COMPUTED_VALUE"""),"This will be hard to do, but if it is the right company I would try")</f>
        <v>This will be hard to do, but if it is the right company I would try</v>
      </c>
      <c r="H799" s="1" t="str">
        <f ca="1">IFERROR(__xludf.DUMMYFUNCTION("""COMPUTED_VALUE"""),"No")</f>
        <v>No</v>
      </c>
      <c r="I799" s="1" t="str">
        <f ca="1">IFERROR(__xludf.DUMMYFUNCTION("""COMPUTED_VALUE"""),"Will NOT work for them")</f>
        <v>Will NOT work for them</v>
      </c>
      <c r="J799" s="1">
        <f ca="1">IFERROR(__xludf.DUMMYFUNCTION("""COMPUTED_VALUE"""),9)</f>
        <v>9</v>
      </c>
      <c r="K799" s="1" t="str">
        <f ca="1">IFERROR(__xludf.DUMMYFUNCTION("""COMPUTED_VALUE"""),"Every Day Office Environment")</f>
        <v>Every Day Office Environment</v>
      </c>
      <c r="L799" s="1" t="str">
        <f ca="1">IFERROR(__xludf.DUMMYFUNCTION("""COMPUTED_VALUE"""),"Employer who pushes your limits by enabling an learning environment, and rewards you at the end")</f>
        <v>Employer who pushes your limits by enabling an learning environment, and rewards you at the end</v>
      </c>
      <c r="M79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99"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799" s="1" t="str">
        <f ca="1">IFERROR(__xludf.DUMMYFUNCTION("""COMPUTED_VALUE"""),"Manager who sets goal and helps me achieve it")</f>
        <v>Manager who sets goal and helps me achieve it</v>
      </c>
      <c r="P799" s="1" t="str">
        <f ca="1">IFERROR(__xludf.DUMMYFUNCTION("""COMPUTED_VALUE"""),"Work with 2 to 3 people in my team")</f>
        <v>Work with 2 to 3 people in my team</v>
      </c>
      <c r="Q799" s="1"/>
    </row>
    <row r="800" spans="1:17" ht="13.2" x14ac:dyDescent="0.25">
      <c r="A800" s="2">
        <f ca="1">IFERROR(__xludf.DUMMYFUNCTION("""COMPUTED_VALUE"""),45022.7498213541)</f>
        <v>45022.749821354097</v>
      </c>
      <c r="B800" s="1" t="str">
        <f ca="1">IFERROR(__xludf.DUMMYFUNCTION("""COMPUTED_VALUE"""),"India")</f>
        <v>India</v>
      </c>
      <c r="C800" s="1">
        <f ca="1">IFERROR(__xludf.DUMMYFUNCTION("""COMPUTED_VALUE"""),621214)</f>
        <v>621214</v>
      </c>
      <c r="D800" s="3" t="str">
        <f ca="1">IFERROR(__xludf.DUMMYFUNCTION("""COMPUTED_VALUE"""),"Male")</f>
        <v>Male</v>
      </c>
      <c r="E800" s="1" t="str">
        <f ca="1">IFERROR(__xludf.DUMMYFUNCTION("""COMPUTED_VALUE"""),"People who have changed the world for better")</f>
        <v>People who have changed the world for better</v>
      </c>
      <c r="F800" s="1" t="str">
        <f ca="1">IFERROR(__xludf.DUMMYFUNCTION("""COMPUTED_VALUE"""),"Yes, I will earn and do that")</f>
        <v>Yes, I will earn and do that</v>
      </c>
      <c r="G800" s="1" t="str">
        <f ca="1">IFERROR(__xludf.DUMMYFUNCTION("""COMPUTED_VALUE"""),"This will be hard to do, but if it is the right company I would try")</f>
        <v>This will be hard to do, but if it is the right company I would try</v>
      </c>
      <c r="H800" s="1" t="str">
        <f ca="1">IFERROR(__xludf.DUMMYFUNCTION("""COMPUTED_VALUE"""),"No")</f>
        <v>No</v>
      </c>
      <c r="I800" s="1" t="str">
        <f ca="1">IFERROR(__xludf.DUMMYFUNCTION("""COMPUTED_VALUE"""),"Will NOT work for them")</f>
        <v>Will NOT work for them</v>
      </c>
      <c r="J800" s="1">
        <f ca="1">IFERROR(__xludf.DUMMYFUNCTION("""COMPUTED_VALUE"""),1)</f>
        <v>1</v>
      </c>
      <c r="K800" s="1" t="str">
        <f ca="1">IFERROR(__xludf.DUMMYFUNCTION("""COMPUTED_VALUE"""),"Every Day Office Environment")</f>
        <v>Every Day Office Environment</v>
      </c>
      <c r="L800" s="1" t="str">
        <f ca="1">IFERROR(__xludf.DUMMYFUNCTION("""COMPUTED_VALUE"""),"Employer who pushes your limits by enabling an learning environment, and rewards you at the end")</f>
        <v>Employer who pushes your limits by enabling an learning environment, and rewards you at the end</v>
      </c>
      <c r="M800" s="1" t="str">
        <f ca="1">IFERROR(__xludf.DUMMYFUNCTION("""COMPUTED_VALUE"""),"Instructor or Expert Learning Programs, Learning by observing others, Manager Teaching you")</f>
        <v>Instructor or Expert Learning Programs, Learning by observing others, Manager Teaching you</v>
      </c>
      <c r="N800"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800" s="1" t="str">
        <f ca="1">IFERROR(__xludf.DUMMYFUNCTION("""COMPUTED_VALUE"""),"Manager who explains what is expected, sets a goal and helps achieve it")</f>
        <v>Manager who explains what is expected, sets a goal and helps achieve it</v>
      </c>
      <c r="P800" s="1" t="str">
        <f ca="1">IFERROR(__xludf.DUMMYFUNCTION("""COMPUTED_VALUE"""),"Work alone")</f>
        <v>Work alone</v>
      </c>
      <c r="Q800" s="1"/>
    </row>
    <row r="801" spans="1:17" ht="13.2" x14ac:dyDescent="0.25">
      <c r="A801" s="2">
        <f ca="1">IFERROR(__xludf.DUMMYFUNCTION("""COMPUTED_VALUE"""),45022.756032118)</f>
        <v>45022.756032117999</v>
      </c>
      <c r="B801" s="1" t="str">
        <f ca="1">IFERROR(__xludf.DUMMYFUNCTION("""COMPUTED_VALUE"""),"India")</f>
        <v>India</v>
      </c>
      <c r="C801" s="1">
        <f ca="1">IFERROR(__xludf.DUMMYFUNCTION("""COMPUTED_VALUE"""),110077)</f>
        <v>110077</v>
      </c>
      <c r="D801" s="3" t="str">
        <f ca="1">IFERROR(__xludf.DUMMYFUNCTION("""COMPUTED_VALUE"""),"Female")</f>
        <v>Female</v>
      </c>
      <c r="E801" s="1" t="str">
        <f ca="1">IFERROR(__xludf.DUMMYFUNCTION("""COMPUTED_VALUE"""),"My Parents")</f>
        <v>My Parents</v>
      </c>
      <c r="F801" s="1" t="str">
        <f ca="1">IFERROR(__xludf.DUMMYFUNCTION("""COMPUTED_VALUE"""),"No I would not be pursuing Higher Education outside of India")</f>
        <v>No I would not be pursuing Higher Education outside of India</v>
      </c>
      <c r="G801" s="1" t="str">
        <f ca="1">IFERROR(__xludf.DUMMYFUNCTION("""COMPUTED_VALUE"""),"Will work for 3 years or more")</f>
        <v>Will work for 3 years or more</v>
      </c>
      <c r="H801" s="1" t="str">
        <f ca="1">IFERROR(__xludf.DUMMYFUNCTION("""COMPUTED_VALUE"""),"No")</f>
        <v>No</v>
      </c>
      <c r="I801" s="1" t="str">
        <f ca="1">IFERROR(__xludf.DUMMYFUNCTION("""COMPUTED_VALUE"""),"Will NOT work for them")</f>
        <v>Will NOT work for them</v>
      </c>
      <c r="J801" s="1">
        <f ca="1">IFERROR(__xludf.DUMMYFUNCTION("""COMPUTED_VALUE"""),6)</f>
        <v>6</v>
      </c>
      <c r="K801" s="1" t="str">
        <f ca="1">IFERROR(__xludf.DUMMYFUNCTION("""COMPUTED_VALUE"""),"Hybrid Working Environment with more than 15 days a month at office")</f>
        <v>Hybrid Working Environment with more than 15 days a month at office</v>
      </c>
      <c r="L801" s="1" t="str">
        <f ca="1">IFERROR(__xludf.DUMMYFUNCTION("""COMPUTED_VALUE"""),"Employer who pushes your limits by enabling an learning environment, and rewards you at the end")</f>
        <v>Employer who pushes your limits by enabling an learning environment, and rewards you at the end</v>
      </c>
      <c r="M80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01" s="1" t="str">
        <f ca="1">IFERROR(__xludf.DUMMYFUNCTION("""COMPUTED_VALUE"""),"Design and Creative strategy in any company, Teaching in any of the institutes/colleges/online or offline, Work in a BPO setup for some well known client, Become a content Creator in some platform")</f>
        <v>Design and Creative strategy in any company, Teaching in any of the institutes/colleges/online or offline, Work in a BPO setup for some well known client, Become a content Creator in some platform</v>
      </c>
      <c r="O801" s="1" t="str">
        <f ca="1">IFERROR(__xludf.DUMMYFUNCTION("""COMPUTED_VALUE"""),"Manager who sets targets and expects me to achieve it")</f>
        <v>Manager who sets targets and expects me to achieve it</v>
      </c>
      <c r="P801" s="1" t="str">
        <f ca="1">IFERROR(__xludf.DUMMYFUNCTION("""COMPUTED_VALUE"""),"Work alone, Work with 5 to 6 people in my team")</f>
        <v>Work alone, Work with 5 to 6 people in my team</v>
      </c>
      <c r="Q801" s="1"/>
    </row>
    <row r="802" spans="1:17" ht="13.2" x14ac:dyDescent="0.25">
      <c r="A802" s="2">
        <f ca="1">IFERROR(__xludf.DUMMYFUNCTION("""COMPUTED_VALUE"""),45022.7584979976)</f>
        <v>45022.758497997602</v>
      </c>
      <c r="B802" s="1" t="str">
        <f ca="1">IFERROR(__xludf.DUMMYFUNCTION("""COMPUTED_VALUE"""),"India")</f>
        <v>India</v>
      </c>
      <c r="C802" s="1">
        <f ca="1">IFERROR(__xludf.DUMMYFUNCTION("""COMPUTED_VALUE"""),522101)</f>
        <v>522101</v>
      </c>
      <c r="D802" s="3" t="str">
        <f ca="1">IFERROR(__xludf.DUMMYFUNCTION("""COMPUTED_VALUE"""),"Female")</f>
        <v>Female</v>
      </c>
      <c r="E802" s="1" t="str">
        <f ca="1">IFERROR(__xludf.DUMMYFUNCTION("""COMPUTED_VALUE"""),"People who have changed the world for better")</f>
        <v>People who have changed the world for better</v>
      </c>
      <c r="F802" s="1" t="str">
        <f ca="1">IFERROR(__xludf.DUMMYFUNCTION("""COMPUTED_VALUE"""),"No I would not be pursuing Higher Education outside of India")</f>
        <v>No I would not be pursuing Higher Education outside of India</v>
      </c>
      <c r="G802" s="1" t="str">
        <f ca="1">IFERROR(__xludf.DUMMYFUNCTION("""COMPUTED_VALUE"""),"This will be hard to do, but if it is the right company I would try")</f>
        <v>This will be hard to do, but if it is the right company I would try</v>
      </c>
      <c r="H802" s="1" t="str">
        <f ca="1">IFERROR(__xludf.DUMMYFUNCTION("""COMPUTED_VALUE"""),"No")</f>
        <v>No</v>
      </c>
      <c r="I802" s="1" t="str">
        <f ca="1">IFERROR(__xludf.DUMMYFUNCTION("""COMPUTED_VALUE"""),"Will NOT work for them")</f>
        <v>Will NOT work for them</v>
      </c>
      <c r="J802" s="1">
        <f ca="1">IFERROR(__xludf.DUMMYFUNCTION("""COMPUTED_VALUE"""),5)</f>
        <v>5</v>
      </c>
      <c r="K802" s="1" t="str">
        <f ca="1">IFERROR(__xludf.DUMMYFUNCTION("""COMPUTED_VALUE"""),"Fully Remote with No option to visit offices")</f>
        <v>Fully Remote with No option to visit offices</v>
      </c>
      <c r="L802" s="1" t="str">
        <f ca="1">IFERROR(__xludf.DUMMYFUNCTION("""COMPUTED_VALUE"""),"Employer who pushes your limits by enabling an learning environment, and rewards you at the end")</f>
        <v>Employer who pushes your limits by enabling an learning environment, and rewards you at the end</v>
      </c>
      <c r="M80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2"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802" s="1" t="str">
        <f ca="1">IFERROR(__xludf.DUMMYFUNCTION("""COMPUTED_VALUE"""),"Manager who clearly describes what she/he needs")</f>
        <v>Manager who clearly describes what she/he needs</v>
      </c>
      <c r="P802" s="1" t="str">
        <f ca="1">IFERROR(__xludf.DUMMYFUNCTION("""COMPUTED_VALUE"""),"Work with 2 to 3 people in my team, Work with 5 to 6 people in my team")</f>
        <v>Work with 2 to 3 people in my team, Work with 5 to 6 people in my team</v>
      </c>
      <c r="Q802" s="1"/>
    </row>
    <row r="803" spans="1:17" ht="13.2" x14ac:dyDescent="0.25">
      <c r="A803" s="2">
        <f ca="1">IFERROR(__xludf.DUMMYFUNCTION("""COMPUTED_VALUE"""),45022.7604213888)</f>
        <v>45022.760421388797</v>
      </c>
      <c r="B803" s="1" t="str">
        <f ca="1">IFERROR(__xludf.DUMMYFUNCTION("""COMPUTED_VALUE"""),"India")</f>
        <v>India</v>
      </c>
      <c r="C803" s="1">
        <f ca="1">IFERROR(__xludf.DUMMYFUNCTION("""COMPUTED_VALUE"""),500097)</f>
        <v>500097</v>
      </c>
      <c r="D803" s="3" t="str">
        <f ca="1">IFERROR(__xludf.DUMMYFUNCTION("""COMPUTED_VALUE"""),"Male")</f>
        <v>Male</v>
      </c>
      <c r="E803" s="1" t="str">
        <f ca="1">IFERROR(__xludf.DUMMYFUNCTION("""COMPUTED_VALUE"""),"Social Media like LinkedIn")</f>
        <v>Social Media like LinkedIn</v>
      </c>
      <c r="F803" s="1" t="str">
        <f ca="1">IFERROR(__xludf.DUMMYFUNCTION("""COMPUTED_VALUE"""),"Yes, I will earn and do that")</f>
        <v>Yes, I will earn and do that</v>
      </c>
      <c r="G803" s="1" t="str">
        <f ca="1">IFERROR(__xludf.DUMMYFUNCTION("""COMPUTED_VALUE"""),"This will be hard to do, but if it is the right company I would try")</f>
        <v>This will be hard to do, but if it is the right company I would try</v>
      </c>
      <c r="H803" s="1" t="str">
        <f ca="1">IFERROR(__xludf.DUMMYFUNCTION("""COMPUTED_VALUE"""),"No")</f>
        <v>No</v>
      </c>
      <c r="I803" s="1" t="str">
        <f ca="1">IFERROR(__xludf.DUMMYFUNCTION("""COMPUTED_VALUE"""),"Will NOT work for them")</f>
        <v>Will NOT work for them</v>
      </c>
      <c r="J803" s="1">
        <f ca="1">IFERROR(__xludf.DUMMYFUNCTION("""COMPUTED_VALUE"""),10)</f>
        <v>10</v>
      </c>
      <c r="K803" s="1" t="str">
        <f ca="1">IFERROR(__xludf.DUMMYFUNCTION("""COMPUTED_VALUE"""),"Hybrid Working Environment with more than 15 days a month at office")</f>
        <v>Hybrid Working Environment with more than 15 days a month at office</v>
      </c>
      <c r="L803" s="1" t="str">
        <f ca="1">IFERROR(__xludf.DUMMYFUNCTION("""COMPUTED_VALUE"""),"Employer who pushes your limits by enabling an learning environment, and rewards you at the end")</f>
        <v>Employer who pushes your limits by enabling an learning environment, and rewards you at the end</v>
      </c>
      <c r="M80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3"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03" s="1" t="str">
        <f ca="1">IFERROR(__xludf.DUMMYFUNCTION("""COMPUTED_VALUE"""),"Manager who explains what is expected, sets a goal and helps achieve it")</f>
        <v>Manager who explains what is expected, sets a goal and helps achieve it</v>
      </c>
      <c r="P803" s="1" t="str">
        <f ca="1">IFERROR(__xludf.DUMMYFUNCTION("""COMPUTED_VALUE"""),"Work alone, Work with 2 to 3 people in my team, Work with more than 10 people in my team")</f>
        <v>Work alone, Work with 2 to 3 people in my team, Work with more than 10 people in my team</v>
      </c>
      <c r="Q803" s="1"/>
    </row>
    <row r="804" spans="1:17" ht="13.2" x14ac:dyDescent="0.25">
      <c r="A804" s="2">
        <f ca="1">IFERROR(__xludf.DUMMYFUNCTION("""COMPUTED_VALUE"""),45022.7608049537)</f>
        <v>45022.760804953701</v>
      </c>
      <c r="B804" s="1" t="str">
        <f ca="1">IFERROR(__xludf.DUMMYFUNCTION("""COMPUTED_VALUE"""),"India")</f>
        <v>India</v>
      </c>
      <c r="C804" s="1">
        <f ca="1">IFERROR(__xludf.DUMMYFUNCTION("""COMPUTED_VALUE"""),500086)</f>
        <v>500086</v>
      </c>
      <c r="D804" s="3" t="str">
        <f ca="1">IFERROR(__xludf.DUMMYFUNCTION("""COMPUTED_VALUE"""),"Female")</f>
        <v>Female</v>
      </c>
      <c r="E804" s="1" t="str">
        <f ca="1">IFERROR(__xludf.DUMMYFUNCTION("""COMPUTED_VALUE"""),"My Parents")</f>
        <v>My Parents</v>
      </c>
      <c r="F804" s="1" t="str">
        <f ca="1">IFERROR(__xludf.DUMMYFUNCTION("""COMPUTED_VALUE"""),"No I would not be pursuing Higher Education outside of India")</f>
        <v>No I would not be pursuing Higher Education outside of India</v>
      </c>
      <c r="G804" s="1" t="str">
        <f ca="1">IFERROR(__xludf.DUMMYFUNCTION("""COMPUTED_VALUE"""),"This will be hard to do, but if it is the right company I would try")</f>
        <v>This will be hard to do, but if it is the right company I would try</v>
      </c>
      <c r="H804" s="1" t="str">
        <f ca="1">IFERROR(__xludf.DUMMYFUNCTION("""COMPUTED_VALUE"""),"No")</f>
        <v>No</v>
      </c>
      <c r="I804" s="1" t="str">
        <f ca="1">IFERROR(__xludf.DUMMYFUNCTION("""COMPUTED_VALUE"""),"Will NOT work for them")</f>
        <v>Will NOT work for them</v>
      </c>
      <c r="J804" s="1">
        <f ca="1">IFERROR(__xludf.DUMMYFUNCTION("""COMPUTED_VALUE"""),4)</f>
        <v>4</v>
      </c>
      <c r="K804" s="1" t="str">
        <f ca="1">IFERROR(__xludf.DUMMYFUNCTION("""COMPUTED_VALUE"""),"Fully Remote with Options to travel as and when needed")</f>
        <v>Fully Remote with Options to travel as and when needed</v>
      </c>
      <c r="L804" s="1" t="str">
        <f ca="1">IFERROR(__xludf.DUMMYFUNCTION("""COMPUTED_VALUE"""),"Employer who pushes your limits by enabling an learning environment, and rewards you at the end")</f>
        <v>Employer who pushes your limits by enabling an learning environment, and rewards you at the end</v>
      </c>
      <c r="M80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04" s="1" t="str">
        <f ca="1">IFERROR(__xludf.DUMMYFUNCTION("""COMPUTED_VALUE"""),"Manage and drive End-to-End Projects or Products, Build and develop a Team, Look deeply into Data and generate insights, Become a content Creator in some platform")</f>
        <v>Manage and drive End-to-End Projects or Products, Build and develop a Team, Look deeply into Data and generate insights, Become a content Creator in some platform</v>
      </c>
      <c r="O804" s="1" t="str">
        <f ca="1">IFERROR(__xludf.DUMMYFUNCTION("""COMPUTED_VALUE"""),"Manager who explains what is expected, sets a goal and helps achieve it")</f>
        <v>Manager who explains what is expected, sets a goal and helps achieve it</v>
      </c>
      <c r="P804" s="1" t="str">
        <f ca="1">IFERROR(__xludf.DUMMYFUNCTION("""COMPUTED_VALUE"""),"Work with 5 to 6 people in my team")</f>
        <v>Work with 5 to 6 people in my team</v>
      </c>
      <c r="Q804" s="1"/>
    </row>
    <row r="805" spans="1:17" ht="13.2" x14ac:dyDescent="0.25">
      <c r="A805" s="2">
        <f ca="1">IFERROR(__xludf.DUMMYFUNCTION("""COMPUTED_VALUE"""),45022.7613984143)</f>
        <v>45022.761398414303</v>
      </c>
      <c r="B805" s="1" t="str">
        <f ca="1">IFERROR(__xludf.DUMMYFUNCTION("""COMPUTED_VALUE"""),"India")</f>
        <v>India</v>
      </c>
      <c r="C805" s="1">
        <f ca="1">IFERROR(__xludf.DUMMYFUNCTION("""COMPUTED_VALUE"""),623525)</f>
        <v>623525</v>
      </c>
      <c r="D805" s="3" t="str">
        <f ca="1">IFERROR(__xludf.DUMMYFUNCTION("""COMPUTED_VALUE"""),"Female")</f>
        <v>Female</v>
      </c>
      <c r="E805" s="1" t="str">
        <f ca="1">IFERROR(__xludf.DUMMYFUNCTION("""COMPUTED_VALUE"""),"Social Media like LinkedIn")</f>
        <v>Social Media like LinkedIn</v>
      </c>
      <c r="F805" s="1" t="str">
        <f ca="1">IFERROR(__xludf.DUMMYFUNCTION("""COMPUTED_VALUE"""),"No I would not be pursuing Higher Education outside of India")</f>
        <v>No I would not be pursuing Higher Education outside of India</v>
      </c>
      <c r="G805" s="1" t="str">
        <f ca="1">IFERROR(__xludf.DUMMYFUNCTION("""COMPUTED_VALUE"""),"This will be hard to do, but if it is the right company I would try")</f>
        <v>This will be hard to do, but if it is the right company I would try</v>
      </c>
      <c r="H805" s="1" t="str">
        <f ca="1">IFERROR(__xludf.DUMMYFUNCTION("""COMPUTED_VALUE"""),"No")</f>
        <v>No</v>
      </c>
      <c r="I805" s="1" t="str">
        <f ca="1">IFERROR(__xludf.DUMMYFUNCTION("""COMPUTED_VALUE"""),"Will NOT work for them")</f>
        <v>Will NOT work for them</v>
      </c>
      <c r="J805" s="1">
        <f ca="1">IFERROR(__xludf.DUMMYFUNCTION("""COMPUTED_VALUE"""),1)</f>
        <v>1</v>
      </c>
      <c r="K805" s="1" t="str">
        <f ca="1">IFERROR(__xludf.DUMMYFUNCTION("""COMPUTED_VALUE"""),"Every Day Office Environment")</f>
        <v>Every Day Office Environment</v>
      </c>
      <c r="L805" s="1" t="str">
        <f ca="1">IFERROR(__xludf.DUMMYFUNCTION("""COMPUTED_VALUE"""),"Employer who appreciates learning and enables that environment")</f>
        <v>Employer who appreciates learning and enables that environment</v>
      </c>
      <c r="M805" s="1" t="str">
        <f ca="1">IFERROR(__xludf.DUMMYFUNCTION("""COMPUTED_VALUE"""),"Self Paced Learning Portals of the Company, Learning by observing others, Manager Teaching you")</f>
        <v>Self Paced Learning Portals of the Company, Learning by observing others, Manager Teaching you</v>
      </c>
      <c r="N805"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805" s="1" t="str">
        <f ca="1">IFERROR(__xludf.DUMMYFUNCTION("""COMPUTED_VALUE"""),"Manager who explains what is expected, sets a goal and helps achieve it")</f>
        <v>Manager who explains what is expected, sets a goal and helps achieve it</v>
      </c>
      <c r="P805" s="1" t="str">
        <f ca="1">IFERROR(__xludf.DUMMYFUNCTION("""COMPUTED_VALUE"""),"Work with more than 10 people in my team")</f>
        <v>Work with more than 10 people in my team</v>
      </c>
      <c r="Q805" s="1"/>
    </row>
    <row r="806" spans="1:17" ht="13.2" x14ac:dyDescent="0.25">
      <c r="A806" s="2">
        <f ca="1">IFERROR(__xludf.DUMMYFUNCTION("""COMPUTED_VALUE"""),45022.7726913425)</f>
        <v>45022.772691342499</v>
      </c>
      <c r="B806" s="1" t="str">
        <f ca="1">IFERROR(__xludf.DUMMYFUNCTION("""COMPUTED_VALUE"""),"Others")</f>
        <v>Others</v>
      </c>
      <c r="C806" s="1">
        <f ca="1">IFERROR(__xludf.DUMMYFUNCTION("""COMPUTED_VALUE"""),522236)</f>
        <v>522236</v>
      </c>
      <c r="D806" s="3" t="str">
        <f ca="1">IFERROR(__xludf.DUMMYFUNCTION("""COMPUTED_VALUE"""),"Male")</f>
        <v>Male</v>
      </c>
      <c r="E806" s="1" t="str">
        <f ca="1">IFERROR(__xludf.DUMMYFUNCTION("""COMPUTED_VALUE"""),"Influencers who had successful careers")</f>
        <v>Influencers who had successful careers</v>
      </c>
      <c r="F806" s="1" t="str">
        <f ca="1">IFERROR(__xludf.DUMMYFUNCTION("""COMPUTED_VALUE"""),"Yes, I will earn and do that")</f>
        <v>Yes, I will earn and do that</v>
      </c>
      <c r="G806" s="1" t="str">
        <f ca="1">IFERROR(__xludf.DUMMYFUNCTION("""COMPUTED_VALUE"""),"Will work for 3 years or more")</f>
        <v>Will work for 3 years or more</v>
      </c>
      <c r="H806" s="1" t="str">
        <f ca="1">IFERROR(__xludf.DUMMYFUNCTION("""COMPUTED_VALUE"""),"Yes")</f>
        <v>Yes</v>
      </c>
      <c r="I806" s="1" t="str">
        <f ca="1">IFERROR(__xludf.DUMMYFUNCTION("""COMPUTED_VALUE"""),"Will work for them")</f>
        <v>Will work for them</v>
      </c>
      <c r="J806" s="1">
        <f ca="1">IFERROR(__xludf.DUMMYFUNCTION("""COMPUTED_VALUE"""),10)</f>
        <v>10</v>
      </c>
      <c r="K806" s="1" t="str">
        <f ca="1">IFERROR(__xludf.DUMMYFUNCTION("""COMPUTED_VALUE"""),"Fully Remote with Options to travel as and when needed")</f>
        <v>Fully Remote with Options to travel as and when needed</v>
      </c>
      <c r="L806" s="1" t="str">
        <f ca="1">IFERROR(__xludf.DUMMYFUNCTION("""COMPUTED_VALUE"""),"Employer who pushes your limits by enabling an learning environment, and rewards you at the end")</f>
        <v>Employer who pushes your limits by enabling an learning environment, and rewards you at the end</v>
      </c>
      <c r="M80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0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6" s="1" t="str">
        <f ca="1">IFERROR(__xludf.DUMMYFUNCTION("""COMPUTED_VALUE"""),"Manager who sets targets and expects me to achieve it")</f>
        <v>Manager who sets targets and expects me to achieve it</v>
      </c>
      <c r="P806" s="1" t="str">
        <f ca="1">IFERROR(__xludf.DUMMYFUNCTION("""COMPUTED_VALUE"""),"Work with 7 to 10 or more people in my team")</f>
        <v>Work with 7 to 10 or more people in my team</v>
      </c>
      <c r="Q806" s="1"/>
    </row>
    <row r="807" spans="1:17" ht="13.2" x14ac:dyDescent="0.25">
      <c r="A807" s="2">
        <f ca="1">IFERROR(__xludf.DUMMYFUNCTION("""COMPUTED_VALUE"""),45022.7751719213)</f>
        <v>45022.775171921297</v>
      </c>
      <c r="B807" s="1" t="str">
        <f ca="1">IFERROR(__xludf.DUMMYFUNCTION("""COMPUTED_VALUE"""),"India")</f>
        <v>India</v>
      </c>
      <c r="C807" s="1">
        <f ca="1">IFERROR(__xludf.DUMMYFUNCTION("""COMPUTED_VALUE"""),522101)</f>
        <v>522101</v>
      </c>
      <c r="D807" s="3" t="str">
        <f ca="1">IFERROR(__xludf.DUMMYFUNCTION("""COMPUTED_VALUE"""),"Female")</f>
        <v>Female</v>
      </c>
      <c r="E807" s="1" t="str">
        <f ca="1">IFERROR(__xludf.DUMMYFUNCTION("""COMPUTED_VALUE"""),"People from my circle, but not family members")</f>
        <v>People from my circle, but not family members</v>
      </c>
      <c r="F807" s="1" t="str">
        <f ca="1">IFERROR(__xludf.DUMMYFUNCTION("""COMPUTED_VALUE"""),"No, But if someone could bare the cost I will")</f>
        <v>No, But if someone could bare the cost I will</v>
      </c>
      <c r="G807" s="1" t="str">
        <f ca="1">IFERROR(__xludf.DUMMYFUNCTION("""COMPUTED_VALUE"""),"Will work for 3 years or more")</f>
        <v>Will work for 3 years or more</v>
      </c>
      <c r="H807" s="1" t="str">
        <f ca="1">IFERROR(__xludf.DUMMYFUNCTION("""COMPUTED_VALUE"""),"Yes")</f>
        <v>Yes</v>
      </c>
      <c r="I807" s="1" t="str">
        <f ca="1">IFERROR(__xludf.DUMMYFUNCTION("""COMPUTED_VALUE"""),"Will work for them")</f>
        <v>Will work for them</v>
      </c>
      <c r="J807" s="1">
        <f ca="1">IFERROR(__xludf.DUMMYFUNCTION("""COMPUTED_VALUE"""),7)</f>
        <v>7</v>
      </c>
      <c r="K807" s="1" t="str">
        <f ca="1">IFERROR(__xludf.DUMMYFUNCTION("""COMPUTED_VALUE"""),"Hybrid Working Environment with more than 15 days a month at office")</f>
        <v>Hybrid Working Environment with more than 15 days a month at office</v>
      </c>
      <c r="L807" s="1" t="str">
        <f ca="1">IFERROR(__xludf.DUMMYFUNCTION("""COMPUTED_VALUE"""),"Employer who appreciates learning and enables that environment")</f>
        <v>Employer who appreciates learning and enables that environment</v>
      </c>
      <c r="M80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7"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07" s="1" t="str">
        <f ca="1">IFERROR(__xludf.DUMMYFUNCTION("""COMPUTED_VALUE"""),"Manager who sets goal and helps me achieve it")</f>
        <v>Manager who sets goal and helps me achieve it</v>
      </c>
      <c r="P807" s="1" t="str">
        <f ca="1">IFERROR(__xludf.DUMMYFUNCTION("""COMPUTED_VALUE"""),"Work with 5 to 6 people in my team")</f>
        <v>Work with 5 to 6 people in my team</v>
      </c>
      <c r="Q807" s="1"/>
    </row>
    <row r="808" spans="1:17" ht="13.2" x14ac:dyDescent="0.25">
      <c r="A808" s="2">
        <f ca="1">IFERROR(__xludf.DUMMYFUNCTION("""COMPUTED_VALUE"""),45022.7763347569)</f>
        <v>45022.776334756898</v>
      </c>
      <c r="B808" s="1" t="str">
        <f ca="1">IFERROR(__xludf.DUMMYFUNCTION("""COMPUTED_VALUE"""),"India")</f>
        <v>India</v>
      </c>
      <c r="C808" s="1">
        <f ca="1">IFERROR(__xludf.DUMMYFUNCTION("""COMPUTED_VALUE"""),411060)</f>
        <v>411060</v>
      </c>
      <c r="D808" s="3" t="str">
        <f ca="1">IFERROR(__xludf.DUMMYFUNCTION("""COMPUTED_VALUE"""),"Female")</f>
        <v>Female</v>
      </c>
      <c r="E808" s="1" t="str">
        <f ca="1">IFERROR(__xludf.DUMMYFUNCTION("""COMPUTED_VALUE"""),"People from my circle, but not family members")</f>
        <v>People from my circle, but not family members</v>
      </c>
      <c r="F808" s="1" t="str">
        <f ca="1">IFERROR(__xludf.DUMMYFUNCTION("""COMPUTED_VALUE"""),"No, But if someone could bare the cost I will")</f>
        <v>No, But if someone could bare the cost I will</v>
      </c>
      <c r="G808" s="1" t="str">
        <f ca="1">IFERROR(__xludf.DUMMYFUNCTION("""COMPUTED_VALUE"""),"This will be hard to do, but if it is the right company I would try")</f>
        <v>This will be hard to do, but if it is the right company I would try</v>
      </c>
      <c r="H808" s="1" t="str">
        <f ca="1">IFERROR(__xludf.DUMMYFUNCTION("""COMPUTED_VALUE"""),"No")</f>
        <v>No</v>
      </c>
      <c r="I808" s="1" t="str">
        <f ca="1">IFERROR(__xludf.DUMMYFUNCTION("""COMPUTED_VALUE"""),"Will NOT work for them")</f>
        <v>Will NOT work for them</v>
      </c>
      <c r="J808" s="1">
        <f ca="1">IFERROR(__xludf.DUMMYFUNCTION("""COMPUTED_VALUE"""),7)</f>
        <v>7</v>
      </c>
      <c r="K808" s="1" t="str">
        <f ca="1">IFERROR(__xludf.DUMMYFUNCTION("""COMPUTED_VALUE"""),"Fully Remote with Options to travel as and when needed")</f>
        <v>Fully Remote with Options to travel as and when needed</v>
      </c>
      <c r="L808" s="1" t="str">
        <f ca="1">IFERROR(__xludf.DUMMYFUNCTION("""COMPUTED_VALUE"""),"Employer who appreciates learning and enables that environment")</f>
        <v>Employer who appreciates learning and enables that environment</v>
      </c>
      <c r="M80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8" s="1" t="str">
        <f ca="1">IFERROR(__xludf.DUMMYFUNCTION("""COMPUTED_VALUE"""),"Manager who explains what is expected, sets a goal and helps achieve it")</f>
        <v>Manager who explains what is expected, sets a goal and helps achieve it</v>
      </c>
      <c r="P808" s="1" t="str">
        <f ca="1">IFERROR(__xludf.DUMMYFUNCTION("""COMPUTED_VALUE"""),"Work with 5 to 6 people in my team")</f>
        <v>Work with 5 to 6 people in my team</v>
      </c>
      <c r="Q808" s="1"/>
    </row>
    <row r="809" spans="1:17" ht="13.2" x14ac:dyDescent="0.25">
      <c r="A809" s="2">
        <f ca="1">IFERROR(__xludf.DUMMYFUNCTION("""COMPUTED_VALUE"""),45022.7817862037)</f>
        <v>45022.781786203697</v>
      </c>
      <c r="B809" s="1" t="str">
        <f ca="1">IFERROR(__xludf.DUMMYFUNCTION("""COMPUTED_VALUE"""),"India")</f>
        <v>India</v>
      </c>
      <c r="C809" s="1">
        <f ca="1">IFERROR(__xludf.DUMMYFUNCTION("""COMPUTED_VALUE"""),500049)</f>
        <v>500049</v>
      </c>
      <c r="D809" s="3" t="str">
        <f ca="1">IFERROR(__xludf.DUMMYFUNCTION("""COMPUTED_VALUE"""),"Female")</f>
        <v>Female</v>
      </c>
      <c r="E809" s="1" t="str">
        <f ca="1">IFERROR(__xludf.DUMMYFUNCTION("""COMPUTED_VALUE"""),"My Parents")</f>
        <v>My Parents</v>
      </c>
      <c r="F809" s="1" t="str">
        <f ca="1">IFERROR(__xludf.DUMMYFUNCTION("""COMPUTED_VALUE"""),"Yes, I will earn and do that")</f>
        <v>Yes, I will earn and do that</v>
      </c>
      <c r="G809" s="1" t="str">
        <f ca="1">IFERROR(__xludf.DUMMYFUNCTION("""COMPUTED_VALUE"""),"This will be hard to do, but if it is the right company I would try")</f>
        <v>This will be hard to do, but if it is the right company I would try</v>
      </c>
      <c r="H809" s="1" t="str">
        <f ca="1">IFERROR(__xludf.DUMMYFUNCTION("""COMPUTED_VALUE"""),"No")</f>
        <v>No</v>
      </c>
      <c r="I809" s="1" t="str">
        <f ca="1">IFERROR(__xludf.DUMMYFUNCTION("""COMPUTED_VALUE"""),"Will NOT work for them")</f>
        <v>Will NOT work for them</v>
      </c>
      <c r="J809" s="1">
        <f ca="1">IFERROR(__xludf.DUMMYFUNCTION("""COMPUTED_VALUE"""),6)</f>
        <v>6</v>
      </c>
      <c r="K809" s="1" t="str">
        <f ca="1">IFERROR(__xludf.DUMMYFUNCTION("""COMPUTED_VALUE"""),"Hybrid Working Environment with more than 15 days a month at office")</f>
        <v>Hybrid Working Environment with more than 15 days a month at office</v>
      </c>
      <c r="L809" s="1" t="str">
        <f ca="1">IFERROR(__xludf.DUMMYFUNCTION("""COMPUTED_VALUE"""),"Employer who appreciates learning and enables that environment")</f>
        <v>Employer who appreciates learning and enables that environment</v>
      </c>
      <c r="M809"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80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809" s="1" t="str">
        <f ca="1">IFERROR(__xludf.DUMMYFUNCTION("""COMPUTED_VALUE"""),"Manager who clearly describes what she/he needs")</f>
        <v>Manager who clearly describes what she/he needs</v>
      </c>
      <c r="P809" s="1" t="str">
        <f ca="1">IFERROR(__xludf.DUMMYFUNCTION("""COMPUTED_VALUE"""),"Work with 2 to 3 people in my team")</f>
        <v>Work with 2 to 3 people in my team</v>
      </c>
      <c r="Q809" s="1"/>
    </row>
    <row r="810" spans="1:17" ht="13.2" x14ac:dyDescent="0.25">
      <c r="A810" s="2">
        <f ca="1">IFERROR(__xludf.DUMMYFUNCTION("""COMPUTED_VALUE"""),45022.7896251851)</f>
        <v>45022.789625185098</v>
      </c>
      <c r="B810" s="1" t="str">
        <f ca="1">IFERROR(__xludf.DUMMYFUNCTION("""COMPUTED_VALUE"""),"India")</f>
        <v>India</v>
      </c>
      <c r="C810" s="1">
        <f ca="1">IFERROR(__xludf.DUMMYFUNCTION("""COMPUTED_VALUE"""),523001)</f>
        <v>523001</v>
      </c>
      <c r="D810" s="3" t="str">
        <f ca="1">IFERROR(__xludf.DUMMYFUNCTION("""COMPUTED_VALUE"""),"Male")</f>
        <v>Male</v>
      </c>
      <c r="E810" s="1" t="str">
        <f ca="1">IFERROR(__xludf.DUMMYFUNCTION("""COMPUTED_VALUE"""),"People who have changed the world for better")</f>
        <v>People who have changed the world for better</v>
      </c>
      <c r="F810" s="1" t="str">
        <f ca="1">IFERROR(__xludf.DUMMYFUNCTION("""COMPUTED_VALUE"""),"No I would not be pursuing Higher Education outside of India")</f>
        <v>No I would not be pursuing Higher Education outside of India</v>
      </c>
      <c r="G810" s="1" t="str">
        <f ca="1">IFERROR(__xludf.DUMMYFUNCTION("""COMPUTED_VALUE"""),"No way")</f>
        <v>No way</v>
      </c>
      <c r="H810" s="1" t="str">
        <f ca="1">IFERROR(__xludf.DUMMYFUNCTION("""COMPUTED_VALUE"""),"No")</f>
        <v>No</v>
      </c>
      <c r="I810" s="1" t="str">
        <f ca="1">IFERROR(__xludf.DUMMYFUNCTION("""COMPUTED_VALUE"""),"Will NOT work for them")</f>
        <v>Will NOT work for them</v>
      </c>
      <c r="J810" s="1">
        <f ca="1">IFERROR(__xludf.DUMMYFUNCTION("""COMPUTED_VALUE"""),1)</f>
        <v>1</v>
      </c>
      <c r="K810" s="1" t="str">
        <f ca="1">IFERROR(__xludf.DUMMYFUNCTION("""COMPUTED_VALUE"""),"Hybrid Working Environment with less than 3 days a month at office")</f>
        <v>Hybrid Working Environment with less than 3 days a month at office</v>
      </c>
      <c r="L810" s="1" t="str">
        <f ca="1">IFERROR(__xludf.DUMMYFUNCTION("""COMPUTED_VALUE"""),"Employer who pushes your limits by enabling an learning environment, and rewards you at the end")</f>
        <v>Employer who pushes your limits by enabling an learning environment, and rewards you at the end</v>
      </c>
      <c r="M81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81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10" s="1" t="str">
        <f ca="1">IFERROR(__xludf.DUMMYFUNCTION("""COMPUTED_VALUE"""),"Manager who sets goal and helps me achieve it")</f>
        <v>Manager who sets goal and helps me achieve it</v>
      </c>
      <c r="P810" s="1" t="str">
        <f ca="1">IFERROR(__xludf.DUMMYFUNCTION("""COMPUTED_VALUE"""),"Work with 5 to 6 people in my team")</f>
        <v>Work with 5 to 6 people in my team</v>
      </c>
      <c r="Q810" s="1"/>
    </row>
    <row r="811" spans="1:17" ht="13.2" x14ac:dyDescent="0.25">
      <c r="A811" s="2">
        <f ca="1">IFERROR(__xludf.DUMMYFUNCTION("""COMPUTED_VALUE"""),45022.796869618)</f>
        <v>45022.796869618003</v>
      </c>
      <c r="B811" s="1" t="str">
        <f ca="1">IFERROR(__xludf.DUMMYFUNCTION("""COMPUTED_VALUE"""),"India")</f>
        <v>India</v>
      </c>
      <c r="C811" s="1">
        <f ca="1">IFERROR(__xludf.DUMMYFUNCTION("""COMPUTED_VALUE"""),507002)</f>
        <v>507002</v>
      </c>
      <c r="D811" s="3" t="str">
        <f ca="1">IFERROR(__xludf.DUMMYFUNCTION("""COMPUTED_VALUE"""),"Male")</f>
        <v>Male</v>
      </c>
      <c r="E811" s="1" t="str">
        <f ca="1">IFERROR(__xludf.DUMMYFUNCTION("""COMPUTED_VALUE"""),"People who have changed the world for better")</f>
        <v>People who have changed the world for better</v>
      </c>
      <c r="F811" s="1" t="str">
        <f ca="1">IFERROR(__xludf.DUMMYFUNCTION("""COMPUTED_VALUE"""),"Yes, I will earn and do that")</f>
        <v>Yes, I will earn and do that</v>
      </c>
      <c r="G811" s="1" t="str">
        <f ca="1">IFERROR(__xludf.DUMMYFUNCTION("""COMPUTED_VALUE"""),"This will be hard to do, but if it is the right company I would try")</f>
        <v>This will be hard to do, but if it is the right company I would try</v>
      </c>
      <c r="H811" s="1" t="str">
        <f ca="1">IFERROR(__xludf.DUMMYFUNCTION("""COMPUTED_VALUE"""),"No")</f>
        <v>No</v>
      </c>
      <c r="I811" s="1" t="str">
        <f ca="1">IFERROR(__xludf.DUMMYFUNCTION("""COMPUTED_VALUE"""),"Will work for them")</f>
        <v>Will work for them</v>
      </c>
      <c r="J811" s="1">
        <f ca="1">IFERROR(__xludf.DUMMYFUNCTION("""COMPUTED_VALUE"""),9)</f>
        <v>9</v>
      </c>
      <c r="K811" s="1" t="str">
        <f ca="1">IFERROR(__xludf.DUMMYFUNCTION("""COMPUTED_VALUE"""),"Fully Remote with Options to travel as and when needed")</f>
        <v>Fully Remote with Options to travel as and when needed</v>
      </c>
      <c r="L811" s="1" t="str">
        <f ca="1">IFERROR(__xludf.DUMMYFUNCTION("""COMPUTED_VALUE"""),"Employer who pushes your limits and doesn't enables learning environment and never rewards you")</f>
        <v>Employer who pushes your limits and doesn't enables learning environment and never rewards you</v>
      </c>
      <c r="M8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1" s="1" t="str">
        <f ca="1">IFERROR(__xludf.DUMMYFUNCTION("""COMPUTED_VALUE"""),"Manage and drive End-to-End Projects or Products, Design and Develop amazing software, Work in a BPO setup for some well known client, An Artificial Intelligence Specialist / Talking to Robots")</f>
        <v>Manage and drive End-to-End Projects or Products, Design and Develop amazing software, Work in a BPO setup for some well known client, An Artificial Intelligence Specialist / Talking to Robots</v>
      </c>
      <c r="O811" s="1" t="str">
        <f ca="1">IFERROR(__xludf.DUMMYFUNCTION("""COMPUTED_VALUE"""),"Manager who explains what is expected, sets a goal and helps achieve it")</f>
        <v>Manager who explains what is expected, sets a goal and helps achieve it</v>
      </c>
      <c r="P811" s="1" t="str">
        <f ca="1">IFERROR(__xludf.DUMMYFUNCTION("""COMPUTED_VALUE"""),"Work with 7 to 10 or more people in my team")</f>
        <v>Work with 7 to 10 or more people in my team</v>
      </c>
      <c r="Q811" s="1"/>
    </row>
    <row r="812" spans="1:17" ht="13.2" x14ac:dyDescent="0.25">
      <c r="A812" s="2">
        <f ca="1">IFERROR(__xludf.DUMMYFUNCTION("""COMPUTED_VALUE"""),45022.8094249537)</f>
        <v>45022.809424953703</v>
      </c>
      <c r="B812" s="1" t="str">
        <f ca="1">IFERROR(__xludf.DUMMYFUNCTION("""COMPUTED_VALUE"""),"India")</f>
        <v>India</v>
      </c>
      <c r="C812" s="1">
        <f ca="1">IFERROR(__xludf.DUMMYFUNCTION("""COMPUTED_VALUE"""),380001)</f>
        <v>380001</v>
      </c>
      <c r="D812" s="3" t="str">
        <f ca="1">IFERROR(__xludf.DUMMYFUNCTION("""COMPUTED_VALUE"""),"Male")</f>
        <v>Male</v>
      </c>
      <c r="E812" s="1" t="str">
        <f ca="1">IFERROR(__xludf.DUMMYFUNCTION("""COMPUTED_VALUE"""),"My Parents")</f>
        <v>My Parents</v>
      </c>
      <c r="F812" s="1" t="str">
        <f ca="1">IFERROR(__xludf.DUMMYFUNCTION("""COMPUTED_VALUE"""),"No I would not be pursuing Higher Education outside of India")</f>
        <v>No I would not be pursuing Higher Education outside of India</v>
      </c>
      <c r="G812" s="1" t="str">
        <f ca="1">IFERROR(__xludf.DUMMYFUNCTION("""COMPUTED_VALUE"""),"This will be hard to do, but if it is the right company I would try")</f>
        <v>This will be hard to do, but if it is the right company I would try</v>
      </c>
      <c r="H812" s="1" t="str">
        <f ca="1">IFERROR(__xludf.DUMMYFUNCTION("""COMPUTED_VALUE"""),"No")</f>
        <v>No</v>
      </c>
      <c r="I812" s="1" t="str">
        <f ca="1">IFERROR(__xludf.DUMMYFUNCTION("""COMPUTED_VALUE"""),"Will NOT work for them")</f>
        <v>Will NOT work for them</v>
      </c>
      <c r="J812" s="1">
        <f ca="1">IFERROR(__xludf.DUMMYFUNCTION("""COMPUTED_VALUE"""),1)</f>
        <v>1</v>
      </c>
      <c r="K812" s="1" t="str">
        <f ca="1">IFERROR(__xludf.DUMMYFUNCTION("""COMPUTED_VALUE"""),"Every Day Office Environment")</f>
        <v>Every Day Office Environment</v>
      </c>
      <c r="L812" s="1" t="str">
        <f ca="1">IFERROR(__xludf.DUMMYFUNCTION("""COMPUTED_VALUE"""),"Employer who appreciates learning and enables that environment")</f>
        <v>Employer who appreciates learning and enables that environment</v>
      </c>
      <c r="M8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2"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812" s="1" t="str">
        <f ca="1">IFERROR(__xludf.DUMMYFUNCTION("""COMPUTED_VALUE"""),"Manager who sets targets and expects me to achieve it")</f>
        <v>Manager who sets targets and expects me to achieve it</v>
      </c>
      <c r="P812" s="1" t="str">
        <f ca="1">IFERROR(__xludf.DUMMYFUNCTION("""COMPUTED_VALUE"""),"Work with 2 to 3 people in my team")</f>
        <v>Work with 2 to 3 people in my team</v>
      </c>
      <c r="Q812" s="1"/>
    </row>
    <row r="813" spans="1:17" ht="13.2" x14ac:dyDescent="0.25">
      <c r="A813" s="2">
        <f ca="1">IFERROR(__xludf.DUMMYFUNCTION("""COMPUTED_VALUE"""),45022.8246184837)</f>
        <v>45022.824618483697</v>
      </c>
      <c r="B813" s="1" t="str">
        <f ca="1">IFERROR(__xludf.DUMMYFUNCTION("""COMPUTED_VALUE"""),"India")</f>
        <v>India</v>
      </c>
      <c r="C813" s="1">
        <f ca="1">IFERROR(__xludf.DUMMYFUNCTION("""COMPUTED_VALUE"""),57001)</f>
        <v>57001</v>
      </c>
      <c r="D813" s="3" t="str">
        <f ca="1">IFERROR(__xludf.DUMMYFUNCTION("""COMPUTED_VALUE"""),"Male")</f>
        <v>Male</v>
      </c>
      <c r="E813" s="1" t="str">
        <f ca="1">IFERROR(__xludf.DUMMYFUNCTION("""COMPUTED_VALUE"""),"My Parents")</f>
        <v>My Parents</v>
      </c>
      <c r="F813" s="1" t="str">
        <f ca="1">IFERROR(__xludf.DUMMYFUNCTION("""COMPUTED_VALUE"""),"No I would not be pursuing Higher Education outside of India")</f>
        <v>No I would not be pursuing Higher Education outside of India</v>
      </c>
      <c r="G813" s="1" t="str">
        <f ca="1">IFERROR(__xludf.DUMMYFUNCTION("""COMPUTED_VALUE"""),"This will be hard to do, but if it is the right company I would try")</f>
        <v>This will be hard to do, but if it is the right company I would try</v>
      </c>
      <c r="H813" s="1" t="str">
        <f ca="1">IFERROR(__xludf.DUMMYFUNCTION("""COMPUTED_VALUE"""),"No")</f>
        <v>No</v>
      </c>
      <c r="I813" s="1" t="str">
        <f ca="1">IFERROR(__xludf.DUMMYFUNCTION("""COMPUTED_VALUE"""),"Will NOT work for them")</f>
        <v>Will NOT work for them</v>
      </c>
      <c r="J813" s="1">
        <f ca="1">IFERROR(__xludf.DUMMYFUNCTION("""COMPUTED_VALUE"""),7)</f>
        <v>7</v>
      </c>
      <c r="K813" s="1" t="str">
        <f ca="1">IFERROR(__xludf.DUMMYFUNCTION("""COMPUTED_VALUE"""),"Fully Remote with Options to travel as and when needed")</f>
        <v>Fully Remote with Options to travel as and when needed</v>
      </c>
      <c r="L813" s="1" t="str">
        <f ca="1">IFERROR(__xludf.DUMMYFUNCTION("""COMPUTED_VALUE"""),"Employer who pushes your limits by enabling an learning environment, and rewards you at the end")</f>
        <v>Employer who pushes your limits by enabling an learning environment, and rewards you at the end</v>
      </c>
      <c r="M813" s="1" t="str">
        <f ca="1">IFERROR(__xludf.DUMMYFUNCTION("""COMPUTED_VALUE"""),"Self Paced Learning Portals of the Company, Instructor or Expert Learning Programs, Manager Teaching you")</f>
        <v>Self Paced Learning Portals of the Company, Instructor or Expert Learning Programs, Manager Teaching you</v>
      </c>
      <c r="N813" s="1" t="str">
        <f ca="1">IFERROR(__xludf.DUMMYFUNCTION("""COMPUTED_VALUE"""),"Business Operations in any organization, Manage and drive End-to-End Projects or Products, Work as a freelancer and do my thing my way, Manufacturing / Oil and Gas/ Construction / Hard Physical Work related")</f>
        <v>Business Operations in any organization, Manage and drive End-to-End Projects or Products, Work as a freelancer and do my thing my way, Manufacturing / Oil and Gas/ Construction / Hard Physical Work related</v>
      </c>
      <c r="O813" s="1" t="str">
        <f ca="1">IFERROR(__xludf.DUMMYFUNCTION("""COMPUTED_VALUE"""),"Manager who clearly describes what she/he needs")</f>
        <v>Manager who clearly describes what she/he needs</v>
      </c>
      <c r="P813" s="1" t="str">
        <f ca="1">IFERROR(__xludf.DUMMYFUNCTION("""COMPUTED_VALUE"""),"Work with 2 to 3 people in my team")</f>
        <v>Work with 2 to 3 people in my team</v>
      </c>
      <c r="Q813" s="1"/>
    </row>
    <row r="814" spans="1:17" ht="13.2" x14ac:dyDescent="0.25">
      <c r="A814" s="2">
        <f ca="1">IFERROR(__xludf.DUMMYFUNCTION("""COMPUTED_VALUE"""),45022.8283942824)</f>
        <v>45022.828394282398</v>
      </c>
      <c r="B814" s="1" t="str">
        <f ca="1">IFERROR(__xludf.DUMMYFUNCTION("""COMPUTED_VALUE"""),"India")</f>
        <v>India</v>
      </c>
      <c r="C814" s="1">
        <f ca="1">IFERROR(__xludf.DUMMYFUNCTION("""COMPUTED_VALUE"""),521165)</f>
        <v>521165</v>
      </c>
      <c r="D814" s="3" t="str">
        <f ca="1">IFERROR(__xludf.DUMMYFUNCTION("""COMPUTED_VALUE"""),"Female")</f>
        <v>Female</v>
      </c>
      <c r="E814" s="1" t="str">
        <f ca="1">IFERROR(__xludf.DUMMYFUNCTION("""COMPUTED_VALUE"""),"My Parents")</f>
        <v>My Parents</v>
      </c>
      <c r="F814" s="1" t="str">
        <f ca="1">IFERROR(__xludf.DUMMYFUNCTION("""COMPUTED_VALUE"""),"No I would not be pursuing Higher Education outside of India")</f>
        <v>No I would not be pursuing Higher Education outside of India</v>
      </c>
      <c r="G814" s="1" t="str">
        <f ca="1">IFERROR(__xludf.DUMMYFUNCTION("""COMPUTED_VALUE"""),"This will be hard to do, but if it is the right company I would try")</f>
        <v>This will be hard to do, but if it is the right company I would try</v>
      </c>
      <c r="H814" s="1" t="str">
        <f ca="1">IFERROR(__xludf.DUMMYFUNCTION("""COMPUTED_VALUE"""),"No")</f>
        <v>No</v>
      </c>
      <c r="I814" s="1" t="str">
        <f ca="1">IFERROR(__xludf.DUMMYFUNCTION("""COMPUTED_VALUE"""),"Will NOT work for them")</f>
        <v>Will NOT work for them</v>
      </c>
      <c r="J814" s="1">
        <f ca="1">IFERROR(__xludf.DUMMYFUNCTION("""COMPUTED_VALUE"""),5)</f>
        <v>5</v>
      </c>
      <c r="K814" s="1" t="str">
        <f ca="1">IFERROR(__xludf.DUMMYFUNCTION("""COMPUTED_VALUE"""),"Every Day Office Environment")</f>
        <v>Every Day Office Environment</v>
      </c>
      <c r="L814" s="1" t="str">
        <f ca="1">IFERROR(__xludf.DUMMYFUNCTION("""COMPUTED_VALUE"""),"Employer who rewards learning and enables that environment")</f>
        <v>Employer who rewards learning and enables that environment</v>
      </c>
      <c r="M81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4"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814" s="1" t="str">
        <f ca="1">IFERROR(__xludf.DUMMYFUNCTION("""COMPUTED_VALUE"""),"Manager who sets goal and helps me achieve it")</f>
        <v>Manager who sets goal and helps me achieve it</v>
      </c>
      <c r="P814" s="1" t="str">
        <f ca="1">IFERROR(__xludf.DUMMYFUNCTION("""COMPUTED_VALUE"""),"Work with 2 to 3 people in my team")</f>
        <v>Work with 2 to 3 people in my team</v>
      </c>
      <c r="Q814" s="1"/>
    </row>
    <row r="815" spans="1:17" ht="13.2" x14ac:dyDescent="0.25">
      <c r="A815" s="2">
        <f ca="1">IFERROR(__xludf.DUMMYFUNCTION("""COMPUTED_VALUE"""),45022.8289780439)</f>
        <v>45022.828978043901</v>
      </c>
      <c r="B815" s="1" t="str">
        <f ca="1">IFERROR(__xludf.DUMMYFUNCTION("""COMPUTED_VALUE"""),"India")</f>
        <v>India</v>
      </c>
      <c r="C815" s="1">
        <f ca="1">IFERROR(__xludf.DUMMYFUNCTION("""COMPUTED_VALUE"""),421306)</f>
        <v>421306</v>
      </c>
      <c r="D815" s="3" t="str">
        <f ca="1">IFERROR(__xludf.DUMMYFUNCTION("""COMPUTED_VALUE"""),"Male")</f>
        <v>Male</v>
      </c>
      <c r="E815" s="1" t="str">
        <f ca="1">IFERROR(__xludf.DUMMYFUNCTION("""COMPUTED_VALUE"""),"People from my circle, but not family members")</f>
        <v>People from my circle, but not family members</v>
      </c>
      <c r="F815" s="1" t="str">
        <f ca="1">IFERROR(__xludf.DUMMYFUNCTION("""COMPUTED_VALUE"""),"Yes, I will earn and do that")</f>
        <v>Yes, I will earn and do that</v>
      </c>
      <c r="G815" s="1" t="str">
        <f ca="1">IFERROR(__xludf.DUMMYFUNCTION("""COMPUTED_VALUE"""),"This will be hard to do, but if it is the right company I would try")</f>
        <v>This will be hard to do, but if it is the right company I would try</v>
      </c>
      <c r="H815" s="1" t="str">
        <f ca="1">IFERROR(__xludf.DUMMYFUNCTION("""COMPUTED_VALUE"""),"No")</f>
        <v>No</v>
      </c>
      <c r="I815" s="1" t="str">
        <f ca="1">IFERROR(__xludf.DUMMYFUNCTION("""COMPUTED_VALUE"""),"Will NOT work for them")</f>
        <v>Will NOT work for them</v>
      </c>
      <c r="J815" s="1">
        <f ca="1">IFERROR(__xludf.DUMMYFUNCTION("""COMPUTED_VALUE"""),9)</f>
        <v>9</v>
      </c>
      <c r="K815" s="1" t="str">
        <f ca="1">IFERROR(__xludf.DUMMYFUNCTION("""COMPUTED_VALUE"""),"Fully Remote with Options to travel as and when needed")</f>
        <v>Fully Remote with Options to travel as and when needed</v>
      </c>
      <c r="L815" s="1" t="str">
        <f ca="1">IFERROR(__xludf.DUMMYFUNCTION("""COMPUTED_VALUE"""),"Employer who pushes your limits by enabling an learning environment, and rewards you at the end")</f>
        <v>Employer who pushes your limits by enabling an learning environment, and rewards you at the end</v>
      </c>
      <c r="M8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5" s="1" t="str">
        <f ca="1">IFERROR(__xludf.DUMMYFUNCTION("""COMPUTED_VALUE"""),"Business Operations in any organization, Build and develop a Team, Become a content Creator in some platform, An Artificial Intelligence Specialist / Talking to Robots")</f>
        <v>Business Operations in any organization, Build and develop a Team, Become a content Creator in some platform, An Artificial Intelligence Specialist / Talking to Robots</v>
      </c>
      <c r="O815" s="1" t="str">
        <f ca="1">IFERROR(__xludf.DUMMYFUNCTION("""COMPUTED_VALUE"""),"Manager who explains what is expected, sets a goal and helps achieve it")</f>
        <v>Manager who explains what is expected, sets a goal and helps achieve it</v>
      </c>
      <c r="P815" s="1" t="str">
        <f ca="1">IFERROR(__xludf.DUMMYFUNCTION("""COMPUTED_VALUE"""),"Work with 5 to 6 people in my team, Work with 7 to 10 or more people in my team")</f>
        <v>Work with 5 to 6 people in my team, Work with 7 to 10 or more people in my team</v>
      </c>
      <c r="Q815" s="1"/>
    </row>
    <row r="816" spans="1:17" ht="13.2" x14ac:dyDescent="0.25">
      <c r="A816" s="2">
        <f ca="1">IFERROR(__xludf.DUMMYFUNCTION("""COMPUTED_VALUE"""),45022.8319156134)</f>
        <v>45022.831915613402</v>
      </c>
      <c r="B816" s="1" t="str">
        <f ca="1">IFERROR(__xludf.DUMMYFUNCTION("""COMPUTED_VALUE"""),"India")</f>
        <v>India</v>
      </c>
      <c r="C816" s="1">
        <f ca="1">IFERROR(__xludf.DUMMYFUNCTION("""COMPUTED_VALUE"""),440024)</f>
        <v>440024</v>
      </c>
      <c r="D816" s="3" t="str">
        <f ca="1">IFERROR(__xludf.DUMMYFUNCTION("""COMPUTED_VALUE"""),"Female")</f>
        <v>Female</v>
      </c>
      <c r="E816" s="1" t="str">
        <f ca="1">IFERROR(__xludf.DUMMYFUNCTION("""COMPUTED_VALUE"""),"People from my circle, but not family members")</f>
        <v>People from my circle, but not family members</v>
      </c>
      <c r="F816" s="1" t="str">
        <f ca="1">IFERROR(__xludf.DUMMYFUNCTION("""COMPUTED_VALUE"""),"Yes, I will earn and do that")</f>
        <v>Yes, I will earn and do that</v>
      </c>
      <c r="G816" s="1" t="str">
        <f ca="1">IFERROR(__xludf.DUMMYFUNCTION("""COMPUTED_VALUE"""),"This will be hard to do, but if it is the right company I would try")</f>
        <v>This will be hard to do, but if it is the right company I would try</v>
      </c>
      <c r="H816" s="1" t="str">
        <f ca="1">IFERROR(__xludf.DUMMYFUNCTION("""COMPUTED_VALUE"""),"No")</f>
        <v>No</v>
      </c>
      <c r="I816" s="1" t="str">
        <f ca="1">IFERROR(__xludf.DUMMYFUNCTION("""COMPUTED_VALUE"""),"Will work for them")</f>
        <v>Will work for them</v>
      </c>
      <c r="J816" s="1">
        <f ca="1">IFERROR(__xludf.DUMMYFUNCTION("""COMPUTED_VALUE"""),5)</f>
        <v>5</v>
      </c>
      <c r="K816" s="1" t="str">
        <f ca="1">IFERROR(__xludf.DUMMYFUNCTION("""COMPUTED_VALUE"""),"Fully Remote with Options to travel as and when needed")</f>
        <v>Fully Remote with Options to travel as and when needed</v>
      </c>
      <c r="L816" s="1" t="str">
        <f ca="1">IFERROR(__xludf.DUMMYFUNCTION("""COMPUTED_VALUE"""),"Employer who pushes your limits by enabling an learning environment, and rewards you at the end")</f>
        <v>Employer who pushes your limits by enabling an learning environment, and rewards you at the end</v>
      </c>
      <c r="M8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816" s="1" t="str">
        <f ca="1">IFERROR(__xludf.DUMMYFUNCTION("""COMPUTED_VALUE"""),"Manager who explains what is expected, sets a goal and helps achieve it")</f>
        <v>Manager who explains what is expected, sets a goal and helps achieve it</v>
      </c>
      <c r="P816" s="1" t="str">
        <f ca="1">IFERROR(__xludf.DUMMYFUNCTION("""COMPUTED_VALUE"""),"Work alone, Work with 5 to 6 people in my team")</f>
        <v>Work alone, Work with 5 to 6 people in my team</v>
      </c>
      <c r="Q816" s="1"/>
    </row>
    <row r="817" spans="1:17" ht="13.2" x14ac:dyDescent="0.25">
      <c r="A817" s="2">
        <f ca="1">IFERROR(__xludf.DUMMYFUNCTION("""COMPUTED_VALUE"""),45022.8359663078)</f>
        <v>45022.835966307801</v>
      </c>
      <c r="B817" s="1" t="str">
        <f ca="1">IFERROR(__xludf.DUMMYFUNCTION("""COMPUTED_VALUE"""),"India")</f>
        <v>India</v>
      </c>
      <c r="C817" s="1">
        <f ca="1">IFERROR(__xludf.DUMMYFUNCTION("""COMPUTED_VALUE"""),400607)</f>
        <v>400607</v>
      </c>
      <c r="D817" s="3" t="str">
        <f ca="1">IFERROR(__xludf.DUMMYFUNCTION("""COMPUTED_VALUE"""),"Male")</f>
        <v>Male</v>
      </c>
      <c r="E817" s="1" t="str">
        <f ca="1">IFERROR(__xludf.DUMMYFUNCTION("""COMPUTED_VALUE"""),"People who have changed the world for better")</f>
        <v>People who have changed the world for better</v>
      </c>
      <c r="F817" s="1" t="str">
        <f ca="1">IFERROR(__xludf.DUMMYFUNCTION("""COMPUTED_VALUE"""),"Yes, I will earn and do that")</f>
        <v>Yes, I will earn and do that</v>
      </c>
      <c r="G817" s="1" t="str">
        <f ca="1">IFERROR(__xludf.DUMMYFUNCTION("""COMPUTED_VALUE"""),"This will be hard to do, but if it is the right company I would try")</f>
        <v>This will be hard to do, but if it is the right company I would try</v>
      </c>
      <c r="H817" s="1" t="str">
        <f ca="1">IFERROR(__xludf.DUMMYFUNCTION("""COMPUTED_VALUE"""),"No")</f>
        <v>No</v>
      </c>
      <c r="I817" s="1" t="str">
        <f ca="1">IFERROR(__xludf.DUMMYFUNCTION("""COMPUTED_VALUE"""),"Will NOT work for them")</f>
        <v>Will NOT work for them</v>
      </c>
      <c r="J817" s="1">
        <f ca="1">IFERROR(__xludf.DUMMYFUNCTION("""COMPUTED_VALUE"""),1)</f>
        <v>1</v>
      </c>
      <c r="K817" s="1" t="str">
        <f ca="1">IFERROR(__xludf.DUMMYFUNCTION("""COMPUTED_VALUE"""),"Hybrid Working Environment with more than 15 days a month at office")</f>
        <v>Hybrid Working Environment with more than 15 days a month at office</v>
      </c>
      <c r="L817" s="1" t="str">
        <f ca="1">IFERROR(__xludf.DUMMYFUNCTION("""COMPUTED_VALUE"""),"Employer who pushes your limits by enabling an learning environment, and rewards you at the end")</f>
        <v>Employer who pushes your limits by enabling an learning environment, and rewards you at the end</v>
      </c>
      <c r="M81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817" s="1" t="str">
        <f ca="1">IFERROR(__xludf.DUMMYFUNCTION("""COMPUTED_VALUE"""),"Manager who sets targets and expects me to achieve it")</f>
        <v>Manager who sets targets and expects me to achieve it</v>
      </c>
      <c r="P817" s="1" t="str">
        <f ca="1">IFERROR(__xludf.DUMMYFUNCTION("""COMPUTED_VALUE"""),"Work with 2 to 3 people in my team, Work with 5 to 6 people in my team")</f>
        <v>Work with 2 to 3 people in my team, Work with 5 to 6 people in my team</v>
      </c>
      <c r="Q817" s="1"/>
    </row>
    <row r="818" spans="1:17" ht="13.2" x14ac:dyDescent="0.25">
      <c r="A818" s="2">
        <f ca="1">IFERROR(__xludf.DUMMYFUNCTION("""COMPUTED_VALUE"""),45022.8368635069)</f>
        <v>45022.836863506898</v>
      </c>
      <c r="B818" s="1" t="str">
        <f ca="1">IFERROR(__xludf.DUMMYFUNCTION("""COMPUTED_VALUE"""),"India")</f>
        <v>India</v>
      </c>
      <c r="C818" s="1">
        <f ca="1">IFERROR(__xludf.DUMMYFUNCTION("""COMPUTED_VALUE"""),522001)</f>
        <v>522001</v>
      </c>
      <c r="D818" s="3" t="str">
        <f ca="1">IFERROR(__xludf.DUMMYFUNCTION("""COMPUTED_VALUE"""),"Male")</f>
        <v>Male</v>
      </c>
      <c r="E818" s="1" t="str">
        <f ca="1">IFERROR(__xludf.DUMMYFUNCTION("""COMPUTED_VALUE"""),"People from my circle, but not family members")</f>
        <v>People from my circle, but not family members</v>
      </c>
      <c r="F818" s="1" t="str">
        <f ca="1">IFERROR(__xludf.DUMMYFUNCTION("""COMPUTED_VALUE"""),"No I would not be pursuing Higher Education outside of India")</f>
        <v>No I would not be pursuing Higher Education outside of India</v>
      </c>
      <c r="G818" s="1" t="str">
        <f ca="1">IFERROR(__xludf.DUMMYFUNCTION("""COMPUTED_VALUE"""),"Will work for 3 years or more")</f>
        <v>Will work for 3 years or more</v>
      </c>
      <c r="H818" s="1" t="str">
        <f ca="1">IFERROR(__xludf.DUMMYFUNCTION("""COMPUTED_VALUE"""),"No")</f>
        <v>No</v>
      </c>
      <c r="I818" s="1" t="str">
        <f ca="1">IFERROR(__xludf.DUMMYFUNCTION("""COMPUTED_VALUE"""),"Will NOT work for them")</f>
        <v>Will NOT work for them</v>
      </c>
      <c r="J818" s="1">
        <f ca="1">IFERROR(__xludf.DUMMYFUNCTION("""COMPUTED_VALUE"""),7)</f>
        <v>7</v>
      </c>
      <c r="K818" s="1" t="str">
        <f ca="1">IFERROR(__xludf.DUMMYFUNCTION("""COMPUTED_VALUE"""),"Fully Remote with Options to travel as and when needed")</f>
        <v>Fully Remote with Options to travel as and when needed</v>
      </c>
      <c r="L818" s="1" t="str">
        <f ca="1">IFERROR(__xludf.DUMMYFUNCTION("""COMPUTED_VALUE"""),"Employer who pushes your limits by enabling an learning environment, and rewards you at the end")</f>
        <v>Employer who pushes your limits by enabling an learning environment, and rewards you at the end</v>
      </c>
      <c r="M8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18"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818" s="1" t="str">
        <f ca="1">IFERROR(__xludf.DUMMYFUNCTION("""COMPUTED_VALUE"""),"Manager who explains what is expected, sets a goal and helps achieve it")</f>
        <v>Manager who explains what is expected, sets a goal and helps achieve it</v>
      </c>
      <c r="P818" s="1" t="str">
        <f ca="1">IFERROR(__xludf.DUMMYFUNCTION("""COMPUTED_VALUE"""),"Work with 2 to 3 people in my team, Work with 5 to 6 people in my team")</f>
        <v>Work with 2 to 3 people in my team, Work with 5 to 6 people in my team</v>
      </c>
      <c r="Q818" s="1"/>
    </row>
    <row r="819" spans="1:17" ht="13.2" x14ac:dyDescent="0.25">
      <c r="A819" s="2">
        <f ca="1">IFERROR(__xludf.DUMMYFUNCTION("""COMPUTED_VALUE"""),45022.8427504861)</f>
        <v>45022.842750486103</v>
      </c>
      <c r="B819" s="1" t="str">
        <f ca="1">IFERROR(__xludf.DUMMYFUNCTION("""COMPUTED_VALUE"""),"India")</f>
        <v>India</v>
      </c>
      <c r="C819" s="1">
        <f ca="1">IFERROR(__xludf.DUMMYFUNCTION("""COMPUTED_VALUE"""),400709)</f>
        <v>400709</v>
      </c>
      <c r="D819" s="3" t="str">
        <f ca="1">IFERROR(__xludf.DUMMYFUNCTION("""COMPUTED_VALUE"""),"Male")</f>
        <v>Male</v>
      </c>
      <c r="E819" s="1" t="str">
        <f ca="1">IFERROR(__xludf.DUMMYFUNCTION("""COMPUTED_VALUE"""),"My Parents")</f>
        <v>My Parents</v>
      </c>
      <c r="F819" s="1" t="str">
        <f ca="1">IFERROR(__xludf.DUMMYFUNCTION("""COMPUTED_VALUE"""),"No I would not be pursuing Higher Education outside of India")</f>
        <v>No I would not be pursuing Higher Education outside of India</v>
      </c>
      <c r="G819" s="1" t="str">
        <f ca="1">IFERROR(__xludf.DUMMYFUNCTION("""COMPUTED_VALUE"""),"No way")</f>
        <v>No way</v>
      </c>
      <c r="H819" s="1" t="str">
        <f ca="1">IFERROR(__xludf.DUMMYFUNCTION("""COMPUTED_VALUE"""),"Yes")</f>
        <v>Yes</v>
      </c>
      <c r="I819" s="1" t="str">
        <f ca="1">IFERROR(__xludf.DUMMYFUNCTION("""COMPUTED_VALUE"""),"Will work for them")</f>
        <v>Will work for them</v>
      </c>
      <c r="J819" s="1">
        <f ca="1">IFERROR(__xludf.DUMMYFUNCTION("""COMPUTED_VALUE"""),3)</f>
        <v>3</v>
      </c>
      <c r="K819" s="1" t="str">
        <f ca="1">IFERROR(__xludf.DUMMYFUNCTION("""COMPUTED_VALUE"""),"Hybrid Working Environment with more than 15 days a month at office")</f>
        <v>Hybrid Working Environment with more than 15 days a month at office</v>
      </c>
      <c r="L819" s="1" t="str">
        <f ca="1">IFERROR(__xludf.DUMMYFUNCTION("""COMPUTED_VALUE"""),"Employer who pushes your limits and doesn't enables learning environment and never rewards you")</f>
        <v>Employer who pushes your limits and doesn't enables learning environment and never rewards you</v>
      </c>
      <c r="M819"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819"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819" s="1" t="str">
        <f ca="1">IFERROR(__xludf.DUMMYFUNCTION("""COMPUTED_VALUE"""),"Manager who sets targets and expects me to achieve it")</f>
        <v>Manager who sets targets and expects me to achieve it</v>
      </c>
      <c r="P819"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819" s="1"/>
    </row>
    <row r="820" spans="1:17" ht="13.2" x14ac:dyDescent="0.25">
      <c r="A820" s="2">
        <f ca="1">IFERROR(__xludf.DUMMYFUNCTION("""COMPUTED_VALUE"""),45022.847370706)</f>
        <v>45022.847370705997</v>
      </c>
      <c r="B820" s="1" t="str">
        <f ca="1">IFERROR(__xludf.DUMMYFUNCTION("""COMPUTED_VALUE"""),"India")</f>
        <v>India</v>
      </c>
      <c r="C820" s="1" t="str">
        <f ca="1">IFERROR(__xludf.DUMMYFUNCTION("""COMPUTED_VALUE"""),"000000")</f>
        <v>000000</v>
      </c>
      <c r="D820" s="3" t="str">
        <f ca="1">IFERROR(__xludf.DUMMYFUNCTION("""COMPUTED_VALUE"""),"Female")</f>
        <v>Female</v>
      </c>
      <c r="E820" s="1" t="str">
        <f ca="1">IFERROR(__xludf.DUMMYFUNCTION("""COMPUTED_VALUE"""),"People who have changed the world for better")</f>
        <v>People who have changed the world for better</v>
      </c>
      <c r="F820" s="1" t="str">
        <f ca="1">IFERROR(__xludf.DUMMYFUNCTION("""COMPUTED_VALUE"""),"No I would not be pursuing Higher Education outside of India")</f>
        <v>No I would not be pursuing Higher Education outside of India</v>
      </c>
      <c r="G820" s="1" t="str">
        <f ca="1">IFERROR(__xludf.DUMMYFUNCTION("""COMPUTED_VALUE"""),"No way")</f>
        <v>No way</v>
      </c>
      <c r="H820" s="1" t="str">
        <f ca="1">IFERROR(__xludf.DUMMYFUNCTION("""COMPUTED_VALUE"""),"Yes")</f>
        <v>Yes</v>
      </c>
      <c r="I820" s="1" t="str">
        <f ca="1">IFERROR(__xludf.DUMMYFUNCTION("""COMPUTED_VALUE"""),"Will work for them")</f>
        <v>Will work for them</v>
      </c>
      <c r="J820" s="1">
        <f ca="1">IFERROR(__xludf.DUMMYFUNCTION("""COMPUTED_VALUE"""),5)</f>
        <v>5</v>
      </c>
      <c r="K820" s="1" t="str">
        <f ca="1">IFERROR(__xludf.DUMMYFUNCTION("""COMPUTED_VALUE"""),"Fully Remote with No option to visit offices")</f>
        <v>Fully Remote with No option to visit offices</v>
      </c>
      <c r="L820" s="1" t="str">
        <f ca="1">IFERROR(__xludf.DUMMYFUNCTION("""COMPUTED_VALUE"""),"Employer who pushes your limits by enabling an learning environment, and rewards you at the end")</f>
        <v>Employer who pushes your limits by enabling an learning environment, and rewards you at the end</v>
      </c>
      <c r="M82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20"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820" s="1" t="str">
        <f ca="1">IFERROR(__xludf.DUMMYFUNCTION("""COMPUTED_VALUE"""),"Manager who sets unrealistic targets")</f>
        <v>Manager who sets unrealistic targets</v>
      </c>
      <c r="P820" s="1" t="str">
        <f ca="1">IFERROR(__xludf.DUMMYFUNCTION("""COMPUTED_VALUE"""),"Work with more than 10 people in my team")</f>
        <v>Work with more than 10 people in my team</v>
      </c>
      <c r="Q820" s="1"/>
    </row>
    <row r="821" spans="1:17" ht="13.2" x14ac:dyDescent="0.25">
      <c r="A821" s="2">
        <f ca="1">IFERROR(__xludf.DUMMYFUNCTION("""COMPUTED_VALUE"""),45022.8529682175)</f>
        <v>45022.852968217499</v>
      </c>
      <c r="B821" s="1" t="str">
        <f ca="1">IFERROR(__xludf.DUMMYFUNCTION("""COMPUTED_VALUE"""),"India")</f>
        <v>India</v>
      </c>
      <c r="C821" s="1">
        <f ca="1">IFERROR(__xludf.DUMMYFUNCTION("""COMPUTED_VALUE"""),400068)</f>
        <v>400068</v>
      </c>
      <c r="D821" s="3" t="str">
        <f ca="1">IFERROR(__xludf.DUMMYFUNCTION("""COMPUTED_VALUE"""),"Male")</f>
        <v>Male</v>
      </c>
      <c r="E821" s="1" t="str">
        <f ca="1">IFERROR(__xludf.DUMMYFUNCTION("""COMPUTED_VALUE"""),"My Parents")</f>
        <v>My Parents</v>
      </c>
      <c r="F821" s="1" t="str">
        <f ca="1">IFERROR(__xludf.DUMMYFUNCTION("""COMPUTED_VALUE"""),"Yes, I will earn and do that")</f>
        <v>Yes, I will earn and do that</v>
      </c>
      <c r="G821" s="1" t="str">
        <f ca="1">IFERROR(__xludf.DUMMYFUNCTION("""COMPUTED_VALUE"""),"This will be hard to do, but if it is the right company I would try")</f>
        <v>This will be hard to do, but if it is the right company I would try</v>
      </c>
      <c r="H821" s="1" t="str">
        <f ca="1">IFERROR(__xludf.DUMMYFUNCTION("""COMPUTED_VALUE"""),"Yes")</f>
        <v>Yes</v>
      </c>
      <c r="I821" s="1" t="str">
        <f ca="1">IFERROR(__xludf.DUMMYFUNCTION("""COMPUTED_VALUE"""),"Will NOT work for them")</f>
        <v>Will NOT work for them</v>
      </c>
      <c r="J821" s="1">
        <f ca="1">IFERROR(__xludf.DUMMYFUNCTION("""COMPUTED_VALUE"""),5)</f>
        <v>5</v>
      </c>
      <c r="K821" s="1" t="str">
        <f ca="1">IFERROR(__xludf.DUMMYFUNCTION("""COMPUTED_VALUE"""),"Hybrid Working Environment with more than 15 days a month at office")</f>
        <v>Hybrid Working Environment with more than 15 days a month at office</v>
      </c>
      <c r="L821" s="1" t="str">
        <f ca="1">IFERROR(__xludf.DUMMYFUNCTION("""COMPUTED_VALUE"""),"Employer who pushes your limits by enabling an learning environment, and rewards you at the end")</f>
        <v>Employer who pushes your limits by enabling an learning environment, and rewards you at the end</v>
      </c>
      <c r="M82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21"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21" s="1" t="str">
        <f ca="1">IFERROR(__xludf.DUMMYFUNCTION("""COMPUTED_VALUE"""),"Manager who explains what is expected, sets a goal and helps achieve it")</f>
        <v>Manager who explains what is expected, sets a goal and helps achieve it</v>
      </c>
      <c r="P821" s="1" t="str">
        <f ca="1">IFERROR(__xludf.DUMMYFUNCTION("""COMPUTED_VALUE"""),"Work with 7 to 10 or more people in my team, Work with more than 10 people in my team")</f>
        <v>Work with 7 to 10 or more people in my team, Work with more than 10 people in my team</v>
      </c>
      <c r="Q821" s="1"/>
    </row>
    <row r="822" spans="1:17" ht="13.2" x14ac:dyDescent="0.25">
      <c r="A822" s="2">
        <f ca="1">IFERROR(__xludf.DUMMYFUNCTION("""COMPUTED_VALUE"""),45022.8667558101)</f>
        <v>45022.866755810101</v>
      </c>
      <c r="B822" s="1" t="str">
        <f ca="1">IFERROR(__xludf.DUMMYFUNCTION("""COMPUTED_VALUE"""),"Usa")</f>
        <v>Usa</v>
      </c>
      <c r="C822" s="1">
        <f ca="1">IFERROR(__xludf.DUMMYFUNCTION("""COMPUTED_VALUE"""),44114)</f>
        <v>44114</v>
      </c>
      <c r="D822" s="3" t="str">
        <f ca="1">IFERROR(__xludf.DUMMYFUNCTION("""COMPUTED_VALUE"""),"Male")</f>
        <v>Male</v>
      </c>
      <c r="E822" s="1" t="str">
        <f ca="1">IFERROR(__xludf.DUMMYFUNCTION("""COMPUTED_VALUE"""),"Influencers who had successful careers")</f>
        <v>Influencers who had successful careers</v>
      </c>
      <c r="F822" s="1" t="str">
        <f ca="1">IFERROR(__xludf.DUMMYFUNCTION("""COMPUTED_VALUE"""),"Yes, I will earn and do that")</f>
        <v>Yes, I will earn and do that</v>
      </c>
      <c r="G822" s="1" t="str">
        <f ca="1">IFERROR(__xludf.DUMMYFUNCTION("""COMPUTED_VALUE"""),"This will be hard to do, but if it is the right company I would try")</f>
        <v>This will be hard to do, but if it is the right company I would try</v>
      </c>
      <c r="H822" s="1" t="str">
        <f ca="1">IFERROR(__xludf.DUMMYFUNCTION("""COMPUTED_VALUE"""),"No")</f>
        <v>No</v>
      </c>
      <c r="I822" s="1" t="str">
        <f ca="1">IFERROR(__xludf.DUMMYFUNCTION("""COMPUTED_VALUE"""),"Will work for them")</f>
        <v>Will work for them</v>
      </c>
      <c r="J822" s="1">
        <f ca="1">IFERROR(__xludf.DUMMYFUNCTION("""COMPUTED_VALUE"""),9)</f>
        <v>9</v>
      </c>
      <c r="K822" s="1" t="str">
        <f ca="1">IFERROR(__xludf.DUMMYFUNCTION("""COMPUTED_VALUE"""),"Hybrid Working Environment with less than 3 days a month at office")</f>
        <v>Hybrid Working Environment with less than 3 days a month at office</v>
      </c>
      <c r="L822" s="1" t="str">
        <f ca="1">IFERROR(__xludf.DUMMYFUNCTION("""COMPUTED_VALUE"""),"Employer who pushes your limits by enabling an learning environment, and rewards you at the end")</f>
        <v>Employer who pushes your limits by enabling an learning environment, and rewards you at the end</v>
      </c>
      <c r="M8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2" s="1" t="str">
        <f ca="1">IFERROR(__xludf.DUMMYFUNCTION("""COMPUTED_VALUE"""),"Business Operations in any organization, Look deeply into Data and generate insights, Become a content Creator in some platform, Entrepreneur or Start Up")</f>
        <v>Business Operations in any organization, Look deeply into Data and generate insights, Become a content Creator in some platform, Entrepreneur or Start Up</v>
      </c>
      <c r="O822" s="1" t="str">
        <f ca="1">IFERROR(__xludf.DUMMYFUNCTION("""COMPUTED_VALUE"""),"Manager who explains what is expected, sets a goal and helps achieve it")</f>
        <v>Manager who explains what is expected, sets a goal and helps achieve it</v>
      </c>
      <c r="P822" s="1" t="str">
        <f ca="1">IFERROR(__xludf.DUMMYFUNCTION("""COMPUTED_VALUE"""),"Work with 5 to 6 people in my team")</f>
        <v>Work with 5 to 6 people in my team</v>
      </c>
      <c r="Q822" s="1"/>
    </row>
    <row r="823" spans="1:17" ht="13.2" x14ac:dyDescent="0.25">
      <c r="A823" s="2">
        <f ca="1">IFERROR(__xludf.DUMMYFUNCTION("""COMPUTED_VALUE"""),45022.8823366898)</f>
        <v>45022.8823366898</v>
      </c>
      <c r="B823" s="1" t="str">
        <f ca="1">IFERROR(__xludf.DUMMYFUNCTION("""COMPUTED_VALUE"""),"India")</f>
        <v>India</v>
      </c>
      <c r="C823" s="1">
        <f ca="1">IFERROR(__xludf.DUMMYFUNCTION("""COMPUTED_VALUE"""),522212)</f>
        <v>522212</v>
      </c>
      <c r="D823" s="3" t="str">
        <f ca="1">IFERROR(__xludf.DUMMYFUNCTION("""COMPUTED_VALUE"""),"Female")</f>
        <v>Female</v>
      </c>
      <c r="E823" s="1" t="str">
        <f ca="1">IFERROR(__xludf.DUMMYFUNCTION("""COMPUTED_VALUE"""),"People who have changed the world for better")</f>
        <v>People who have changed the world for better</v>
      </c>
      <c r="F823" s="1" t="str">
        <f ca="1">IFERROR(__xludf.DUMMYFUNCTION("""COMPUTED_VALUE"""),"No I would not be pursuing Higher Education outside of India")</f>
        <v>No I would not be pursuing Higher Education outside of India</v>
      </c>
      <c r="G823" s="1" t="str">
        <f ca="1">IFERROR(__xludf.DUMMYFUNCTION("""COMPUTED_VALUE"""),"This will be hard to do, but if it is the right company I would try")</f>
        <v>This will be hard to do, but if it is the right company I would try</v>
      </c>
      <c r="H823" s="1" t="str">
        <f ca="1">IFERROR(__xludf.DUMMYFUNCTION("""COMPUTED_VALUE"""),"No")</f>
        <v>No</v>
      </c>
      <c r="I823" s="1" t="str">
        <f ca="1">IFERROR(__xludf.DUMMYFUNCTION("""COMPUTED_VALUE"""),"Will NOT work for them")</f>
        <v>Will NOT work for them</v>
      </c>
      <c r="J823" s="1">
        <f ca="1">IFERROR(__xludf.DUMMYFUNCTION("""COMPUTED_VALUE"""),8)</f>
        <v>8</v>
      </c>
      <c r="K823" s="1" t="str">
        <f ca="1">IFERROR(__xludf.DUMMYFUNCTION("""COMPUTED_VALUE"""),"Every Day Office Environment")</f>
        <v>Every Day Office Environment</v>
      </c>
      <c r="L823" s="1" t="str">
        <f ca="1">IFERROR(__xludf.DUMMYFUNCTION("""COMPUTED_VALUE"""),"Employer who pushes your limits by enabling an learning environment, and rewards you at the end")</f>
        <v>Employer who pushes your limits by enabling an learning environment, and rewards you at the end</v>
      </c>
      <c r="M8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23"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23" s="1" t="str">
        <f ca="1">IFERROR(__xludf.DUMMYFUNCTION("""COMPUTED_VALUE"""),"Manager who explains what is expected, sets a goal and helps achieve it")</f>
        <v>Manager who explains what is expected, sets a goal and helps achieve it</v>
      </c>
      <c r="P823" s="1" t="str">
        <f ca="1">IFERROR(__xludf.DUMMYFUNCTION("""COMPUTED_VALUE"""),"Work with 5 to 6 people in my team")</f>
        <v>Work with 5 to 6 people in my team</v>
      </c>
      <c r="Q823" s="1"/>
    </row>
    <row r="824" spans="1:17" ht="13.2" x14ac:dyDescent="0.25">
      <c r="A824" s="2">
        <f ca="1">IFERROR(__xludf.DUMMYFUNCTION("""COMPUTED_VALUE"""),45022.8881923148)</f>
        <v>45022.8881923148</v>
      </c>
      <c r="B824" s="1" t="str">
        <f ca="1">IFERROR(__xludf.DUMMYFUNCTION("""COMPUTED_VALUE"""),"Others")</f>
        <v>Others</v>
      </c>
      <c r="C824" s="1" t="str">
        <f ca="1">IFERROR(__xludf.DUMMYFUNCTION("""COMPUTED_VALUE"""),"02-781")</f>
        <v>02-781</v>
      </c>
      <c r="D824" s="3" t="str">
        <f ca="1">IFERROR(__xludf.DUMMYFUNCTION("""COMPUTED_VALUE"""),"Female")</f>
        <v>Female</v>
      </c>
      <c r="E824" s="1" t="str">
        <f ca="1">IFERROR(__xludf.DUMMYFUNCTION("""COMPUTED_VALUE"""),"People from my circle, but not family members")</f>
        <v>People from my circle, but not family members</v>
      </c>
      <c r="F824" s="1" t="str">
        <f ca="1">IFERROR(__xludf.DUMMYFUNCTION("""COMPUTED_VALUE"""),"No I would not be pursuing Higher Education outside of India")</f>
        <v>No I would not be pursuing Higher Education outside of India</v>
      </c>
      <c r="G824" s="1" t="str">
        <f ca="1">IFERROR(__xludf.DUMMYFUNCTION("""COMPUTED_VALUE"""),"Will work for 3 years or more")</f>
        <v>Will work for 3 years or more</v>
      </c>
      <c r="H824" s="1" t="str">
        <f ca="1">IFERROR(__xludf.DUMMYFUNCTION("""COMPUTED_VALUE"""),"No")</f>
        <v>No</v>
      </c>
      <c r="I824" s="1" t="str">
        <f ca="1">IFERROR(__xludf.DUMMYFUNCTION("""COMPUTED_VALUE"""),"Will NOT work for them")</f>
        <v>Will NOT work for them</v>
      </c>
      <c r="J824" s="1">
        <f ca="1">IFERROR(__xludf.DUMMYFUNCTION("""COMPUTED_VALUE"""),1)</f>
        <v>1</v>
      </c>
      <c r="K824" s="1" t="str">
        <f ca="1">IFERROR(__xludf.DUMMYFUNCTION("""COMPUTED_VALUE"""),"Every Day Office Environment")</f>
        <v>Every Day Office Environment</v>
      </c>
      <c r="L824" s="1" t="str">
        <f ca="1">IFERROR(__xludf.DUMMYFUNCTION("""COMPUTED_VALUE"""),"Employer who rewards learning and enables that environment")</f>
        <v>Employer who rewards learning and enables that environment</v>
      </c>
      <c r="M82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24"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24" s="1" t="str">
        <f ca="1">IFERROR(__xludf.DUMMYFUNCTION("""COMPUTED_VALUE"""),"Manager who explains what is expected, sets a goal and helps achieve it")</f>
        <v>Manager who explains what is expected, sets a goal and helps achieve it</v>
      </c>
      <c r="P824" s="1" t="str">
        <f ca="1">IFERROR(__xludf.DUMMYFUNCTION("""COMPUTED_VALUE"""),"Work with 7 to 10 or more people in my team")</f>
        <v>Work with 7 to 10 or more people in my team</v>
      </c>
      <c r="Q824" s="1"/>
    </row>
    <row r="825" spans="1:17" ht="13.2" x14ac:dyDescent="0.25">
      <c r="A825" s="2">
        <f ca="1">IFERROR(__xludf.DUMMYFUNCTION("""COMPUTED_VALUE"""),45022.8895086921)</f>
        <v>45022.889508692097</v>
      </c>
      <c r="B825" s="1" t="str">
        <f ca="1">IFERROR(__xludf.DUMMYFUNCTION("""COMPUTED_VALUE"""),"India")</f>
        <v>India</v>
      </c>
      <c r="C825" s="1">
        <f ca="1">IFERROR(__xludf.DUMMYFUNCTION("""COMPUTED_VALUE"""),641105)</f>
        <v>641105</v>
      </c>
      <c r="D825" s="3" t="str">
        <f ca="1">IFERROR(__xludf.DUMMYFUNCTION("""COMPUTED_VALUE"""),"Male")</f>
        <v>Male</v>
      </c>
      <c r="E825" s="1" t="str">
        <f ca="1">IFERROR(__xludf.DUMMYFUNCTION("""COMPUTED_VALUE"""),"People who have changed the world for better")</f>
        <v>People who have changed the world for better</v>
      </c>
      <c r="F825" s="1" t="str">
        <f ca="1">IFERROR(__xludf.DUMMYFUNCTION("""COMPUTED_VALUE"""),"No I would not be pursuing Higher Education outside of India")</f>
        <v>No I would not be pursuing Higher Education outside of India</v>
      </c>
      <c r="G825" s="1" t="str">
        <f ca="1">IFERROR(__xludf.DUMMYFUNCTION("""COMPUTED_VALUE"""),"This will be hard to do, but if it is the right company I would try")</f>
        <v>This will be hard to do, but if it is the right company I would try</v>
      </c>
      <c r="H825" s="1" t="str">
        <f ca="1">IFERROR(__xludf.DUMMYFUNCTION("""COMPUTED_VALUE"""),"Yes")</f>
        <v>Yes</v>
      </c>
      <c r="I825" s="1" t="str">
        <f ca="1">IFERROR(__xludf.DUMMYFUNCTION("""COMPUTED_VALUE"""),"Will work for them")</f>
        <v>Will work for them</v>
      </c>
      <c r="J825" s="1">
        <f ca="1">IFERROR(__xludf.DUMMYFUNCTION("""COMPUTED_VALUE"""),10)</f>
        <v>10</v>
      </c>
      <c r="K825" s="1" t="str">
        <f ca="1">IFERROR(__xludf.DUMMYFUNCTION("""COMPUTED_VALUE"""),"Hybrid Working Environment with more than 15 days a month at office")</f>
        <v>Hybrid Working Environment with more than 15 days a month at office</v>
      </c>
      <c r="L825" s="1" t="str">
        <f ca="1">IFERROR(__xludf.DUMMYFUNCTION("""COMPUTED_VALUE"""),"Employer who pushes your limits by enabling an learning environment, and rewards you at the end")</f>
        <v>Employer who pushes your limits by enabling an learning environment, and rewards you at the end</v>
      </c>
      <c r="M82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5"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25" s="1" t="str">
        <f ca="1">IFERROR(__xludf.DUMMYFUNCTION("""COMPUTED_VALUE"""),"Manager who explains what is expected, sets a goal and helps achieve it")</f>
        <v>Manager who explains what is expected, sets a goal and helps achieve it</v>
      </c>
      <c r="P825" s="1" t="str">
        <f ca="1">IFERROR(__xludf.DUMMYFUNCTION("""COMPUTED_VALUE"""),"Work with 5 to 6 people in my team")</f>
        <v>Work with 5 to 6 people in my team</v>
      </c>
      <c r="Q825" s="1"/>
    </row>
    <row r="826" spans="1:17" ht="13.2" x14ac:dyDescent="0.25">
      <c r="A826" s="2">
        <f ca="1">IFERROR(__xludf.DUMMYFUNCTION("""COMPUTED_VALUE"""),45022.8985792476)</f>
        <v>45022.898579247601</v>
      </c>
      <c r="B826" s="1" t="str">
        <f ca="1">IFERROR(__xludf.DUMMYFUNCTION("""COMPUTED_VALUE"""),"India")</f>
        <v>India</v>
      </c>
      <c r="C826" s="1">
        <f ca="1">IFERROR(__xludf.DUMMYFUNCTION("""COMPUTED_VALUE"""),400603)</f>
        <v>400603</v>
      </c>
      <c r="D826" s="3" t="str">
        <f ca="1">IFERROR(__xludf.DUMMYFUNCTION("""COMPUTED_VALUE"""),"Female")</f>
        <v>Female</v>
      </c>
      <c r="E826" s="1" t="str">
        <f ca="1">IFERROR(__xludf.DUMMYFUNCTION("""COMPUTED_VALUE"""),"People from my circle, but not family members")</f>
        <v>People from my circle, but not family members</v>
      </c>
      <c r="F826" s="1" t="str">
        <f ca="1">IFERROR(__xludf.DUMMYFUNCTION("""COMPUTED_VALUE"""),"Yes, I will earn and do that")</f>
        <v>Yes, I will earn and do that</v>
      </c>
      <c r="G826" s="1" t="str">
        <f ca="1">IFERROR(__xludf.DUMMYFUNCTION("""COMPUTED_VALUE"""),"This will be hard to do, but if it is the right company I would try")</f>
        <v>This will be hard to do, but if it is the right company I would try</v>
      </c>
      <c r="H826" s="1" t="str">
        <f ca="1">IFERROR(__xludf.DUMMYFUNCTION("""COMPUTED_VALUE"""),"Yes")</f>
        <v>Yes</v>
      </c>
      <c r="I826" s="1" t="str">
        <f ca="1">IFERROR(__xludf.DUMMYFUNCTION("""COMPUTED_VALUE"""),"Will work for them")</f>
        <v>Will work for them</v>
      </c>
      <c r="J826" s="1">
        <f ca="1">IFERROR(__xludf.DUMMYFUNCTION("""COMPUTED_VALUE"""),5)</f>
        <v>5</v>
      </c>
      <c r="K826" s="1" t="str">
        <f ca="1">IFERROR(__xludf.DUMMYFUNCTION("""COMPUTED_VALUE"""),"Hybrid Working Environment with less than 3 days a month at office")</f>
        <v>Hybrid Working Environment with less than 3 days a month at office</v>
      </c>
      <c r="L826" s="1" t="str">
        <f ca="1">IFERROR(__xludf.DUMMYFUNCTION("""COMPUTED_VALUE"""),"Employer who pushes your limits by enabling an learning environment, and rewards you at the end")</f>
        <v>Employer who pushes your limits by enabling an learning environment, and rewards you at the end</v>
      </c>
      <c r="M826" s="1" t="str">
        <f ca="1">IFERROR(__xludf.DUMMYFUNCTION("""COMPUTED_VALUE"""),"Instructor or Expert Learning Programs, Learning by observing others, Manager Teaching you")</f>
        <v>Instructor or Expert Learning Programs, Learning by observing others, Manager Teaching you</v>
      </c>
      <c r="N826"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826" s="1" t="str">
        <f ca="1">IFERROR(__xludf.DUMMYFUNCTION("""COMPUTED_VALUE"""),"Manager who explains what is expected, sets a goal and helps achieve it")</f>
        <v>Manager who explains what is expected, sets a goal and helps achieve it</v>
      </c>
      <c r="P826" s="1" t="str">
        <f ca="1">IFERROR(__xludf.DUMMYFUNCTION("""COMPUTED_VALUE"""),"Work with 2 to 3 people in my team")</f>
        <v>Work with 2 to 3 people in my team</v>
      </c>
      <c r="Q826" s="1"/>
    </row>
    <row r="827" spans="1:17" ht="13.2" x14ac:dyDescent="0.25">
      <c r="A827" s="2">
        <f ca="1">IFERROR(__xludf.DUMMYFUNCTION("""COMPUTED_VALUE"""),45022.9450558333)</f>
        <v>45022.945055833297</v>
      </c>
      <c r="B827" s="1" t="str">
        <f ca="1">IFERROR(__xludf.DUMMYFUNCTION("""COMPUTED_VALUE"""),"India")</f>
        <v>India</v>
      </c>
      <c r="C827" s="1">
        <f ca="1">IFERROR(__xludf.DUMMYFUNCTION("""COMPUTED_VALUE"""),670002)</f>
        <v>670002</v>
      </c>
      <c r="D827" s="3" t="str">
        <f ca="1">IFERROR(__xludf.DUMMYFUNCTION("""COMPUTED_VALUE"""),"Male")</f>
        <v>Male</v>
      </c>
      <c r="E827" s="1" t="str">
        <f ca="1">IFERROR(__xludf.DUMMYFUNCTION("""COMPUTED_VALUE"""),"Social Media like LinkedIn")</f>
        <v>Social Media like LinkedIn</v>
      </c>
      <c r="F827" s="1" t="str">
        <f ca="1">IFERROR(__xludf.DUMMYFUNCTION("""COMPUTED_VALUE"""),"Yes, I will earn and do that")</f>
        <v>Yes, I will earn and do that</v>
      </c>
      <c r="G827" s="1" t="str">
        <f ca="1">IFERROR(__xludf.DUMMYFUNCTION("""COMPUTED_VALUE"""),"Will work for 3 years or more")</f>
        <v>Will work for 3 years or more</v>
      </c>
      <c r="H827" s="1" t="str">
        <f ca="1">IFERROR(__xludf.DUMMYFUNCTION("""COMPUTED_VALUE"""),"No")</f>
        <v>No</v>
      </c>
      <c r="I827" s="1" t="str">
        <f ca="1">IFERROR(__xludf.DUMMYFUNCTION("""COMPUTED_VALUE"""),"Will NOT work for them")</f>
        <v>Will NOT work for them</v>
      </c>
      <c r="J827" s="1">
        <f ca="1">IFERROR(__xludf.DUMMYFUNCTION("""COMPUTED_VALUE"""),1)</f>
        <v>1</v>
      </c>
      <c r="K827" s="1" t="str">
        <f ca="1">IFERROR(__xludf.DUMMYFUNCTION("""COMPUTED_VALUE"""),"Hybrid Working Environment with less than 3 days a month at office")</f>
        <v>Hybrid Working Environment with less than 3 days a month at office</v>
      </c>
      <c r="L827" s="1" t="str">
        <f ca="1">IFERROR(__xludf.DUMMYFUNCTION("""COMPUTED_VALUE"""),"Employer who rewards learning and enables that environment")</f>
        <v>Employer who rewards learning and enables that environment</v>
      </c>
      <c r="M827" s="1" t="str">
        <f ca="1">IFERROR(__xludf.DUMMYFUNCTION("""COMPUTED_VALUE"""),"Self Paced Learning Portals of the Company, Instructor or Expert Learning Programs, Manager Teaching you")</f>
        <v>Self Paced Learning Portals of the Company, Instructor or Expert Learning Programs, Manager Teaching you</v>
      </c>
      <c r="N827"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827" s="1" t="str">
        <f ca="1">IFERROR(__xludf.DUMMYFUNCTION("""COMPUTED_VALUE"""),"Manager who sets targets and expects me to achieve it")</f>
        <v>Manager who sets targets and expects me to achieve it</v>
      </c>
      <c r="P827" s="1" t="str">
        <f ca="1">IFERROR(__xludf.DUMMYFUNCTION("""COMPUTED_VALUE"""),"Work with 7 to 10 or more people in my team")</f>
        <v>Work with 7 to 10 or more people in my team</v>
      </c>
      <c r="Q827" s="1"/>
    </row>
    <row r="828" spans="1:17" ht="13.2" x14ac:dyDescent="0.25">
      <c r="A828" s="2">
        <f ca="1">IFERROR(__xludf.DUMMYFUNCTION("""COMPUTED_VALUE"""),45022.9527128009)</f>
        <v>45022.952712800899</v>
      </c>
      <c r="B828" s="1" t="str">
        <f ca="1">IFERROR(__xludf.DUMMYFUNCTION("""COMPUTED_VALUE"""),"India")</f>
        <v>India</v>
      </c>
      <c r="C828" s="1">
        <f ca="1">IFERROR(__xludf.DUMMYFUNCTION("""COMPUTED_VALUE"""),751012)</f>
        <v>751012</v>
      </c>
      <c r="D828" s="3" t="str">
        <f ca="1">IFERROR(__xludf.DUMMYFUNCTION("""COMPUTED_VALUE"""),"Male")</f>
        <v>Male</v>
      </c>
      <c r="E828" s="1" t="str">
        <f ca="1">IFERROR(__xludf.DUMMYFUNCTION("""COMPUTED_VALUE"""),"People who have changed the world for better")</f>
        <v>People who have changed the world for better</v>
      </c>
      <c r="F828" s="1" t="str">
        <f ca="1">IFERROR(__xludf.DUMMYFUNCTION("""COMPUTED_VALUE"""),"Yes, I will earn and do that")</f>
        <v>Yes, I will earn and do that</v>
      </c>
      <c r="G828" s="1" t="str">
        <f ca="1">IFERROR(__xludf.DUMMYFUNCTION("""COMPUTED_VALUE"""),"Will work for 3 years or more")</f>
        <v>Will work for 3 years or more</v>
      </c>
      <c r="H828" s="1" t="str">
        <f ca="1">IFERROR(__xludf.DUMMYFUNCTION("""COMPUTED_VALUE"""),"No")</f>
        <v>No</v>
      </c>
      <c r="I828" s="1" t="str">
        <f ca="1">IFERROR(__xludf.DUMMYFUNCTION("""COMPUTED_VALUE"""),"Will NOT work for them")</f>
        <v>Will NOT work for them</v>
      </c>
      <c r="J828" s="1">
        <f ca="1">IFERROR(__xludf.DUMMYFUNCTION("""COMPUTED_VALUE"""),8)</f>
        <v>8</v>
      </c>
      <c r="K828" s="1" t="str">
        <f ca="1">IFERROR(__xludf.DUMMYFUNCTION("""COMPUTED_VALUE"""),"Hybrid Working Environment with more than 15 days a month at office")</f>
        <v>Hybrid Working Environment with more than 15 days a month at office</v>
      </c>
      <c r="L828" s="1" t="str">
        <f ca="1">IFERROR(__xludf.DUMMYFUNCTION("""COMPUTED_VALUE"""),"Employer who appreciates learning and enables that environment")</f>
        <v>Employer who appreciates learning and enables that environment</v>
      </c>
      <c r="M82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28"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828" s="1" t="str">
        <f ca="1">IFERROR(__xludf.DUMMYFUNCTION("""COMPUTED_VALUE"""),"Manager who explains what is expected, sets a goal and helps achieve it")</f>
        <v>Manager who explains what is expected, sets a goal and helps achieve it</v>
      </c>
      <c r="P828" s="1" t="str">
        <f ca="1">IFERROR(__xludf.DUMMYFUNCTION("""COMPUTED_VALUE"""),"Work with 2 to 3 people in my team, Work with 5 to 6 people in my team")</f>
        <v>Work with 2 to 3 people in my team, Work with 5 to 6 people in my team</v>
      </c>
      <c r="Q828" s="1"/>
    </row>
    <row r="829" spans="1:17" ht="13.2" x14ac:dyDescent="0.25">
      <c r="A829" s="2">
        <f ca="1">IFERROR(__xludf.DUMMYFUNCTION("""COMPUTED_VALUE"""),45022.9842512962)</f>
        <v>45022.984251296199</v>
      </c>
      <c r="B829" s="1" t="str">
        <f ca="1">IFERROR(__xludf.DUMMYFUNCTION("""COMPUTED_VALUE"""),"India")</f>
        <v>India</v>
      </c>
      <c r="C829" s="1">
        <f ca="1">IFERROR(__xludf.DUMMYFUNCTION("""COMPUTED_VALUE"""),400022)</f>
        <v>400022</v>
      </c>
      <c r="D829" s="3" t="str">
        <f ca="1">IFERROR(__xludf.DUMMYFUNCTION("""COMPUTED_VALUE"""),"Female")</f>
        <v>Female</v>
      </c>
      <c r="E829" s="1" t="str">
        <f ca="1">IFERROR(__xludf.DUMMYFUNCTION("""COMPUTED_VALUE"""),"My Parents")</f>
        <v>My Parents</v>
      </c>
      <c r="F829" s="1" t="str">
        <f ca="1">IFERROR(__xludf.DUMMYFUNCTION("""COMPUTED_VALUE"""),"Yes, I will earn and do that")</f>
        <v>Yes, I will earn and do that</v>
      </c>
      <c r="G829" s="1" t="str">
        <f ca="1">IFERROR(__xludf.DUMMYFUNCTION("""COMPUTED_VALUE"""),"No way")</f>
        <v>No way</v>
      </c>
      <c r="H829" s="1" t="str">
        <f ca="1">IFERROR(__xludf.DUMMYFUNCTION("""COMPUTED_VALUE"""),"No")</f>
        <v>No</v>
      </c>
      <c r="I829" s="1" t="str">
        <f ca="1">IFERROR(__xludf.DUMMYFUNCTION("""COMPUTED_VALUE"""),"Will NOT work for them")</f>
        <v>Will NOT work for them</v>
      </c>
      <c r="J829" s="1">
        <f ca="1">IFERROR(__xludf.DUMMYFUNCTION("""COMPUTED_VALUE"""),5)</f>
        <v>5</v>
      </c>
      <c r="K829" s="1" t="str">
        <f ca="1">IFERROR(__xludf.DUMMYFUNCTION("""COMPUTED_VALUE"""),"Fully Remote with Options to travel as and when needed")</f>
        <v>Fully Remote with Options to travel as and when needed</v>
      </c>
      <c r="L829" s="1" t="str">
        <f ca="1">IFERROR(__xludf.DUMMYFUNCTION("""COMPUTED_VALUE"""),"Employer who appreciates learning and enables that environment")</f>
        <v>Employer who appreciates learning and enables that environment</v>
      </c>
      <c r="M82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9" s="1" t="str">
        <f ca="1">IFERROR(__xludf.DUMMYFUNCTION("""COMPUTED_VALUE"""),"Teaching in any of the institutes/colleges/online or offline, Business Operations in any organization, Manage and drive End-to-End Projects or Products, Work as a freelancer and do my thing my way")</f>
        <v>Teaching in any of the institutes/colleges/online or offline, Business Operations in any organization, Manage and drive End-to-End Projects or Products, Work as a freelancer and do my thing my way</v>
      </c>
      <c r="O829" s="1" t="str">
        <f ca="1">IFERROR(__xludf.DUMMYFUNCTION("""COMPUTED_VALUE"""),"Manager who explains what is expected, sets a goal and helps achieve it")</f>
        <v>Manager who explains what is expected, sets a goal and helps achieve it</v>
      </c>
      <c r="P829" s="1" t="str">
        <f ca="1">IFERROR(__xludf.DUMMYFUNCTION("""COMPUTED_VALUE"""),"Work with 5 to 6 people in my team")</f>
        <v>Work with 5 to 6 people in my team</v>
      </c>
      <c r="Q829" s="1"/>
    </row>
    <row r="830" spans="1:17" ht="13.2" x14ac:dyDescent="0.25">
      <c r="A830" s="2">
        <f ca="1">IFERROR(__xludf.DUMMYFUNCTION("""COMPUTED_VALUE"""),45023.0013674421)</f>
        <v>45023.001367442099</v>
      </c>
      <c r="B830" s="1" t="str">
        <f ca="1">IFERROR(__xludf.DUMMYFUNCTION("""COMPUTED_VALUE"""),"India")</f>
        <v>India</v>
      </c>
      <c r="C830" s="1">
        <f ca="1">IFERROR(__xludf.DUMMYFUNCTION("""COMPUTED_VALUE"""),688529)</f>
        <v>688529</v>
      </c>
      <c r="D830" s="3" t="str">
        <f ca="1">IFERROR(__xludf.DUMMYFUNCTION("""COMPUTED_VALUE"""),"Female")</f>
        <v>Female</v>
      </c>
      <c r="E830" s="1" t="str">
        <f ca="1">IFERROR(__xludf.DUMMYFUNCTION("""COMPUTED_VALUE"""),"My Parents")</f>
        <v>My Parents</v>
      </c>
      <c r="F830" s="1" t="str">
        <f ca="1">IFERROR(__xludf.DUMMYFUNCTION("""COMPUTED_VALUE"""),"Yes, I will earn and do that")</f>
        <v>Yes, I will earn and do that</v>
      </c>
      <c r="G830" s="1" t="str">
        <f ca="1">IFERROR(__xludf.DUMMYFUNCTION("""COMPUTED_VALUE"""),"This will be hard to do, but if it is the right company I would try")</f>
        <v>This will be hard to do, but if it is the right company I would try</v>
      </c>
      <c r="H830" s="1" t="str">
        <f ca="1">IFERROR(__xludf.DUMMYFUNCTION("""COMPUTED_VALUE"""),"No")</f>
        <v>No</v>
      </c>
      <c r="I830" s="1" t="str">
        <f ca="1">IFERROR(__xludf.DUMMYFUNCTION("""COMPUTED_VALUE"""),"Will NOT work for them")</f>
        <v>Will NOT work for them</v>
      </c>
      <c r="J830" s="1">
        <f ca="1">IFERROR(__xludf.DUMMYFUNCTION("""COMPUTED_VALUE"""),8)</f>
        <v>8</v>
      </c>
      <c r="K830" s="1" t="str">
        <f ca="1">IFERROR(__xludf.DUMMYFUNCTION("""COMPUTED_VALUE"""),"Every Day Office Environment")</f>
        <v>Every Day Office Environment</v>
      </c>
      <c r="L830" s="1" t="str">
        <f ca="1">IFERROR(__xludf.DUMMYFUNCTION("""COMPUTED_VALUE"""),"Employer who pushes your limits by enabling an learning environment, and rewards you at the end")</f>
        <v>Employer who pushes your limits by enabling an learning environment, and rewards you at the end</v>
      </c>
      <c r="M83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830"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830" s="1" t="str">
        <f ca="1">IFERROR(__xludf.DUMMYFUNCTION("""COMPUTED_VALUE"""),"Manager who clearly describes what she/he needs")</f>
        <v>Manager who clearly describes what she/he needs</v>
      </c>
      <c r="P830" s="1" t="str">
        <f ca="1">IFERROR(__xludf.DUMMYFUNCTION("""COMPUTED_VALUE"""),"Work with 5 to 6 people in my team")</f>
        <v>Work with 5 to 6 people in my team</v>
      </c>
      <c r="Q830" s="1"/>
    </row>
    <row r="831" spans="1:17" ht="13.2" x14ac:dyDescent="0.25">
      <c r="A831" s="2">
        <f ca="1">IFERROR(__xludf.DUMMYFUNCTION("""COMPUTED_VALUE"""),45023.0227275578)</f>
        <v>45023.0227275578</v>
      </c>
      <c r="B831" s="1" t="str">
        <f ca="1">IFERROR(__xludf.DUMMYFUNCTION("""COMPUTED_VALUE"""),"India")</f>
        <v>India</v>
      </c>
      <c r="C831" s="1">
        <f ca="1">IFERROR(__xludf.DUMMYFUNCTION("""COMPUTED_VALUE"""),190020)</f>
        <v>190020</v>
      </c>
      <c r="D831" s="3" t="str">
        <f ca="1">IFERROR(__xludf.DUMMYFUNCTION("""COMPUTED_VALUE"""),"Female")</f>
        <v>Female</v>
      </c>
      <c r="E831" s="1" t="str">
        <f ca="1">IFERROR(__xludf.DUMMYFUNCTION("""COMPUTED_VALUE"""),"Social Media like LinkedIn")</f>
        <v>Social Media like LinkedIn</v>
      </c>
      <c r="F831" s="1" t="str">
        <f ca="1">IFERROR(__xludf.DUMMYFUNCTION("""COMPUTED_VALUE"""),"No I would not be pursuing Higher Education outside of India")</f>
        <v>No I would not be pursuing Higher Education outside of India</v>
      </c>
      <c r="G831" s="1" t="str">
        <f ca="1">IFERROR(__xludf.DUMMYFUNCTION("""COMPUTED_VALUE"""),"No way")</f>
        <v>No way</v>
      </c>
      <c r="H831" s="1" t="str">
        <f ca="1">IFERROR(__xludf.DUMMYFUNCTION("""COMPUTED_VALUE"""),"No")</f>
        <v>No</v>
      </c>
      <c r="I831" s="1" t="str">
        <f ca="1">IFERROR(__xludf.DUMMYFUNCTION("""COMPUTED_VALUE"""),"Will NOT work for them")</f>
        <v>Will NOT work for them</v>
      </c>
      <c r="J831" s="1">
        <f ca="1">IFERROR(__xludf.DUMMYFUNCTION("""COMPUTED_VALUE"""),10)</f>
        <v>10</v>
      </c>
      <c r="K831" s="1" t="str">
        <f ca="1">IFERROR(__xludf.DUMMYFUNCTION("""COMPUTED_VALUE"""),"Fully Remote with No option to visit offices")</f>
        <v>Fully Remote with No option to visit offices</v>
      </c>
      <c r="L831" s="1" t="str">
        <f ca="1">IFERROR(__xludf.DUMMYFUNCTION("""COMPUTED_VALUE"""),"Employer who rewards learning and enables that environment")</f>
        <v>Employer who rewards learning and enables that environment</v>
      </c>
      <c r="M831"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83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831" s="1" t="str">
        <f ca="1">IFERROR(__xludf.DUMMYFUNCTION("""COMPUTED_VALUE"""),"Manager who explains what is expected, sets a goal and helps achieve it")</f>
        <v>Manager who explains what is expected, sets a goal and helps achieve it</v>
      </c>
      <c r="P831" s="1" t="str">
        <f ca="1">IFERROR(__xludf.DUMMYFUNCTION("""COMPUTED_VALUE"""),"Work with 7 to 10 or more people in my team")</f>
        <v>Work with 7 to 10 or more people in my team</v>
      </c>
      <c r="Q831" s="1"/>
    </row>
    <row r="832" spans="1:17" ht="13.2" x14ac:dyDescent="0.25">
      <c r="A832" s="2">
        <f ca="1">IFERROR(__xludf.DUMMYFUNCTION("""COMPUTED_VALUE"""),45023.0585349768)</f>
        <v>45023.058534976801</v>
      </c>
      <c r="B832" s="1" t="str">
        <f ca="1">IFERROR(__xludf.DUMMYFUNCTION("""COMPUTED_VALUE"""),"India")</f>
        <v>India</v>
      </c>
      <c r="C832" s="1">
        <f ca="1">IFERROR(__xludf.DUMMYFUNCTION("""COMPUTED_VALUE"""),500074)</f>
        <v>500074</v>
      </c>
      <c r="D832" s="3" t="str">
        <f ca="1">IFERROR(__xludf.DUMMYFUNCTION("""COMPUTED_VALUE"""),"Male")</f>
        <v>Male</v>
      </c>
      <c r="E832" s="1" t="str">
        <f ca="1">IFERROR(__xludf.DUMMYFUNCTION("""COMPUTED_VALUE"""),"People who have changed the world for better")</f>
        <v>People who have changed the world for better</v>
      </c>
      <c r="F832" s="1" t="str">
        <f ca="1">IFERROR(__xludf.DUMMYFUNCTION("""COMPUTED_VALUE"""),"Yes, I will earn and do that")</f>
        <v>Yes, I will earn and do that</v>
      </c>
      <c r="G832" s="1" t="str">
        <f ca="1">IFERROR(__xludf.DUMMYFUNCTION("""COMPUTED_VALUE"""),"This will be hard to do, but if it is the right company I would try")</f>
        <v>This will be hard to do, but if it is the right company I would try</v>
      </c>
      <c r="H832" s="1" t="str">
        <f ca="1">IFERROR(__xludf.DUMMYFUNCTION("""COMPUTED_VALUE"""),"No")</f>
        <v>No</v>
      </c>
      <c r="I832" s="1" t="str">
        <f ca="1">IFERROR(__xludf.DUMMYFUNCTION("""COMPUTED_VALUE"""),"Will NOT work for them")</f>
        <v>Will NOT work for them</v>
      </c>
      <c r="J832" s="1">
        <f ca="1">IFERROR(__xludf.DUMMYFUNCTION("""COMPUTED_VALUE"""),7)</f>
        <v>7</v>
      </c>
      <c r="K832" s="1" t="str">
        <f ca="1">IFERROR(__xludf.DUMMYFUNCTION("""COMPUTED_VALUE"""),"Fully Remote with No option to visit offices")</f>
        <v>Fully Remote with No option to visit offices</v>
      </c>
      <c r="L832" s="1" t="str">
        <f ca="1">IFERROR(__xludf.DUMMYFUNCTION("""COMPUTED_VALUE"""),"Employer who pushes your limits by enabling an learning environment, and rewards you at the end")</f>
        <v>Employer who pushes your limits by enabling an learning environment, and rewards you at the end</v>
      </c>
      <c r="M83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832"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832" s="1" t="str">
        <f ca="1">IFERROR(__xludf.DUMMYFUNCTION("""COMPUTED_VALUE"""),"Manager who sets goal and helps me achieve it")</f>
        <v>Manager who sets goal and helps me achieve it</v>
      </c>
      <c r="P832" s="1" t="str">
        <f ca="1">IFERROR(__xludf.DUMMYFUNCTION("""COMPUTED_VALUE"""),"Work with 2 to 3 people in my team")</f>
        <v>Work with 2 to 3 people in my team</v>
      </c>
      <c r="Q832" s="1"/>
    </row>
    <row r="833" spans="1:17" ht="13.2" x14ac:dyDescent="0.25">
      <c r="A833" s="2">
        <f ca="1">IFERROR(__xludf.DUMMYFUNCTION("""COMPUTED_VALUE"""),45023.2530901388)</f>
        <v>45023.253090138802</v>
      </c>
      <c r="B833" s="1" t="str">
        <f ca="1">IFERROR(__xludf.DUMMYFUNCTION("""COMPUTED_VALUE"""),"India")</f>
        <v>India</v>
      </c>
      <c r="C833" s="1">
        <f ca="1">IFERROR(__xludf.DUMMYFUNCTION("""COMPUTED_VALUE"""),110078)</f>
        <v>110078</v>
      </c>
      <c r="D833" s="3" t="str">
        <f ca="1">IFERROR(__xludf.DUMMYFUNCTION("""COMPUTED_VALUE"""),"Male")</f>
        <v>Male</v>
      </c>
      <c r="E833" s="1" t="str">
        <f ca="1">IFERROR(__xludf.DUMMYFUNCTION("""COMPUTED_VALUE"""),"My Parents")</f>
        <v>My Parents</v>
      </c>
      <c r="F833" s="1" t="str">
        <f ca="1">IFERROR(__xludf.DUMMYFUNCTION("""COMPUTED_VALUE"""),"Yes, I will earn and do that")</f>
        <v>Yes, I will earn and do that</v>
      </c>
      <c r="G833" s="1" t="str">
        <f ca="1">IFERROR(__xludf.DUMMYFUNCTION("""COMPUTED_VALUE"""),"Will work for 3 years or more")</f>
        <v>Will work for 3 years or more</v>
      </c>
      <c r="H833" s="1" t="str">
        <f ca="1">IFERROR(__xludf.DUMMYFUNCTION("""COMPUTED_VALUE"""),"No")</f>
        <v>No</v>
      </c>
      <c r="I833" s="1" t="str">
        <f ca="1">IFERROR(__xludf.DUMMYFUNCTION("""COMPUTED_VALUE"""),"Will NOT work for them")</f>
        <v>Will NOT work for them</v>
      </c>
      <c r="J833" s="1">
        <f ca="1">IFERROR(__xludf.DUMMYFUNCTION("""COMPUTED_VALUE"""),8)</f>
        <v>8</v>
      </c>
      <c r="K833" s="1" t="str">
        <f ca="1">IFERROR(__xludf.DUMMYFUNCTION("""COMPUTED_VALUE"""),"Every Day Office Environment")</f>
        <v>Every Day Office Environment</v>
      </c>
      <c r="L833" s="1" t="str">
        <f ca="1">IFERROR(__xludf.DUMMYFUNCTION("""COMPUTED_VALUE"""),"Employer who appreciates learning and enables that environment")</f>
        <v>Employer who appreciates learning and enables that environment</v>
      </c>
      <c r="M8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3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33" s="1" t="str">
        <f ca="1">IFERROR(__xludf.DUMMYFUNCTION("""COMPUTED_VALUE"""),"Manager who clearly describes what she/he needs")</f>
        <v>Manager who clearly describes what she/he needs</v>
      </c>
      <c r="P833" s="1" t="str">
        <f ca="1">IFERROR(__xludf.DUMMYFUNCTION("""COMPUTED_VALUE"""),"Work with 5 to 6 people in my team")</f>
        <v>Work with 5 to 6 people in my team</v>
      </c>
      <c r="Q833" s="1"/>
    </row>
    <row r="834" spans="1:17" ht="13.2" x14ac:dyDescent="0.25">
      <c r="A834" s="2">
        <f ca="1">IFERROR(__xludf.DUMMYFUNCTION("""COMPUTED_VALUE"""),45023.2829494212)</f>
        <v>45023.282949421198</v>
      </c>
      <c r="B834" s="1" t="str">
        <f ca="1">IFERROR(__xludf.DUMMYFUNCTION("""COMPUTED_VALUE"""),"India")</f>
        <v>India</v>
      </c>
      <c r="C834" s="1">
        <f ca="1">IFERROR(__xludf.DUMMYFUNCTION("""COMPUTED_VALUE"""),247667)</f>
        <v>247667</v>
      </c>
      <c r="D834" s="3" t="str">
        <f ca="1">IFERROR(__xludf.DUMMYFUNCTION("""COMPUTED_VALUE"""),"Female")</f>
        <v>Female</v>
      </c>
      <c r="E834" s="1" t="str">
        <f ca="1">IFERROR(__xludf.DUMMYFUNCTION("""COMPUTED_VALUE"""),"People from my circle, but not family members")</f>
        <v>People from my circle, but not family members</v>
      </c>
      <c r="F834" s="1" t="str">
        <f ca="1">IFERROR(__xludf.DUMMYFUNCTION("""COMPUTED_VALUE"""),"Yes, I will earn and do that")</f>
        <v>Yes, I will earn and do that</v>
      </c>
      <c r="G834" s="1" t="str">
        <f ca="1">IFERROR(__xludf.DUMMYFUNCTION("""COMPUTED_VALUE"""),"Will work for 3 years or more")</f>
        <v>Will work for 3 years or more</v>
      </c>
      <c r="H834" s="1" t="str">
        <f ca="1">IFERROR(__xludf.DUMMYFUNCTION("""COMPUTED_VALUE"""),"No")</f>
        <v>No</v>
      </c>
      <c r="I834" s="1" t="str">
        <f ca="1">IFERROR(__xludf.DUMMYFUNCTION("""COMPUTED_VALUE"""),"Will NOT work for them")</f>
        <v>Will NOT work for them</v>
      </c>
      <c r="J834" s="1">
        <f ca="1">IFERROR(__xludf.DUMMYFUNCTION("""COMPUTED_VALUE"""),7)</f>
        <v>7</v>
      </c>
      <c r="K834" s="1" t="str">
        <f ca="1">IFERROR(__xludf.DUMMYFUNCTION("""COMPUTED_VALUE"""),"Fully Remote with Options to travel as and when needed")</f>
        <v>Fully Remote with Options to travel as and when needed</v>
      </c>
      <c r="L834" s="1" t="str">
        <f ca="1">IFERROR(__xludf.DUMMYFUNCTION("""COMPUTED_VALUE"""),"Employer who pushes your limits by enabling an learning environment, and rewards you at the end")</f>
        <v>Employer who pushes your limits by enabling an learning environment, and rewards you at the end</v>
      </c>
      <c r="M8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34" s="1" t="str">
        <f ca="1">IFERROR(__xludf.DUMMYFUNCTION("""COMPUTED_VALUE"""),"Manager who explains what is expected, sets a goal and helps achieve it")</f>
        <v>Manager who explains what is expected, sets a goal and helps achieve it</v>
      </c>
      <c r="P834" s="1" t="str">
        <f ca="1">IFERROR(__xludf.DUMMYFUNCTION("""COMPUTED_VALUE"""),"Work with 2 to 3 people in my team, Work with 5 to 6 people in my team")</f>
        <v>Work with 2 to 3 people in my team, Work with 5 to 6 people in my team</v>
      </c>
      <c r="Q834" s="1"/>
    </row>
    <row r="835" spans="1:17" ht="13.2" x14ac:dyDescent="0.25">
      <c r="A835" s="2">
        <f ca="1">IFERROR(__xludf.DUMMYFUNCTION("""COMPUTED_VALUE"""),45023.3115559259)</f>
        <v>45023.311555925902</v>
      </c>
      <c r="B835" s="1" t="str">
        <f ca="1">IFERROR(__xludf.DUMMYFUNCTION("""COMPUTED_VALUE"""),"India")</f>
        <v>India</v>
      </c>
      <c r="C835" s="1">
        <f ca="1">IFERROR(__xludf.DUMMYFUNCTION("""COMPUTED_VALUE"""),625010)</f>
        <v>625010</v>
      </c>
      <c r="D835" s="3" t="str">
        <f ca="1">IFERROR(__xludf.DUMMYFUNCTION("""COMPUTED_VALUE"""),"Female")</f>
        <v>Female</v>
      </c>
      <c r="E835" s="1" t="str">
        <f ca="1">IFERROR(__xludf.DUMMYFUNCTION("""COMPUTED_VALUE"""),"Influencers who had successful careers")</f>
        <v>Influencers who had successful careers</v>
      </c>
      <c r="F835" s="1" t="str">
        <f ca="1">IFERROR(__xludf.DUMMYFUNCTION("""COMPUTED_VALUE"""),"No, But if someone could bare the cost I will")</f>
        <v>No, But if someone could bare the cost I will</v>
      </c>
      <c r="G835" s="1" t="str">
        <f ca="1">IFERROR(__xludf.DUMMYFUNCTION("""COMPUTED_VALUE"""),"Will work for 3 years or more")</f>
        <v>Will work for 3 years or more</v>
      </c>
      <c r="H835" s="1" t="str">
        <f ca="1">IFERROR(__xludf.DUMMYFUNCTION("""COMPUTED_VALUE"""),"No")</f>
        <v>No</v>
      </c>
      <c r="I835" s="1" t="str">
        <f ca="1">IFERROR(__xludf.DUMMYFUNCTION("""COMPUTED_VALUE"""),"Will NOT work for them")</f>
        <v>Will NOT work for them</v>
      </c>
      <c r="J835" s="1">
        <f ca="1">IFERROR(__xludf.DUMMYFUNCTION("""COMPUTED_VALUE"""),5)</f>
        <v>5</v>
      </c>
      <c r="K835" s="1" t="str">
        <f ca="1">IFERROR(__xludf.DUMMYFUNCTION("""COMPUTED_VALUE"""),"Hybrid Working Environment with less than 3 days a month at office")</f>
        <v>Hybrid Working Environment with less than 3 days a month at office</v>
      </c>
      <c r="L835" s="1" t="str">
        <f ca="1">IFERROR(__xludf.DUMMYFUNCTION("""COMPUTED_VALUE"""),"Employer who rewards learning and enables that environment")</f>
        <v>Employer who rewards learning and enables that environment</v>
      </c>
      <c r="M83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5"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35" s="1" t="str">
        <f ca="1">IFERROR(__xludf.DUMMYFUNCTION("""COMPUTED_VALUE"""),"Manager who explains what is expected, sets a goal and helps achieve it")</f>
        <v>Manager who explains what is expected, sets a goal and helps achieve it</v>
      </c>
      <c r="P835" s="1" t="str">
        <f ca="1">IFERROR(__xludf.DUMMYFUNCTION("""COMPUTED_VALUE"""),"Work with 7 to 10 or more people in my team")</f>
        <v>Work with 7 to 10 or more people in my team</v>
      </c>
      <c r="Q835" s="1"/>
    </row>
    <row r="836" spans="1:17" ht="13.2" x14ac:dyDescent="0.25">
      <c r="A836" s="2">
        <f ca="1">IFERROR(__xludf.DUMMYFUNCTION("""COMPUTED_VALUE"""),45023.3708238078)</f>
        <v>45023.370823807803</v>
      </c>
      <c r="B836" s="1" t="str">
        <f ca="1">IFERROR(__xludf.DUMMYFUNCTION("""COMPUTED_VALUE"""),"India")</f>
        <v>India</v>
      </c>
      <c r="C836" s="1">
        <f ca="1">IFERROR(__xludf.DUMMYFUNCTION("""COMPUTED_VALUE"""),400607)</f>
        <v>400607</v>
      </c>
      <c r="D836" s="3" t="str">
        <f ca="1">IFERROR(__xludf.DUMMYFUNCTION("""COMPUTED_VALUE"""),"Female")</f>
        <v>Female</v>
      </c>
      <c r="E836" s="1" t="str">
        <f ca="1">IFERROR(__xludf.DUMMYFUNCTION("""COMPUTED_VALUE"""),"Influencers who had successful careers")</f>
        <v>Influencers who had successful careers</v>
      </c>
      <c r="F836" s="1" t="str">
        <f ca="1">IFERROR(__xludf.DUMMYFUNCTION("""COMPUTED_VALUE"""),"Yes, I will earn and do that")</f>
        <v>Yes, I will earn and do that</v>
      </c>
      <c r="G836" s="1" t="str">
        <f ca="1">IFERROR(__xludf.DUMMYFUNCTION("""COMPUTED_VALUE"""),"This will be hard to do, but if it is the right company I would try")</f>
        <v>This will be hard to do, but if it is the right company I would try</v>
      </c>
      <c r="H836" s="1" t="str">
        <f ca="1">IFERROR(__xludf.DUMMYFUNCTION("""COMPUTED_VALUE"""),"Yes")</f>
        <v>Yes</v>
      </c>
      <c r="I836" s="1" t="str">
        <f ca="1">IFERROR(__xludf.DUMMYFUNCTION("""COMPUTED_VALUE"""),"Will NOT work for them")</f>
        <v>Will NOT work for them</v>
      </c>
      <c r="J836" s="1">
        <f ca="1">IFERROR(__xludf.DUMMYFUNCTION("""COMPUTED_VALUE"""),6)</f>
        <v>6</v>
      </c>
      <c r="K836" s="1" t="str">
        <f ca="1">IFERROR(__xludf.DUMMYFUNCTION("""COMPUTED_VALUE"""),"Fully Remote with Options to travel as and when needed")</f>
        <v>Fully Remote with Options to travel as and when needed</v>
      </c>
      <c r="L836" s="1" t="str">
        <f ca="1">IFERROR(__xludf.DUMMYFUNCTION("""COMPUTED_VALUE"""),"Employer who pushes your limits by enabling an learning environment, and rewards you at the end")</f>
        <v>Employer who pushes your limits by enabling an learning environment, and rewards you at the end</v>
      </c>
      <c r="M836" s="1" t="str">
        <f ca="1">IFERROR(__xludf.DUMMYFUNCTION("""COMPUTED_VALUE"""),"Self Paced Learning Portals of the Company, Instructor or Expert Learning Programs, Manager Teaching you")</f>
        <v>Self Paced Learning Portals of the Company, Instructor or Expert Learning Programs, Manager Teaching you</v>
      </c>
      <c r="N836"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836" s="1" t="str">
        <f ca="1">IFERROR(__xludf.DUMMYFUNCTION("""COMPUTED_VALUE"""),"Manager who clearly describes what she/he needs")</f>
        <v>Manager who clearly describes what she/he needs</v>
      </c>
      <c r="P836" s="1" t="str">
        <f ca="1">IFERROR(__xludf.DUMMYFUNCTION("""COMPUTED_VALUE"""),"Work alone, Work with 2 to 3 people in my team, Work with 5 to 6 people in my team")</f>
        <v>Work alone, Work with 2 to 3 people in my team, Work with 5 to 6 people in my team</v>
      </c>
      <c r="Q836" s="1"/>
    </row>
    <row r="837" spans="1:17" ht="13.2" x14ac:dyDescent="0.25">
      <c r="A837" s="2">
        <f ca="1">IFERROR(__xludf.DUMMYFUNCTION("""COMPUTED_VALUE"""),45023.3731447337)</f>
        <v>45023.373144733698</v>
      </c>
      <c r="B837" s="1" t="str">
        <f ca="1">IFERROR(__xludf.DUMMYFUNCTION("""COMPUTED_VALUE"""),"India")</f>
        <v>India</v>
      </c>
      <c r="C837" s="1">
        <f ca="1">IFERROR(__xludf.DUMMYFUNCTION("""COMPUTED_VALUE"""),600125)</f>
        <v>600125</v>
      </c>
      <c r="D837" s="3" t="str">
        <f ca="1">IFERROR(__xludf.DUMMYFUNCTION("""COMPUTED_VALUE"""),"Male")</f>
        <v>Male</v>
      </c>
      <c r="E837" s="1" t="str">
        <f ca="1">IFERROR(__xludf.DUMMYFUNCTION("""COMPUTED_VALUE"""),"People who have changed the world for better")</f>
        <v>People who have changed the world for better</v>
      </c>
      <c r="F837" s="1" t="str">
        <f ca="1">IFERROR(__xludf.DUMMYFUNCTION("""COMPUTED_VALUE"""),"No I would not be pursuing Higher Education outside of India")</f>
        <v>No I would not be pursuing Higher Education outside of India</v>
      </c>
      <c r="G837" s="1" t="str">
        <f ca="1">IFERROR(__xludf.DUMMYFUNCTION("""COMPUTED_VALUE"""),"Will work for 3 years or more")</f>
        <v>Will work for 3 years or more</v>
      </c>
      <c r="H837" s="1" t="str">
        <f ca="1">IFERROR(__xludf.DUMMYFUNCTION("""COMPUTED_VALUE"""),"No")</f>
        <v>No</v>
      </c>
      <c r="I837" s="1" t="str">
        <f ca="1">IFERROR(__xludf.DUMMYFUNCTION("""COMPUTED_VALUE"""),"Will NOT work for them")</f>
        <v>Will NOT work for them</v>
      </c>
      <c r="J837" s="1">
        <f ca="1">IFERROR(__xludf.DUMMYFUNCTION("""COMPUTED_VALUE"""),7)</f>
        <v>7</v>
      </c>
      <c r="K837" s="1" t="str">
        <f ca="1">IFERROR(__xludf.DUMMYFUNCTION("""COMPUTED_VALUE"""),"Every Day Office Environment")</f>
        <v>Every Day Office Environment</v>
      </c>
      <c r="L837" s="1" t="str">
        <f ca="1">IFERROR(__xludf.DUMMYFUNCTION("""COMPUTED_VALUE"""),"Employer who pushes your limits by enabling an learning environment, and rewards you at the end")</f>
        <v>Employer who pushes your limits by enabling an learning environment, and rewards you at the end</v>
      </c>
      <c r="M83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37" s="1" t="str">
        <f ca="1">IFERROR(__xludf.DUMMYFUNCTION("""COMPUTED_VALUE"""),"Manager who clearly describes what she/he needs")</f>
        <v>Manager who clearly describes what she/he needs</v>
      </c>
      <c r="P837" s="1" t="str">
        <f ca="1">IFERROR(__xludf.DUMMYFUNCTION("""COMPUTED_VALUE"""),"Work with 7 to 10 or more people in my team")</f>
        <v>Work with 7 to 10 or more people in my team</v>
      </c>
      <c r="Q837" s="1"/>
    </row>
    <row r="838" spans="1:17" ht="13.2" x14ac:dyDescent="0.25">
      <c r="A838" s="2">
        <f ca="1">IFERROR(__xludf.DUMMYFUNCTION("""COMPUTED_VALUE"""),45023.380565787)</f>
        <v>45023.380565787003</v>
      </c>
      <c r="B838" s="1" t="str">
        <f ca="1">IFERROR(__xludf.DUMMYFUNCTION("""COMPUTED_VALUE"""),"India")</f>
        <v>India</v>
      </c>
      <c r="C838" s="1">
        <f ca="1">IFERROR(__xludf.DUMMYFUNCTION("""COMPUTED_VALUE"""),560043)</f>
        <v>560043</v>
      </c>
      <c r="D838" s="3" t="str">
        <f ca="1">IFERROR(__xludf.DUMMYFUNCTION("""COMPUTED_VALUE"""),"Male")</f>
        <v>Male</v>
      </c>
      <c r="E838" s="1" t="str">
        <f ca="1">IFERROR(__xludf.DUMMYFUNCTION("""COMPUTED_VALUE"""),"People who have changed the world for better")</f>
        <v>People who have changed the world for better</v>
      </c>
      <c r="F838" s="1" t="str">
        <f ca="1">IFERROR(__xludf.DUMMYFUNCTION("""COMPUTED_VALUE"""),"Yes, I will earn and do that")</f>
        <v>Yes, I will earn and do that</v>
      </c>
      <c r="G838" s="1" t="str">
        <f ca="1">IFERROR(__xludf.DUMMYFUNCTION("""COMPUTED_VALUE"""),"This will be hard to do, but if it is the right company I would try")</f>
        <v>This will be hard to do, but if it is the right company I would try</v>
      </c>
      <c r="H838" s="1" t="str">
        <f ca="1">IFERROR(__xludf.DUMMYFUNCTION("""COMPUTED_VALUE"""),"No")</f>
        <v>No</v>
      </c>
      <c r="I838" s="1" t="str">
        <f ca="1">IFERROR(__xludf.DUMMYFUNCTION("""COMPUTED_VALUE"""),"Will NOT work for them")</f>
        <v>Will NOT work for them</v>
      </c>
      <c r="J838" s="1">
        <f ca="1">IFERROR(__xludf.DUMMYFUNCTION("""COMPUTED_VALUE"""),6)</f>
        <v>6</v>
      </c>
      <c r="K838" s="1" t="str">
        <f ca="1">IFERROR(__xludf.DUMMYFUNCTION("""COMPUTED_VALUE"""),"Hybrid Working Environment with more than 15 days a month at office")</f>
        <v>Hybrid Working Environment with more than 15 days a month at office</v>
      </c>
      <c r="L838" s="1" t="str">
        <f ca="1">IFERROR(__xludf.DUMMYFUNCTION("""COMPUTED_VALUE"""),"Employer who pushes your limits by enabling an learning environment, and rewards you at the end")</f>
        <v>Employer who pushes your limits by enabling an learning environment, and rewards you at the end</v>
      </c>
      <c r="M83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38"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38" s="1" t="str">
        <f ca="1">IFERROR(__xludf.DUMMYFUNCTION("""COMPUTED_VALUE"""),"Manager who explains what is expected, sets a goal and helps achieve it")</f>
        <v>Manager who explains what is expected, sets a goal and helps achieve it</v>
      </c>
      <c r="P838" s="1" t="str">
        <f ca="1">IFERROR(__xludf.DUMMYFUNCTION("""COMPUTED_VALUE"""),"Work with 5 to 6 people in my team")</f>
        <v>Work with 5 to 6 people in my team</v>
      </c>
      <c r="Q838" s="1"/>
    </row>
    <row r="839" spans="1:17" ht="13.2" x14ac:dyDescent="0.25">
      <c r="A839" s="2">
        <f ca="1">IFERROR(__xludf.DUMMYFUNCTION("""COMPUTED_VALUE"""),45023.445409699)</f>
        <v>45023.445409699001</v>
      </c>
      <c r="B839" s="1" t="str">
        <f ca="1">IFERROR(__xludf.DUMMYFUNCTION("""COMPUTED_VALUE"""),"India")</f>
        <v>India</v>
      </c>
      <c r="C839" s="1">
        <f ca="1">IFERROR(__xludf.DUMMYFUNCTION("""COMPUTED_VALUE"""),400607)</f>
        <v>400607</v>
      </c>
      <c r="D839" s="3" t="str">
        <f ca="1">IFERROR(__xludf.DUMMYFUNCTION("""COMPUTED_VALUE"""),"Male")</f>
        <v>Male</v>
      </c>
      <c r="E839" s="1" t="str">
        <f ca="1">IFERROR(__xludf.DUMMYFUNCTION("""COMPUTED_VALUE"""),"People from my circle, but not family members")</f>
        <v>People from my circle, but not family members</v>
      </c>
      <c r="F839" s="1" t="str">
        <f ca="1">IFERROR(__xludf.DUMMYFUNCTION("""COMPUTED_VALUE"""),"No, But if someone could bare the cost I will")</f>
        <v>No, But if someone could bare the cost I will</v>
      </c>
      <c r="G839" s="1" t="str">
        <f ca="1">IFERROR(__xludf.DUMMYFUNCTION("""COMPUTED_VALUE"""),"Will work for 3 years or more")</f>
        <v>Will work for 3 years or more</v>
      </c>
      <c r="H839" s="1" t="str">
        <f ca="1">IFERROR(__xludf.DUMMYFUNCTION("""COMPUTED_VALUE"""),"Yes")</f>
        <v>Yes</v>
      </c>
      <c r="I839" s="1" t="str">
        <f ca="1">IFERROR(__xludf.DUMMYFUNCTION("""COMPUTED_VALUE"""),"Will NOT work for them")</f>
        <v>Will NOT work for them</v>
      </c>
      <c r="J839" s="1">
        <f ca="1">IFERROR(__xludf.DUMMYFUNCTION("""COMPUTED_VALUE"""),9)</f>
        <v>9</v>
      </c>
      <c r="K839" s="1" t="str">
        <f ca="1">IFERROR(__xludf.DUMMYFUNCTION("""COMPUTED_VALUE"""),"Hybrid Working Environment with less than 3 days a month at office")</f>
        <v>Hybrid Working Environment with less than 3 days a month at office</v>
      </c>
      <c r="L839" s="1" t="str">
        <f ca="1">IFERROR(__xludf.DUMMYFUNCTION("""COMPUTED_VALUE"""),"Employer who rewards learning and enables that environment")</f>
        <v>Employer who rewards learning and enables that environment</v>
      </c>
      <c r="M83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3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839" s="1" t="str">
        <f ca="1">IFERROR(__xludf.DUMMYFUNCTION("""COMPUTED_VALUE"""),"Manager who sets goal and helps me achieve it")</f>
        <v>Manager who sets goal and helps me achieve it</v>
      </c>
      <c r="P839" s="1" t="str">
        <f ca="1">IFERROR(__xludf.DUMMYFUNCTION("""COMPUTED_VALUE"""),"Work with 2 to 3 people in my team")</f>
        <v>Work with 2 to 3 people in my team</v>
      </c>
      <c r="Q839" s="1"/>
    </row>
    <row r="840" spans="1:17" ht="13.2" x14ac:dyDescent="0.25">
      <c r="A840" s="2">
        <f ca="1">IFERROR(__xludf.DUMMYFUNCTION("""COMPUTED_VALUE"""),45023.4506556018)</f>
        <v>45023.450655601802</v>
      </c>
      <c r="B840" s="1" t="str">
        <f ca="1">IFERROR(__xludf.DUMMYFUNCTION("""COMPUTED_VALUE"""),"India")</f>
        <v>India</v>
      </c>
      <c r="C840" s="1">
        <f ca="1">IFERROR(__xludf.DUMMYFUNCTION("""COMPUTED_VALUE"""),382424)</f>
        <v>382424</v>
      </c>
      <c r="D840" s="3" t="str">
        <f ca="1">IFERROR(__xludf.DUMMYFUNCTION("""COMPUTED_VALUE"""),"Female")</f>
        <v>Female</v>
      </c>
      <c r="E840" s="1" t="str">
        <f ca="1">IFERROR(__xludf.DUMMYFUNCTION("""COMPUTED_VALUE"""),"People who have changed the world for better")</f>
        <v>People who have changed the world for better</v>
      </c>
      <c r="F840" s="1" t="str">
        <f ca="1">IFERROR(__xludf.DUMMYFUNCTION("""COMPUTED_VALUE"""),"Yes, I will earn and do that")</f>
        <v>Yes, I will earn and do that</v>
      </c>
      <c r="G840" s="1" t="str">
        <f ca="1">IFERROR(__xludf.DUMMYFUNCTION("""COMPUTED_VALUE"""),"Will work for 3 years or more")</f>
        <v>Will work for 3 years or more</v>
      </c>
      <c r="H840" s="1" t="str">
        <f ca="1">IFERROR(__xludf.DUMMYFUNCTION("""COMPUTED_VALUE"""),"No")</f>
        <v>No</v>
      </c>
      <c r="I840" s="1" t="str">
        <f ca="1">IFERROR(__xludf.DUMMYFUNCTION("""COMPUTED_VALUE"""),"Will NOT work for them")</f>
        <v>Will NOT work for them</v>
      </c>
      <c r="J840" s="1">
        <f ca="1">IFERROR(__xludf.DUMMYFUNCTION("""COMPUTED_VALUE"""),5)</f>
        <v>5</v>
      </c>
      <c r="K840" s="1" t="str">
        <f ca="1">IFERROR(__xludf.DUMMYFUNCTION("""COMPUTED_VALUE"""),"Fully Remote with Options to travel as and when needed")</f>
        <v>Fully Remote with Options to travel as and when needed</v>
      </c>
      <c r="L840" s="1" t="str">
        <f ca="1">IFERROR(__xludf.DUMMYFUNCTION("""COMPUTED_VALUE"""),"Employer who pushes your limits by enabling an learning environment, and rewards you at the end")</f>
        <v>Employer who pushes your limits by enabling an learning environment, and rewards you at the end</v>
      </c>
      <c r="M840" s="1" t="str">
        <f ca="1">IFERROR(__xludf.DUMMYFUNCTION("""COMPUTED_VALUE"""),"Instructor or Expert Learning Programs, Learning by observing others, Manager Teaching you")</f>
        <v>Instructor or Expert Learning Programs, Learning by observing others, Manager Teaching you</v>
      </c>
      <c r="N84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40" s="1" t="str">
        <f ca="1">IFERROR(__xludf.DUMMYFUNCTION("""COMPUTED_VALUE"""),"Manager who explains what is expected, sets a goal and helps achieve it")</f>
        <v>Manager who explains what is expected, sets a goal and helps achieve it</v>
      </c>
      <c r="P840" s="1" t="str">
        <f ca="1">IFERROR(__xludf.DUMMYFUNCTION("""COMPUTED_VALUE"""),"Work with 2 to 3 people in my team")</f>
        <v>Work with 2 to 3 people in my team</v>
      </c>
      <c r="Q840" s="1"/>
    </row>
    <row r="841" spans="1:17" ht="13.2" x14ac:dyDescent="0.25">
      <c r="A841" s="2">
        <f ca="1">IFERROR(__xludf.DUMMYFUNCTION("""COMPUTED_VALUE"""),45023.4657532291)</f>
        <v>45023.465753229102</v>
      </c>
      <c r="B841" s="1" t="str">
        <f ca="1">IFERROR(__xludf.DUMMYFUNCTION("""COMPUTED_VALUE"""),"India")</f>
        <v>India</v>
      </c>
      <c r="C841" s="1">
        <f ca="1">IFERROR(__xludf.DUMMYFUNCTION("""COMPUTED_VALUE"""),400607)</f>
        <v>400607</v>
      </c>
      <c r="D841" s="3" t="str">
        <f ca="1">IFERROR(__xludf.DUMMYFUNCTION("""COMPUTED_VALUE"""),"Male")</f>
        <v>Male</v>
      </c>
      <c r="E841" s="1" t="str">
        <f ca="1">IFERROR(__xludf.DUMMYFUNCTION("""COMPUTED_VALUE"""),"My Parents")</f>
        <v>My Parents</v>
      </c>
      <c r="F841" s="1" t="str">
        <f ca="1">IFERROR(__xludf.DUMMYFUNCTION("""COMPUTED_VALUE"""),"Yes, I will earn and do that")</f>
        <v>Yes, I will earn and do that</v>
      </c>
      <c r="G841" s="1" t="str">
        <f ca="1">IFERROR(__xludf.DUMMYFUNCTION("""COMPUTED_VALUE"""),"No way")</f>
        <v>No way</v>
      </c>
      <c r="H841" s="1" t="str">
        <f ca="1">IFERROR(__xludf.DUMMYFUNCTION("""COMPUTED_VALUE"""),"Yes")</f>
        <v>Yes</v>
      </c>
      <c r="I841" s="1" t="str">
        <f ca="1">IFERROR(__xludf.DUMMYFUNCTION("""COMPUTED_VALUE"""),"Will NOT work for them")</f>
        <v>Will NOT work for them</v>
      </c>
      <c r="J841" s="1">
        <f ca="1">IFERROR(__xludf.DUMMYFUNCTION("""COMPUTED_VALUE"""),6)</f>
        <v>6</v>
      </c>
      <c r="K841" s="1" t="str">
        <f ca="1">IFERROR(__xludf.DUMMYFUNCTION("""COMPUTED_VALUE"""),"Hybrid Working Environment with less than 3 days a month at office")</f>
        <v>Hybrid Working Environment with less than 3 days a month at office</v>
      </c>
      <c r="L841" s="1" t="str">
        <f ca="1">IFERROR(__xludf.DUMMYFUNCTION("""COMPUTED_VALUE"""),"Employer who appreciates learning and enables that environment")</f>
        <v>Employer who appreciates learning and enables that environment</v>
      </c>
      <c r="M84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84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841" s="1" t="str">
        <f ca="1">IFERROR(__xludf.DUMMYFUNCTION("""COMPUTED_VALUE"""),"Manager who sets targets and expects me to achieve it")</f>
        <v>Manager who sets targets and expects me to achieve it</v>
      </c>
      <c r="P841" s="1" t="str">
        <f ca="1">IFERROR(__xludf.DUMMYFUNCTION("""COMPUTED_VALUE"""),"Work with more than 10 people in my team")</f>
        <v>Work with more than 10 people in my team</v>
      </c>
      <c r="Q841" s="1"/>
    </row>
    <row r="842" spans="1:17" ht="13.2" x14ac:dyDescent="0.25">
      <c r="A842" s="2">
        <f ca="1">IFERROR(__xludf.DUMMYFUNCTION("""COMPUTED_VALUE"""),45023.4738119213)</f>
        <v>45023.4738119213</v>
      </c>
      <c r="B842" s="1" t="str">
        <f ca="1">IFERROR(__xludf.DUMMYFUNCTION("""COMPUTED_VALUE"""),"India")</f>
        <v>India</v>
      </c>
      <c r="C842" s="1">
        <f ca="1">IFERROR(__xludf.DUMMYFUNCTION("""COMPUTED_VALUE"""),400607)</f>
        <v>400607</v>
      </c>
      <c r="D842" s="3" t="str">
        <f ca="1">IFERROR(__xludf.DUMMYFUNCTION("""COMPUTED_VALUE"""),"Male")</f>
        <v>Male</v>
      </c>
      <c r="E842" s="1" t="str">
        <f ca="1">IFERROR(__xludf.DUMMYFUNCTION("""COMPUTED_VALUE"""),"People who have changed the world for better")</f>
        <v>People who have changed the world for better</v>
      </c>
      <c r="F842" s="1" t="str">
        <f ca="1">IFERROR(__xludf.DUMMYFUNCTION("""COMPUTED_VALUE"""),"No I would not be pursuing Higher Education outside of India")</f>
        <v>No I would not be pursuing Higher Education outside of India</v>
      </c>
      <c r="G842" s="1" t="str">
        <f ca="1">IFERROR(__xludf.DUMMYFUNCTION("""COMPUTED_VALUE"""),"This will be hard to do, but if it is the right company I would try")</f>
        <v>This will be hard to do, but if it is the right company I would try</v>
      </c>
      <c r="H842" s="1" t="str">
        <f ca="1">IFERROR(__xludf.DUMMYFUNCTION("""COMPUTED_VALUE"""),"Yes")</f>
        <v>Yes</v>
      </c>
      <c r="I842" s="1" t="str">
        <f ca="1">IFERROR(__xludf.DUMMYFUNCTION("""COMPUTED_VALUE"""),"Will work for them")</f>
        <v>Will work for them</v>
      </c>
      <c r="J842" s="1">
        <f ca="1">IFERROR(__xludf.DUMMYFUNCTION("""COMPUTED_VALUE"""),8)</f>
        <v>8</v>
      </c>
      <c r="K842" s="1" t="str">
        <f ca="1">IFERROR(__xludf.DUMMYFUNCTION("""COMPUTED_VALUE"""),"Hybrid Working Environment with more than 15 days a month at office")</f>
        <v>Hybrid Working Environment with more than 15 days a month at office</v>
      </c>
      <c r="L842" s="1" t="str">
        <f ca="1">IFERROR(__xludf.DUMMYFUNCTION("""COMPUTED_VALUE"""),"Employer who pushes your limits by enabling an learning environment, and rewards you at the end")</f>
        <v>Employer who pushes your limits by enabling an learning environment, and rewards you at the end</v>
      </c>
      <c r="M8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4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42" s="1" t="str">
        <f ca="1">IFERROR(__xludf.DUMMYFUNCTION("""COMPUTED_VALUE"""),"Manager who explains what is expected, sets a goal and helps achieve it")</f>
        <v>Manager who explains what is expected, sets a goal and helps achieve it</v>
      </c>
      <c r="P842" s="1" t="str">
        <f ca="1">IFERROR(__xludf.DUMMYFUNCTION("""COMPUTED_VALUE"""),"Work with 7 to 10 or more people in my team")</f>
        <v>Work with 7 to 10 or more people in my team</v>
      </c>
      <c r="Q842" s="1"/>
    </row>
    <row r="843" spans="1:17" ht="13.2" x14ac:dyDescent="0.25">
      <c r="A843" s="2">
        <f ca="1">IFERROR(__xludf.DUMMYFUNCTION("""COMPUTED_VALUE"""),45023.5013237037)</f>
        <v>45023.501323703698</v>
      </c>
      <c r="B843" s="1" t="str">
        <f ca="1">IFERROR(__xludf.DUMMYFUNCTION("""COMPUTED_VALUE"""),"India")</f>
        <v>India</v>
      </c>
      <c r="C843" s="1">
        <f ca="1">IFERROR(__xludf.DUMMYFUNCTION("""COMPUTED_VALUE"""),533001)</f>
        <v>533001</v>
      </c>
      <c r="D843" s="3" t="str">
        <f ca="1">IFERROR(__xludf.DUMMYFUNCTION("""COMPUTED_VALUE"""),"Male")</f>
        <v>Male</v>
      </c>
      <c r="E843" s="1" t="str">
        <f ca="1">IFERROR(__xludf.DUMMYFUNCTION("""COMPUTED_VALUE"""),"Influencers who had successful careers")</f>
        <v>Influencers who had successful careers</v>
      </c>
      <c r="F843" s="1" t="str">
        <f ca="1">IFERROR(__xludf.DUMMYFUNCTION("""COMPUTED_VALUE"""),"No I would not be pursuing Higher Education outside of India")</f>
        <v>No I would not be pursuing Higher Education outside of India</v>
      </c>
      <c r="G843" s="1" t="str">
        <f ca="1">IFERROR(__xludf.DUMMYFUNCTION("""COMPUTED_VALUE"""),"This will be hard to do, but if it is the right company I would try")</f>
        <v>This will be hard to do, but if it is the right company I would try</v>
      </c>
      <c r="H843" s="1" t="str">
        <f ca="1">IFERROR(__xludf.DUMMYFUNCTION("""COMPUTED_VALUE"""),"No")</f>
        <v>No</v>
      </c>
      <c r="I843" s="1" t="str">
        <f ca="1">IFERROR(__xludf.DUMMYFUNCTION("""COMPUTED_VALUE"""),"Will NOT work for them")</f>
        <v>Will NOT work for them</v>
      </c>
      <c r="J843" s="1">
        <f ca="1">IFERROR(__xludf.DUMMYFUNCTION("""COMPUTED_VALUE"""),10)</f>
        <v>10</v>
      </c>
      <c r="K843" s="1" t="str">
        <f ca="1">IFERROR(__xludf.DUMMYFUNCTION("""COMPUTED_VALUE"""),"Fully Remote with Options to travel as and when needed")</f>
        <v>Fully Remote with Options to travel as and when needed</v>
      </c>
      <c r="L843" s="1" t="str">
        <f ca="1">IFERROR(__xludf.DUMMYFUNCTION("""COMPUTED_VALUE"""),"Employer who pushes your limits by enabling an learning environment, and rewards you at the end")</f>
        <v>Employer who pushes your limits by enabling an learning environment, and rewards you at the end</v>
      </c>
      <c r="M8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4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843" s="1" t="str">
        <f ca="1">IFERROR(__xludf.DUMMYFUNCTION("""COMPUTED_VALUE"""),"Manager who explains what is expected, sets a goal and helps achieve it")</f>
        <v>Manager who explains what is expected, sets a goal and helps achieve it</v>
      </c>
      <c r="P843" s="1" t="str">
        <f ca="1">IFERROR(__xludf.DUMMYFUNCTION("""COMPUTED_VALUE"""),"Work with more than 10 people in my team")</f>
        <v>Work with more than 10 people in my team</v>
      </c>
      <c r="Q843" s="1"/>
    </row>
    <row r="844" spans="1:17" ht="13.2" x14ac:dyDescent="0.25">
      <c r="A844" s="2">
        <f ca="1">IFERROR(__xludf.DUMMYFUNCTION("""COMPUTED_VALUE"""),45023.5098894097)</f>
        <v>45023.509889409703</v>
      </c>
      <c r="B844" s="1" t="str">
        <f ca="1">IFERROR(__xludf.DUMMYFUNCTION("""COMPUTED_VALUE"""),"India")</f>
        <v>India</v>
      </c>
      <c r="C844" s="1">
        <f ca="1">IFERROR(__xludf.DUMMYFUNCTION("""COMPUTED_VALUE"""),612001)</f>
        <v>612001</v>
      </c>
      <c r="D844" s="3" t="str">
        <f ca="1">IFERROR(__xludf.DUMMYFUNCTION("""COMPUTED_VALUE"""),"Male")</f>
        <v>Male</v>
      </c>
      <c r="E844" s="1" t="str">
        <f ca="1">IFERROR(__xludf.DUMMYFUNCTION("""COMPUTED_VALUE"""),"Influencers who had successful careers")</f>
        <v>Influencers who had successful careers</v>
      </c>
      <c r="F844" s="1" t="str">
        <f ca="1">IFERROR(__xludf.DUMMYFUNCTION("""COMPUTED_VALUE"""),"Yes, I will earn and do that")</f>
        <v>Yes, I will earn and do that</v>
      </c>
      <c r="G844" s="1" t="str">
        <f ca="1">IFERROR(__xludf.DUMMYFUNCTION("""COMPUTED_VALUE"""),"Will work for 3 years or more")</f>
        <v>Will work for 3 years or more</v>
      </c>
      <c r="H844" s="1" t="str">
        <f ca="1">IFERROR(__xludf.DUMMYFUNCTION("""COMPUTED_VALUE"""),"No")</f>
        <v>No</v>
      </c>
      <c r="I844" s="1" t="str">
        <f ca="1">IFERROR(__xludf.DUMMYFUNCTION("""COMPUTED_VALUE"""),"Will NOT work for them")</f>
        <v>Will NOT work for them</v>
      </c>
      <c r="J844" s="1">
        <f ca="1">IFERROR(__xludf.DUMMYFUNCTION("""COMPUTED_VALUE"""),8)</f>
        <v>8</v>
      </c>
      <c r="K844" s="1" t="str">
        <f ca="1">IFERROR(__xludf.DUMMYFUNCTION("""COMPUTED_VALUE"""),"Fully Remote with Options to travel as and when needed")</f>
        <v>Fully Remote with Options to travel as and when needed</v>
      </c>
      <c r="L844" s="1" t="str">
        <f ca="1">IFERROR(__xludf.DUMMYFUNCTION("""COMPUTED_VALUE"""),"Employer who appreciates learning and enables that environment")</f>
        <v>Employer who appreciates learning and enables that environment</v>
      </c>
      <c r="M84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4"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844" s="1" t="str">
        <f ca="1">IFERROR(__xludf.DUMMYFUNCTION("""COMPUTED_VALUE"""),"Manager who explains what is expected, sets a goal and helps achieve it")</f>
        <v>Manager who explains what is expected, sets a goal and helps achieve it</v>
      </c>
      <c r="P844" s="1" t="str">
        <f ca="1">IFERROR(__xludf.DUMMYFUNCTION("""COMPUTED_VALUE"""),"Work with more than 10 people in my team")</f>
        <v>Work with more than 10 people in my team</v>
      </c>
      <c r="Q844" s="1"/>
    </row>
    <row r="845" spans="1:17" ht="13.2" x14ac:dyDescent="0.25">
      <c r="A845" s="2">
        <f ca="1">IFERROR(__xludf.DUMMYFUNCTION("""COMPUTED_VALUE"""),45023.5266821759)</f>
        <v>45023.5266821759</v>
      </c>
      <c r="B845" s="1" t="str">
        <f ca="1">IFERROR(__xludf.DUMMYFUNCTION("""COMPUTED_VALUE"""),"India")</f>
        <v>India</v>
      </c>
      <c r="C845" s="1">
        <f ca="1">IFERROR(__xludf.DUMMYFUNCTION("""COMPUTED_VALUE"""),441002)</f>
        <v>441002</v>
      </c>
      <c r="D845" s="3" t="str">
        <f ca="1">IFERROR(__xludf.DUMMYFUNCTION("""COMPUTED_VALUE"""),"Male")</f>
        <v>Male</v>
      </c>
      <c r="E845" s="1" t="str">
        <f ca="1">IFERROR(__xludf.DUMMYFUNCTION("""COMPUTED_VALUE"""),"My Parents")</f>
        <v>My Parents</v>
      </c>
      <c r="F845" s="1" t="str">
        <f ca="1">IFERROR(__xludf.DUMMYFUNCTION("""COMPUTED_VALUE"""),"No, But if someone could bare the cost I will")</f>
        <v>No, But if someone could bare the cost I will</v>
      </c>
      <c r="G845" s="1" t="str">
        <f ca="1">IFERROR(__xludf.DUMMYFUNCTION("""COMPUTED_VALUE"""),"No way")</f>
        <v>No way</v>
      </c>
      <c r="H845" s="1" t="str">
        <f ca="1">IFERROR(__xludf.DUMMYFUNCTION("""COMPUTED_VALUE"""),"No")</f>
        <v>No</v>
      </c>
      <c r="I845" s="1" t="str">
        <f ca="1">IFERROR(__xludf.DUMMYFUNCTION("""COMPUTED_VALUE"""),"Will NOT work for them")</f>
        <v>Will NOT work for them</v>
      </c>
      <c r="J845" s="1">
        <f ca="1">IFERROR(__xludf.DUMMYFUNCTION("""COMPUTED_VALUE"""),2)</f>
        <v>2</v>
      </c>
      <c r="K845" s="1" t="str">
        <f ca="1">IFERROR(__xludf.DUMMYFUNCTION("""COMPUTED_VALUE"""),"Fully Remote with No option to visit offices")</f>
        <v>Fully Remote with No option to visit offices</v>
      </c>
      <c r="L845" s="1" t="str">
        <f ca="1">IFERROR(__xludf.DUMMYFUNCTION("""COMPUTED_VALUE"""),"Employer who appreciates learning and enables that environment")</f>
        <v>Employer who appreciates learning and enables that environment</v>
      </c>
      <c r="M84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5"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45" s="1" t="str">
        <f ca="1">IFERROR(__xludf.DUMMYFUNCTION("""COMPUTED_VALUE"""),"Manager who sets goal and helps me achieve it")</f>
        <v>Manager who sets goal and helps me achieve it</v>
      </c>
      <c r="P845" s="1" t="str">
        <f ca="1">IFERROR(__xludf.DUMMYFUNCTION("""COMPUTED_VALUE"""),"Work with more than 10 people in my team")</f>
        <v>Work with more than 10 people in my team</v>
      </c>
      <c r="Q845" s="1"/>
    </row>
    <row r="846" spans="1:17" ht="13.2" x14ac:dyDescent="0.25">
      <c r="A846" s="2">
        <f ca="1">IFERROR(__xludf.DUMMYFUNCTION("""COMPUTED_VALUE"""),45023.678251736)</f>
        <v>45023.678251735997</v>
      </c>
      <c r="B846" s="1" t="str">
        <f ca="1">IFERROR(__xludf.DUMMYFUNCTION("""COMPUTED_VALUE"""),"India")</f>
        <v>India</v>
      </c>
      <c r="C846" s="1">
        <f ca="1">IFERROR(__xludf.DUMMYFUNCTION("""COMPUTED_VALUE"""),507001)</f>
        <v>507001</v>
      </c>
      <c r="D846" s="3" t="str">
        <f ca="1">IFERROR(__xludf.DUMMYFUNCTION("""COMPUTED_VALUE"""),"Male")</f>
        <v>Male</v>
      </c>
      <c r="E846" s="1" t="str">
        <f ca="1">IFERROR(__xludf.DUMMYFUNCTION("""COMPUTED_VALUE"""),"My Parents")</f>
        <v>My Parents</v>
      </c>
      <c r="F846" s="1" t="str">
        <f ca="1">IFERROR(__xludf.DUMMYFUNCTION("""COMPUTED_VALUE"""),"No, But if someone could bare the cost I will")</f>
        <v>No, But if someone could bare the cost I will</v>
      </c>
      <c r="G846" s="1" t="str">
        <f ca="1">IFERROR(__xludf.DUMMYFUNCTION("""COMPUTED_VALUE"""),"Will work for 3 years or more")</f>
        <v>Will work for 3 years or more</v>
      </c>
      <c r="H846" s="1" t="str">
        <f ca="1">IFERROR(__xludf.DUMMYFUNCTION("""COMPUTED_VALUE"""),"No")</f>
        <v>No</v>
      </c>
      <c r="I846" s="1" t="str">
        <f ca="1">IFERROR(__xludf.DUMMYFUNCTION("""COMPUTED_VALUE"""),"Will NOT work for them")</f>
        <v>Will NOT work for them</v>
      </c>
      <c r="J846" s="1">
        <f ca="1">IFERROR(__xludf.DUMMYFUNCTION("""COMPUTED_VALUE"""),4)</f>
        <v>4</v>
      </c>
      <c r="K846" s="1" t="str">
        <f ca="1">IFERROR(__xludf.DUMMYFUNCTION("""COMPUTED_VALUE"""),"Every Day Office Environment")</f>
        <v>Every Day Office Environment</v>
      </c>
      <c r="L846" s="1" t="str">
        <f ca="1">IFERROR(__xludf.DUMMYFUNCTION("""COMPUTED_VALUE"""),"Employer who appreciates learning and enables that environment")</f>
        <v>Employer who appreciates learning and enables that environment</v>
      </c>
      <c r="M846" s="1" t="str">
        <f ca="1">IFERROR(__xludf.DUMMYFUNCTION("""COMPUTED_VALUE"""),"Self Paced Learning Portals of the Company, Instructor or Expert Learning Programs, Manager Teaching you")</f>
        <v>Self Paced Learning Portals of the Company, Instructor or Expert Learning Programs, Manager Teaching you</v>
      </c>
      <c r="N846"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846" s="1" t="str">
        <f ca="1">IFERROR(__xludf.DUMMYFUNCTION("""COMPUTED_VALUE"""),"Manager who sets goal and helps me achieve it")</f>
        <v>Manager who sets goal and helps me achieve it</v>
      </c>
      <c r="P846" s="1" t="str">
        <f ca="1">IFERROR(__xludf.DUMMYFUNCTION("""COMPUTED_VALUE"""),"Work with 5 to 6 people in my team")</f>
        <v>Work with 5 to 6 people in my team</v>
      </c>
      <c r="Q846" s="1"/>
    </row>
    <row r="847" spans="1:17" ht="13.2" x14ac:dyDescent="0.25">
      <c r="A847" s="2">
        <f ca="1">IFERROR(__xludf.DUMMYFUNCTION("""COMPUTED_VALUE"""),45023.6788496643)</f>
        <v>45023.678849664298</v>
      </c>
      <c r="B847" s="1" t="str">
        <f ca="1">IFERROR(__xludf.DUMMYFUNCTION("""COMPUTED_VALUE"""),"India")</f>
        <v>India</v>
      </c>
      <c r="C847" s="1">
        <f ca="1">IFERROR(__xludf.DUMMYFUNCTION("""COMPUTED_VALUE"""),201310)</f>
        <v>201310</v>
      </c>
      <c r="D847" s="3" t="str">
        <f ca="1">IFERROR(__xludf.DUMMYFUNCTION("""COMPUTED_VALUE"""),"Female")</f>
        <v>Female</v>
      </c>
      <c r="E847" s="1" t="str">
        <f ca="1">IFERROR(__xludf.DUMMYFUNCTION("""COMPUTED_VALUE"""),"My Parents")</f>
        <v>My Parents</v>
      </c>
      <c r="F847" s="1" t="str">
        <f ca="1">IFERROR(__xludf.DUMMYFUNCTION("""COMPUTED_VALUE"""),"Yes, I will earn and do that")</f>
        <v>Yes, I will earn and do that</v>
      </c>
      <c r="G847" s="1" t="str">
        <f ca="1">IFERROR(__xludf.DUMMYFUNCTION("""COMPUTED_VALUE"""),"This will be hard to do, but if it is the right company I would try")</f>
        <v>This will be hard to do, but if it is the right company I would try</v>
      </c>
      <c r="H847" s="1" t="str">
        <f ca="1">IFERROR(__xludf.DUMMYFUNCTION("""COMPUTED_VALUE"""),"No")</f>
        <v>No</v>
      </c>
      <c r="I847" s="1" t="str">
        <f ca="1">IFERROR(__xludf.DUMMYFUNCTION("""COMPUTED_VALUE"""),"Will NOT work for them")</f>
        <v>Will NOT work for them</v>
      </c>
      <c r="J847" s="1">
        <f ca="1">IFERROR(__xludf.DUMMYFUNCTION("""COMPUTED_VALUE"""),5)</f>
        <v>5</v>
      </c>
      <c r="K847" s="1" t="str">
        <f ca="1">IFERROR(__xludf.DUMMYFUNCTION("""COMPUTED_VALUE"""),"Hybrid Working Environment with more than 15 days a month at office")</f>
        <v>Hybrid Working Environment with more than 15 days a month at office</v>
      </c>
      <c r="L847" s="1" t="str">
        <f ca="1">IFERROR(__xludf.DUMMYFUNCTION("""COMPUTED_VALUE"""),"Employer who pushes your limits by enabling an learning environment, and rewards you at the end")</f>
        <v>Employer who pushes your limits by enabling an learning environment, and rewards you at the end</v>
      </c>
      <c r="M84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47"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47" s="1" t="str">
        <f ca="1">IFERROR(__xludf.DUMMYFUNCTION("""COMPUTED_VALUE"""),"Manager who explains what is expected, sets a goal and helps achieve it")</f>
        <v>Manager who explains what is expected, sets a goal and helps achieve it</v>
      </c>
      <c r="P847" s="1" t="str">
        <f ca="1">IFERROR(__xludf.DUMMYFUNCTION("""COMPUTED_VALUE"""),"Work with 5 to 6 people in my team")</f>
        <v>Work with 5 to 6 people in my team</v>
      </c>
      <c r="Q847" s="1"/>
    </row>
    <row r="848" spans="1:17" ht="13.2" x14ac:dyDescent="0.25">
      <c r="A848" s="2">
        <f ca="1">IFERROR(__xludf.DUMMYFUNCTION("""COMPUTED_VALUE"""),45023.7052649884)</f>
        <v>45023.705264988399</v>
      </c>
      <c r="B848" s="1" t="str">
        <f ca="1">IFERROR(__xludf.DUMMYFUNCTION("""COMPUTED_VALUE"""),"India")</f>
        <v>India</v>
      </c>
      <c r="C848" s="1">
        <f ca="1">IFERROR(__xludf.DUMMYFUNCTION("""COMPUTED_VALUE"""),221103)</f>
        <v>221103</v>
      </c>
      <c r="D848" s="3" t="str">
        <f ca="1">IFERROR(__xludf.DUMMYFUNCTION("""COMPUTED_VALUE"""),"Male")</f>
        <v>Male</v>
      </c>
      <c r="E848" s="1" t="str">
        <f ca="1">IFERROR(__xludf.DUMMYFUNCTION("""COMPUTED_VALUE"""),"My Parents")</f>
        <v>My Parents</v>
      </c>
      <c r="F848" s="1" t="str">
        <f ca="1">IFERROR(__xludf.DUMMYFUNCTION("""COMPUTED_VALUE"""),"Yes, I will earn and do that")</f>
        <v>Yes, I will earn and do that</v>
      </c>
      <c r="G848" s="1" t="str">
        <f ca="1">IFERROR(__xludf.DUMMYFUNCTION("""COMPUTED_VALUE"""),"This will be hard to do, but if it is the right company I would try")</f>
        <v>This will be hard to do, but if it is the right company I would try</v>
      </c>
      <c r="H848" s="1" t="str">
        <f ca="1">IFERROR(__xludf.DUMMYFUNCTION("""COMPUTED_VALUE"""),"No")</f>
        <v>No</v>
      </c>
      <c r="I848" s="1" t="str">
        <f ca="1">IFERROR(__xludf.DUMMYFUNCTION("""COMPUTED_VALUE"""),"Will NOT work for them")</f>
        <v>Will NOT work for them</v>
      </c>
      <c r="J848" s="1">
        <f ca="1">IFERROR(__xludf.DUMMYFUNCTION("""COMPUTED_VALUE"""),1)</f>
        <v>1</v>
      </c>
      <c r="K848" s="1" t="str">
        <f ca="1">IFERROR(__xludf.DUMMYFUNCTION("""COMPUTED_VALUE"""),"Hybrid Working Environment with more than 15 days a month at office")</f>
        <v>Hybrid Working Environment with more than 15 days a month at office</v>
      </c>
      <c r="L848" s="1" t="str">
        <f ca="1">IFERROR(__xludf.DUMMYFUNCTION("""COMPUTED_VALUE"""),"Employer who pushes your limits by enabling an learning environment, and rewards you at the end")</f>
        <v>Employer who pushes your limits by enabling an learning environment, and rewards you at the end</v>
      </c>
      <c r="M84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8" s="1" t="str">
        <f ca="1">IFERROR(__xludf.DUMMYFUNCTION("""COMPUTED_VALUE"""),"Teaching in any of the institutes/colleges/online or offline, Business Operations in any organization, Become a content Creator in some platform, An Artificial Intelligence Specialist / Talking to Robots")</f>
        <v>Teaching in any of the institutes/colleges/online or offline, Business Operations in any organization, Become a content Creator in some platform, An Artificial Intelligence Specialist / Talking to Robots</v>
      </c>
      <c r="O848" s="1" t="str">
        <f ca="1">IFERROR(__xludf.DUMMYFUNCTION("""COMPUTED_VALUE"""),"Manager who explains what is expected, sets a goal and helps achieve it")</f>
        <v>Manager who explains what is expected, sets a goal and helps achieve it</v>
      </c>
      <c r="P848" s="1" t="str">
        <f ca="1">IFERROR(__xludf.DUMMYFUNCTION("""COMPUTED_VALUE"""),"Work with more than 10 people in my team")</f>
        <v>Work with more than 10 people in my team</v>
      </c>
      <c r="Q848" s="1"/>
    </row>
    <row r="849" spans="1:17" ht="13.2" x14ac:dyDescent="0.25">
      <c r="A849" s="2">
        <f ca="1">IFERROR(__xludf.DUMMYFUNCTION("""COMPUTED_VALUE"""),45023.7394117244)</f>
        <v>45023.739411724397</v>
      </c>
      <c r="B849" s="1" t="str">
        <f ca="1">IFERROR(__xludf.DUMMYFUNCTION("""COMPUTED_VALUE"""),"India")</f>
        <v>India</v>
      </c>
      <c r="C849" s="1">
        <f ca="1">IFERROR(__xludf.DUMMYFUNCTION("""COMPUTED_VALUE"""),221010)</f>
        <v>221010</v>
      </c>
      <c r="D849" s="3" t="str">
        <f ca="1">IFERROR(__xludf.DUMMYFUNCTION("""COMPUTED_VALUE"""),"Female")</f>
        <v>Female</v>
      </c>
      <c r="E849" s="1" t="str">
        <f ca="1">IFERROR(__xludf.DUMMYFUNCTION("""COMPUTED_VALUE"""),"People who have changed the world for better")</f>
        <v>People who have changed the world for better</v>
      </c>
      <c r="F849" s="1" t="str">
        <f ca="1">IFERROR(__xludf.DUMMYFUNCTION("""COMPUTED_VALUE"""),"No I would not be pursuing Higher Education outside of India")</f>
        <v>No I would not be pursuing Higher Education outside of India</v>
      </c>
      <c r="G849" s="1" t="str">
        <f ca="1">IFERROR(__xludf.DUMMYFUNCTION("""COMPUTED_VALUE"""),"This will be hard to do, but if it is the right company I would try")</f>
        <v>This will be hard to do, but if it is the right company I would try</v>
      </c>
      <c r="H849" s="1" t="str">
        <f ca="1">IFERROR(__xludf.DUMMYFUNCTION("""COMPUTED_VALUE"""),"No")</f>
        <v>No</v>
      </c>
      <c r="I849" s="1" t="str">
        <f ca="1">IFERROR(__xludf.DUMMYFUNCTION("""COMPUTED_VALUE"""),"Will NOT work for them")</f>
        <v>Will NOT work for them</v>
      </c>
      <c r="J849" s="1">
        <f ca="1">IFERROR(__xludf.DUMMYFUNCTION("""COMPUTED_VALUE"""),4)</f>
        <v>4</v>
      </c>
      <c r="K849" s="1" t="str">
        <f ca="1">IFERROR(__xludf.DUMMYFUNCTION("""COMPUTED_VALUE"""),"Fully Remote with Options to travel as and when needed")</f>
        <v>Fully Remote with Options to travel as and when needed</v>
      </c>
      <c r="L849" s="1" t="str">
        <f ca="1">IFERROR(__xludf.DUMMYFUNCTION("""COMPUTED_VALUE"""),"Employer who appreciates learning and enables that environment")</f>
        <v>Employer who appreciates learning and enables that environment</v>
      </c>
      <c r="M84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4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849" s="1" t="str">
        <f ca="1">IFERROR(__xludf.DUMMYFUNCTION("""COMPUTED_VALUE"""),"Manager who explains what is expected, sets a goal and helps achieve it")</f>
        <v>Manager who explains what is expected, sets a goal and helps achieve it</v>
      </c>
      <c r="P849" s="1" t="str">
        <f ca="1">IFERROR(__xludf.DUMMYFUNCTION("""COMPUTED_VALUE"""),"Work with 7 to 10 or more people in my team")</f>
        <v>Work with 7 to 10 or more people in my team</v>
      </c>
      <c r="Q849" s="1"/>
    </row>
    <row r="850" spans="1:17" ht="13.2" x14ac:dyDescent="0.25">
      <c r="A850" s="2">
        <f ca="1">IFERROR(__xludf.DUMMYFUNCTION("""COMPUTED_VALUE"""),45023.7433845023)</f>
        <v>45023.743384502297</v>
      </c>
      <c r="B850" s="1" t="str">
        <f ca="1">IFERROR(__xludf.DUMMYFUNCTION("""COMPUTED_VALUE"""),"India")</f>
        <v>India</v>
      </c>
      <c r="C850" s="1">
        <f ca="1">IFERROR(__xludf.DUMMYFUNCTION("""COMPUTED_VALUE"""),251001)</f>
        <v>251001</v>
      </c>
      <c r="D850" s="3" t="str">
        <f ca="1">IFERROR(__xludf.DUMMYFUNCTION("""COMPUTED_VALUE"""),"Female")</f>
        <v>Female</v>
      </c>
      <c r="E850" s="1" t="str">
        <f ca="1">IFERROR(__xludf.DUMMYFUNCTION("""COMPUTED_VALUE"""),"My Parents")</f>
        <v>My Parents</v>
      </c>
      <c r="F850" s="1" t="str">
        <f ca="1">IFERROR(__xludf.DUMMYFUNCTION("""COMPUTED_VALUE"""),"No I would not be pursuing Higher Education outside of India")</f>
        <v>No I would not be pursuing Higher Education outside of India</v>
      </c>
      <c r="G850" s="1" t="str">
        <f ca="1">IFERROR(__xludf.DUMMYFUNCTION("""COMPUTED_VALUE"""),"This will be hard to do, but if it is the right company I would try")</f>
        <v>This will be hard to do, but if it is the right company I would try</v>
      </c>
      <c r="H850" s="1" t="str">
        <f ca="1">IFERROR(__xludf.DUMMYFUNCTION("""COMPUTED_VALUE"""),"No")</f>
        <v>No</v>
      </c>
      <c r="I850" s="1" t="str">
        <f ca="1">IFERROR(__xludf.DUMMYFUNCTION("""COMPUTED_VALUE"""),"Will NOT work for them")</f>
        <v>Will NOT work for them</v>
      </c>
      <c r="J850" s="1">
        <f ca="1">IFERROR(__xludf.DUMMYFUNCTION("""COMPUTED_VALUE"""),4)</f>
        <v>4</v>
      </c>
      <c r="K850" s="1" t="str">
        <f ca="1">IFERROR(__xludf.DUMMYFUNCTION("""COMPUTED_VALUE"""),"Fully Remote with Options to travel as and when needed")</f>
        <v>Fully Remote with Options to travel as and when needed</v>
      </c>
      <c r="L850" s="1" t="str">
        <f ca="1">IFERROR(__xludf.DUMMYFUNCTION("""COMPUTED_VALUE"""),"Employer who appreciates learning and enables that environment")</f>
        <v>Employer who appreciates learning and enables that environment</v>
      </c>
      <c r="M8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0"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850" s="1" t="str">
        <f ca="1">IFERROR(__xludf.DUMMYFUNCTION("""COMPUTED_VALUE"""),"Manager who explains what is expected, sets a goal and helps achieve it")</f>
        <v>Manager who explains what is expected, sets a goal and helps achieve it</v>
      </c>
      <c r="P850" s="1" t="str">
        <f ca="1">IFERROR(__xludf.DUMMYFUNCTION("""COMPUTED_VALUE"""),"Work with 2 to 3 people in my team")</f>
        <v>Work with 2 to 3 people in my team</v>
      </c>
      <c r="Q850" s="1"/>
    </row>
    <row r="851" spans="1:17" ht="13.2" x14ac:dyDescent="0.25">
      <c r="A851" s="2">
        <f ca="1">IFERROR(__xludf.DUMMYFUNCTION("""COMPUTED_VALUE"""),45023.8195882638)</f>
        <v>45023.819588263803</v>
      </c>
      <c r="B851" s="1" t="str">
        <f ca="1">IFERROR(__xludf.DUMMYFUNCTION("""COMPUTED_VALUE"""),"India")</f>
        <v>India</v>
      </c>
      <c r="C851" s="1">
        <f ca="1">IFERROR(__xludf.DUMMYFUNCTION("""COMPUTED_VALUE"""),203001)</f>
        <v>203001</v>
      </c>
      <c r="D851" s="3" t="str">
        <f ca="1">IFERROR(__xludf.DUMMYFUNCTION("""COMPUTED_VALUE"""),"Female")</f>
        <v>Female</v>
      </c>
      <c r="E851" s="1" t="str">
        <f ca="1">IFERROR(__xludf.DUMMYFUNCTION("""COMPUTED_VALUE"""),"My Parents")</f>
        <v>My Parents</v>
      </c>
      <c r="F851" s="1" t="str">
        <f ca="1">IFERROR(__xludf.DUMMYFUNCTION("""COMPUTED_VALUE"""),"No I would not be pursuing Higher Education outside of India")</f>
        <v>No I would not be pursuing Higher Education outside of India</v>
      </c>
      <c r="G851" s="1" t="str">
        <f ca="1">IFERROR(__xludf.DUMMYFUNCTION("""COMPUTED_VALUE"""),"This will be hard to do, but if it is the right company I would try")</f>
        <v>This will be hard to do, but if it is the right company I would try</v>
      </c>
      <c r="H851" s="1" t="str">
        <f ca="1">IFERROR(__xludf.DUMMYFUNCTION("""COMPUTED_VALUE"""),"No")</f>
        <v>No</v>
      </c>
      <c r="I851" s="1" t="str">
        <f ca="1">IFERROR(__xludf.DUMMYFUNCTION("""COMPUTED_VALUE"""),"Will NOT work for them")</f>
        <v>Will NOT work for them</v>
      </c>
      <c r="J851" s="1">
        <f ca="1">IFERROR(__xludf.DUMMYFUNCTION("""COMPUTED_VALUE"""),5)</f>
        <v>5</v>
      </c>
      <c r="K851" s="1" t="str">
        <f ca="1">IFERROR(__xludf.DUMMYFUNCTION("""COMPUTED_VALUE"""),"Fully Remote with Options to travel as and when needed")</f>
        <v>Fully Remote with Options to travel as and when needed</v>
      </c>
      <c r="L851" s="1" t="str">
        <f ca="1">IFERROR(__xludf.DUMMYFUNCTION("""COMPUTED_VALUE"""),"Employer who pushes your limits by enabling an learning environment, and rewards you at the end")</f>
        <v>Employer who pushes your limits by enabling an learning environment, and rewards you at the end</v>
      </c>
      <c r="M851" s="1" t="str">
        <f ca="1">IFERROR(__xludf.DUMMYFUNCTION("""COMPUTED_VALUE"""),"Self Paced Learning Portals of the Company, Instructor or Expert Learning Programs, Manager Teaching you")</f>
        <v>Self Paced Learning Portals of the Company, Instructor or Expert Learning Programs, Manager Teaching you</v>
      </c>
      <c r="N85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51" s="1" t="str">
        <f ca="1">IFERROR(__xludf.DUMMYFUNCTION("""COMPUTED_VALUE"""),"Manager who explains what is expected, sets a goal and helps achieve it")</f>
        <v>Manager who explains what is expected, sets a goal and helps achieve it</v>
      </c>
      <c r="P851" s="1" t="str">
        <f ca="1">IFERROR(__xludf.DUMMYFUNCTION("""COMPUTED_VALUE"""),"Work with 2 to 3 people in my team")</f>
        <v>Work with 2 to 3 people in my team</v>
      </c>
      <c r="Q851" s="1"/>
    </row>
    <row r="852" spans="1:17" ht="13.2" x14ac:dyDescent="0.25">
      <c r="A852" s="2">
        <f ca="1">IFERROR(__xludf.DUMMYFUNCTION("""COMPUTED_VALUE"""),45023.8232391782)</f>
        <v>45023.8232391782</v>
      </c>
      <c r="B852" s="1" t="str">
        <f ca="1">IFERROR(__xludf.DUMMYFUNCTION("""COMPUTED_VALUE"""),"India")</f>
        <v>India</v>
      </c>
      <c r="C852" s="1">
        <f ca="1">IFERROR(__xludf.DUMMYFUNCTION("""COMPUTED_VALUE"""),522508)</f>
        <v>522508</v>
      </c>
      <c r="D852" s="3" t="str">
        <f ca="1">IFERROR(__xludf.DUMMYFUNCTION("""COMPUTED_VALUE"""),"Male")</f>
        <v>Male</v>
      </c>
      <c r="E852" s="1" t="str">
        <f ca="1">IFERROR(__xludf.DUMMYFUNCTION("""COMPUTED_VALUE"""),"My Parents")</f>
        <v>My Parents</v>
      </c>
      <c r="F852" s="1" t="str">
        <f ca="1">IFERROR(__xludf.DUMMYFUNCTION("""COMPUTED_VALUE"""),"No I would not be pursuing Higher Education outside of India")</f>
        <v>No I would not be pursuing Higher Education outside of India</v>
      </c>
      <c r="G852" s="1" t="str">
        <f ca="1">IFERROR(__xludf.DUMMYFUNCTION("""COMPUTED_VALUE"""),"Will work for 3 years or more")</f>
        <v>Will work for 3 years or more</v>
      </c>
      <c r="H852" s="1" t="str">
        <f ca="1">IFERROR(__xludf.DUMMYFUNCTION("""COMPUTED_VALUE"""),"Yes")</f>
        <v>Yes</v>
      </c>
      <c r="I852" s="1" t="str">
        <f ca="1">IFERROR(__xludf.DUMMYFUNCTION("""COMPUTED_VALUE"""),"Will work for them")</f>
        <v>Will work for them</v>
      </c>
      <c r="J852" s="1">
        <f ca="1">IFERROR(__xludf.DUMMYFUNCTION("""COMPUTED_VALUE"""),10)</f>
        <v>10</v>
      </c>
      <c r="K852" s="1" t="str">
        <f ca="1">IFERROR(__xludf.DUMMYFUNCTION("""COMPUTED_VALUE"""),"Every Day Office Environment")</f>
        <v>Every Day Office Environment</v>
      </c>
      <c r="L852" s="1" t="str">
        <f ca="1">IFERROR(__xludf.DUMMYFUNCTION("""COMPUTED_VALUE"""),"Employer who appreciates learning and enables that environment")</f>
        <v>Employer who appreciates learning and enables that environment</v>
      </c>
      <c r="M85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52" s="1" t="str">
        <f ca="1">IFERROR(__xludf.DUMMYFUNCTION("""COMPUTED_VALUE"""),"Teaching in any of the institutes/colleges/online or offline, Business Operations in any organization, Design and Develop amazing software, Work in a BPO setup for some well known client")</f>
        <v>Teaching in any of the institutes/colleges/online or offline, Business Operations in any organization, Design and Develop amazing software, Work in a BPO setup for some well known client</v>
      </c>
      <c r="O852" s="1" t="str">
        <f ca="1">IFERROR(__xludf.DUMMYFUNCTION("""COMPUTED_VALUE"""),"Manager who sets goal and helps me achieve it")</f>
        <v>Manager who sets goal and helps me achieve it</v>
      </c>
      <c r="P852" s="1" t="str">
        <f ca="1">IFERROR(__xludf.DUMMYFUNCTION("""COMPUTED_VALUE"""),"Work with more than 10 people in my team")</f>
        <v>Work with more than 10 people in my team</v>
      </c>
      <c r="Q852" s="1"/>
    </row>
    <row r="853" spans="1:17" ht="13.2" x14ac:dyDescent="0.25">
      <c r="A853" s="2">
        <f ca="1">IFERROR(__xludf.DUMMYFUNCTION("""COMPUTED_VALUE"""),45023.8238914236)</f>
        <v>45023.823891423599</v>
      </c>
      <c r="B853" s="1" t="str">
        <f ca="1">IFERROR(__xludf.DUMMYFUNCTION("""COMPUTED_VALUE"""),"India")</f>
        <v>India</v>
      </c>
      <c r="C853" s="1">
        <f ca="1">IFERROR(__xludf.DUMMYFUNCTION("""COMPUTED_VALUE"""),243006)</f>
        <v>243006</v>
      </c>
      <c r="D853" s="3" t="str">
        <f ca="1">IFERROR(__xludf.DUMMYFUNCTION("""COMPUTED_VALUE"""),"Male")</f>
        <v>Male</v>
      </c>
      <c r="E853" s="1" t="str">
        <f ca="1">IFERROR(__xludf.DUMMYFUNCTION("""COMPUTED_VALUE"""),"People who have changed the world for better")</f>
        <v>People who have changed the world for better</v>
      </c>
      <c r="F853" s="1" t="str">
        <f ca="1">IFERROR(__xludf.DUMMYFUNCTION("""COMPUTED_VALUE"""),"No I would not be pursuing Higher Education outside of India")</f>
        <v>No I would not be pursuing Higher Education outside of India</v>
      </c>
      <c r="G853" s="1" t="str">
        <f ca="1">IFERROR(__xludf.DUMMYFUNCTION("""COMPUTED_VALUE"""),"This will be hard to do, but if it is the right company I would try")</f>
        <v>This will be hard to do, but if it is the right company I would try</v>
      </c>
      <c r="H853" s="1" t="str">
        <f ca="1">IFERROR(__xludf.DUMMYFUNCTION("""COMPUTED_VALUE"""),"No")</f>
        <v>No</v>
      </c>
      <c r="I853" s="1" t="str">
        <f ca="1">IFERROR(__xludf.DUMMYFUNCTION("""COMPUTED_VALUE"""),"Will NOT work for them")</f>
        <v>Will NOT work for them</v>
      </c>
      <c r="J853" s="1">
        <f ca="1">IFERROR(__xludf.DUMMYFUNCTION("""COMPUTED_VALUE"""),1)</f>
        <v>1</v>
      </c>
      <c r="K853" s="1" t="str">
        <f ca="1">IFERROR(__xludf.DUMMYFUNCTION("""COMPUTED_VALUE"""),"Fully Remote with No option to visit offices")</f>
        <v>Fully Remote with No option to visit offices</v>
      </c>
      <c r="L853" s="1" t="str">
        <f ca="1">IFERROR(__xludf.DUMMYFUNCTION("""COMPUTED_VALUE"""),"Employer who appreciates learning and enables that environment")</f>
        <v>Employer who appreciates learning and enables that environment</v>
      </c>
      <c r="M8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53"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853" s="1" t="str">
        <f ca="1">IFERROR(__xludf.DUMMYFUNCTION("""COMPUTED_VALUE"""),"Manager who explains what is expected, sets a goal and helps achieve it")</f>
        <v>Manager who explains what is expected, sets a goal and helps achieve it</v>
      </c>
      <c r="P853" s="1" t="str">
        <f ca="1">IFERROR(__xludf.DUMMYFUNCTION("""COMPUTED_VALUE"""),"Work alone")</f>
        <v>Work alone</v>
      </c>
      <c r="Q853" s="1"/>
    </row>
    <row r="854" spans="1:17" ht="13.2" x14ac:dyDescent="0.25">
      <c r="A854" s="2">
        <f ca="1">IFERROR(__xludf.DUMMYFUNCTION("""COMPUTED_VALUE"""),45023.8248920254)</f>
        <v>45023.824892025397</v>
      </c>
      <c r="B854" s="1" t="str">
        <f ca="1">IFERROR(__xludf.DUMMYFUNCTION("""COMPUTED_VALUE"""),"India")</f>
        <v>India</v>
      </c>
      <c r="C854" s="1">
        <f ca="1">IFERROR(__xludf.DUMMYFUNCTION("""COMPUTED_VALUE"""),110076)</f>
        <v>110076</v>
      </c>
      <c r="D854" s="3" t="str">
        <f ca="1">IFERROR(__xludf.DUMMYFUNCTION("""COMPUTED_VALUE"""),"Female")</f>
        <v>Female</v>
      </c>
      <c r="E854" s="1" t="str">
        <f ca="1">IFERROR(__xludf.DUMMYFUNCTION("""COMPUTED_VALUE"""),"People who have changed the world for better")</f>
        <v>People who have changed the world for better</v>
      </c>
      <c r="F854" s="1" t="str">
        <f ca="1">IFERROR(__xludf.DUMMYFUNCTION("""COMPUTED_VALUE"""),"Yes, I will earn and do that")</f>
        <v>Yes, I will earn and do that</v>
      </c>
      <c r="G854" s="1" t="str">
        <f ca="1">IFERROR(__xludf.DUMMYFUNCTION("""COMPUTED_VALUE"""),"This will be hard to do, but if it is the right company I would try")</f>
        <v>This will be hard to do, but if it is the right company I would try</v>
      </c>
      <c r="H854" s="1" t="str">
        <f ca="1">IFERROR(__xludf.DUMMYFUNCTION("""COMPUTED_VALUE"""),"No")</f>
        <v>No</v>
      </c>
      <c r="I854" s="1" t="str">
        <f ca="1">IFERROR(__xludf.DUMMYFUNCTION("""COMPUTED_VALUE"""),"Will NOT work for them")</f>
        <v>Will NOT work for them</v>
      </c>
      <c r="J854" s="1">
        <f ca="1">IFERROR(__xludf.DUMMYFUNCTION("""COMPUTED_VALUE"""),6)</f>
        <v>6</v>
      </c>
      <c r="K854" s="1" t="str">
        <f ca="1">IFERROR(__xludf.DUMMYFUNCTION("""COMPUTED_VALUE"""),"Hybrid Working Environment with more than 15 days a month at office")</f>
        <v>Hybrid Working Environment with more than 15 days a month at office</v>
      </c>
      <c r="L854" s="1" t="str">
        <f ca="1">IFERROR(__xludf.DUMMYFUNCTION("""COMPUTED_VALUE"""),"Employer who pushes your limits by enabling an learning environment, and rewards you at the end")</f>
        <v>Employer who pushes your limits by enabling an learning environment, and rewards you at the end</v>
      </c>
      <c r="M85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54" s="1" t="str">
        <f ca="1">IFERROR(__xludf.DUMMYFUNCTION("""COMPUTED_VALUE"""),"Manager who explains what is expected, sets a goal and helps achieve it")</f>
        <v>Manager who explains what is expected, sets a goal and helps achieve it</v>
      </c>
      <c r="P854" s="1" t="str">
        <f ca="1">IFERROR(__xludf.DUMMYFUNCTION("""COMPUTED_VALUE"""),"Work with 5 to 6 people in my team")</f>
        <v>Work with 5 to 6 people in my team</v>
      </c>
      <c r="Q854" s="1"/>
    </row>
    <row r="855" spans="1:17" ht="13.2" x14ac:dyDescent="0.25">
      <c r="A855" s="2">
        <f ca="1">IFERROR(__xludf.DUMMYFUNCTION("""COMPUTED_VALUE"""),45023.8315256828)</f>
        <v>45023.831525682799</v>
      </c>
      <c r="B855" s="1" t="str">
        <f ca="1">IFERROR(__xludf.DUMMYFUNCTION("""COMPUTED_VALUE"""),"India")</f>
        <v>India</v>
      </c>
      <c r="C855" s="1">
        <f ca="1">IFERROR(__xludf.DUMMYFUNCTION("""COMPUTED_VALUE"""),227405)</f>
        <v>227405</v>
      </c>
      <c r="D855" s="3" t="str">
        <f ca="1">IFERROR(__xludf.DUMMYFUNCTION("""COMPUTED_VALUE"""),"Male")</f>
        <v>Male</v>
      </c>
      <c r="E855" s="1" t="str">
        <f ca="1">IFERROR(__xludf.DUMMYFUNCTION("""COMPUTED_VALUE"""),"Influencers who had successful careers")</f>
        <v>Influencers who had successful careers</v>
      </c>
      <c r="F855" s="1" t="str">
        <f ca="1">IFERROR(__xludf.DUMMYFUNCTION("""COMPUTED_VALUE"""),"Yes, I will earn and do that")</f>
        <v>Yes, I will earn and do that</v>
      </c>
      <c r="G855" s="1" t="str">
        <f ca="1">IFERROR(__xludf.DUMMYFUNCTION("""COMPUTED_VALUE"""),"Will work for 3 years or more")</f>
        <v>Will work for 3 years or more</v>
      </c>
      <c r="H855" s="1" t="str">
        <f ca="1">IFERROR(__xludf.DUMMYFUNCTION("""COMPUTED_VALUE"""),"No")</f>
        <v>No</v>
      </c>
      <c r="I855" s="1" t="str">
        <f ca="1">IFERROR(__xludf.DUMMYFUNCTION("""COMPUTED_VALUE"""),"Will work for them")</f>
        <v>Will work for them</v>
      </c>
      <c r="J855" s="1">
        <f ca="1">IFERROR(__xludf.DUMMYFUNCTION("""COMPUTED_VALUE"""),7)</f>
        <v>7</v>
      </c>
      <c r="K855" s="1" t="str">
        <f ca="1">IFERROR(__xludf.DUMMYFUNCTION("""COMPUTED_VALUE"""),"Hybrid Working Environment with more than 15 days a month at office")</f>
        <v>Hybrid Working Environment with more than 15 days a month at office</v>
      </c>
      <c r="L855" s="1" t="str">
        <f ca="1">IFERROR(__xludf.DUMMYFUNCTION("""COMPUTED_VALUE"""),"Employer who pushes your limits by enabling an learning environment, and rewards you at the end")</f>
        <v>Employer who pushes your limits by enabling an learning environment, and rewards you at the end</v>
      </c>
      <c r="M8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55" s="1" t="str">
        <f ca="1">IFERROR(__xludf.DUMMYFUNCTION("""COMPUTED_VALUE"""),"Manager who explains what is expected, sets a goal and helps achieve it")</f>
        <v>Manager who explains what is expected, sets a goal and helps achieve it</v>
      </c>
      <c r="P85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55" s="1"/>
    </row>
    <row r="856" spans="1:17" ht="13.2" x14ac:dyDescent="0.25">
      <c r="A856" s="2">
        <f ca="1">IFERROR(__xludf.DUMMYFUNCTION("""COMPUTED_VALUE"""),45023.8337852777)</f>
        <v>45023.833785277697</v>
      </c>
      <c r="B856" s="1" t="str">
        <f ca="1">IFERROR(__xludf.DUMMYFUNCTION("""COMPUTED_VALUE"""),"India")</f>
        <v>India</v>
      </c>
      <c r="C856" s="1">
        <f ca="1">IFERROR(__xludf.DUMMYFUNCTION("""COMPUTED_VALUE"""),110084)</f>
        <v>110084</v>
      </c>
      <c r="D856" s="3" t="str">
        <f ca="1">IFERROR(__xludf.DUMMYFUNCTION("""COMPUTED_VALUE"""),"Female")</f>
        <v>Female</v>
      </c>
      <c r="E856" s="1" t="str">
        <f ca="1">IFERROR(__xludf.DUMMYFUNCTION("""COMPUTED_VALUE"""),"My Parents")</f>
        <v>My Parents</v>
      </c>
      <c r="F856" s="1" t="str">
        <f ca="1">IFERROR(__xludf.DUMMYFUNCTION("""COMPUTED_VALUE"""),"No I would not be pursuing Higher Education outside of India")</f>
        <v>No I would not be pursuing Higher Education outside of India</v>
      </c>
      <c r="G856" s="1" t="str">
        <f ca="1">IFERROR(__xludf.DUMMYFUNCTION("""COMPUTED_VALUE"""),"This will be hard to do, but if it is the right company I would try")</f>
        <v>This will be hard to do, but if it is the right company I would try</v>
      </c>
      <c r="H856" s="1" t="str">
        <f ca="1">IFERROR(__xludf.DUMMYFUNCTION("""COMPUTED_VALUE"""),"No")</f>
        <v>No</v>
      </c>
      <c r="I856" s="1" t="str">
        <f ca="1">IFERROR(__xludf.DUMMYFUNCTION("""COMPUTED_VALUE"""),"Will NOT work for them")</f>
        <v>Will NOT work for them</v>
      </c>
      <c r="J856" s="1">
        <f ca="1">IFERROR(__xludf.DUMMYFUNCTION("""COMPUTED_VALUE"""),6)</f>
        <v>6</v>
      </c>
      <c r="K856" s="1" t="str">
        <f ca="1">IFERROR(__xludf.DUMMYFUNCTION("""COMPUTED_VALUE"""),"Hybrid Working Environment with more than 15 days a month at office")</f>
        <v>Hybrid Working Environment with more than 15 days a month at office</v>
      </c>
      <c r="L856" s="1" t="str">
        <f ca="1">IFERROR(__xludf.DUMMYFUNCTION("""COMPUTED_VALUE"""),"Employer who pushes your limits by enabling an learning environment, and rewards you at the end")</f>
        <v>Employer who pushes your limits by enabling an learning environment, and rewards you at the end</v>
      </c>
      <c r="M85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56"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56" s="1" t="str">
        <f ca="1">IFERROR(__xludf.DUMMYFUNCTION("""COMPUTED_VALUE"""),"Manager who explains what is expected, sets a goal and helps achieve it")</f>
        <v>Manager who explains what is expected, sets a goal and helps achieve it</v>
      </c>
      <c r="P856" s="1" t="str">
        <f ca="1">IFERROR(__xludf.DUMMYFUNCTION("""COMPUTED_VALUE"""),"Work with 2 to 3 people in my team, Work with 5 to 6 people in my team")</f>
        <v>Work with 2 to 3 people in my team, Work with 5 to 6 people in my team</v>
      </c>
      <c r="Q856" s="1"/>
    </row>
    <row r="857" spans="1:17" ht="13.2" x14ac:dyDescent="0.25">
      <c r="A857" s="2">
        <f ca="1">IFERROR(__xludf.DUMMYFUNCTION("""COMPUTED_VALUE"""),45023.8368476851)</f>
        <v>45023.836847685103</v>
      </c>
      <c r="B857" s="1" t="str">
        <f ca="1">IFERROR(__xludf.DUMMYFUNCTION("""COMPUTED_VALUE"""),"India")</f>
        <v>India</v>
      </c>
      <c r="C857" s="1" t="str">
        <f ca="1">IFERROR(__xludf.DUMMYFUNCTION("""COMPUTED_VALUE"""),"0129")</f>
        <v>0129</v>
      </c>
      <c r="D857" s="3" t="str">
        <f ca="1">IFERROR(__xludf.DUMMYFUNCTION("""COMPUTED_VALUE"""),"Male")</f>
        <v>Male</v>
      </c>
      <c r="E857" s="1" t="str">
        <f ca="1">IFERROR(__xludf.DUMMYFUNCTION("""COMPUTED_VALUE"""),"People from my circle, but not family members")</f>
        <v>People from my circle, but not family members</v>
      </c>
      <c r="F857" s="1" t="str">
        <f ca="1">IFERROR(__xludf.DUMMYFUNCTION("""COMPUTED_VALUE"""),"Yes, I will earn and do that")</f>
        <v>Yes, I will earn and do that</v>
      </c>
      <c r="G857" s="1" t="str">
        <f ca="1">IFERROR(__xludf.DUMMYFUNCTION("""COMPUTED_VALUE"""),"This will be hard to do, but if it is the right company I would try")</f>
        <v>This will be hard to do, but if it is the right company I would try</v>
      </c>
      <c r="H857" s="1" t="str">
        <f ca="1">IFERROR(__xludf.DUMMYFUNCTION("""COMPUTED_VALUE"""),"Yes")</f>
        <v>Yes</v>
      </c>
      <c r="I857" s="1" t="str">
        <f ca="1">IFERROR(__xludf.DUMMYFUNCTION("""COMPUTED_VALUE"""),"Will NOT work for them")</f>
        <v>Will NOT work for them</v>
      </c>
      <c r="J857" s="1">
        <f ca="1">IFERROR(__xludf.DUMMYFUNCTION("""COMPUTED_VALUE"""),10)</f>
        <v>10</v>
      </c>
      <c r="K857" s="1" t="str">
        <f ca="1">IFERROR(__xludf.DUMMYFUNCTION("""COMPUTED_VALUE"""),"Hybrid Working Environment with more than 15 days a month at office")</f>
        <v>Hybrid Working Environment with more than 15 days a month at office</v>
      </c>
      <c r="L857" s="1" t="str">
        <f ca="1">IFERROR(__xludf.DUMMYFUNCTION("""COMPUTED_VALUE"""),"Employer who pushes your limits by enabling an learning environment, and rewards you at the end")</f>
        <v>Employer who pushes your limits by enabling an learning environment, and rewards you at the end</v>
      </c>
      <c r="M857" s="1" t="str">
        <f ca="1">IFERROR(__xludf.DUMMYFUNCTION("""COMPUTED_VALUE"""),"Instructor or Expert Learning Programs, Learning by observing others, Manager Teaching you")</f>
        <v>Instructor or Expert Learning Programs, Learning by observing others, Manager Teaching you</v>
      </c>
      <c r="N857" s="1" t="str">
        <f ca="1">IFERROR(__xludf.DUMMYFUNCTION("""COMPUTED_VALUE"""),"Design and Creative strategy in any company, Teaching in any of the institutes/colleges/online or offline, Manage and drive End-to-End Projects or Products, Manufacturing / Oil and Gas/ Construction / Hard Physical Work related")</f>
        <v>Design and Creative strategy in any company, Teaching in any of the institutes/colleges/online or offline, Manage and drive End-to-End Projects or Products, Manufacturing / Oil and Gas/ Construction / Hard Physical Work related</v>
      </c>
      <c r="O857" s="1" t="str">
        <f ca="1">IFERROR(__xludf.DUMMYFUNCTION("""COMPUTED_VALUE"""),"Manager who sets goal and helps me achieve it")</f>
        <v>Manager who sets goal and helps me achieve it</v>
      </c>
      <c r="P85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57" s="1"/>
    </row>
    <row r="858" spans="1:17" ht="13.2" x14ac:dyDescent="0.25">
      <c r="A858" s="2">
        <f ca="1">IFERROR(__xludf.DUMMYFUNCTION("""COMPUTED_VALUE"""),45023.8377436458)</f>
        <v>45023.837743645803</v>
      </c>
      <c r="B858" s="1" t="str">
        <f ca="1">IFERROR(__xludf.DUMMYFUNCTION("""COMPUTED_VALUE"""),"India")</f>
        <v>India</v>
      </c>
      <c r="C858" s="1">
        <f ca="1">IFERROR(__xludf.DUMMYFUNCTION("""COMPUTED_VALUE"""),517501)</f>
        <v>517501</v>
      </c>
      <c r="D858" s="3" t="str">
        <f ca="1">IFERROR(__xludf.DUMMYFUNCTION("""COMPUTED_VALUE"""),"Female")</f>
        <v>Female</v>
      </c>
      <c r="E858" s="1" t="str">
        <f ca="1">IFERROR(__xludf.DUMMYFUNCTION("""COMPUTED_VALUE"""),"My Parents")</f>
        <v>My Parents</v>
      </c>
      <c r="F858" s="1" t="str">
        <f ca="1">IFERROR(__xludf.DUMMYFUNCTION("""COMPUTED_VALUE"""),"No, But if someone could bare the cost I will")</f>
        <v>No, But if someone could bare the cost I will</v>
      </c>
      <c r="G858" s="1" t="str">
        <f ca="1">IFERROR(__xludf.DUMMYFUNCTION("""COMPUTED_VALUE"""),"This will be hard to do, but if it is the right company I would try")</f>
        <v>This will be hard to do, but if it is the right company I would try</v>
      </c>
      <c r="H858" s="1" t="str">
        <f ca="1">IFERROR(__xludf.DUMMYFUNCTION("""COMPUTED_VALUE"""),"No")</f>
        <v>No</v>
      </c>
      <c r="I858" s="1" t="str">
        <f ca="1">IFERROR(__xludf.DUMMYFUNCTION("""COMPUTED_VALUE"""),"Will NOT work for them")</f>
        <v>Will NOT work for them</v>
      </c>
      <c r="J858" s="1">
        <f ca="1">IFERROR(__xludf.DUMMYFUNCTION("""COMPUTED_VALUE"""),7)</f>
        <v>7</v>
      </c>
      <c r="K858" s="1" t="str">
        <f ca="1">IFERROR(__xludf.DUMMYFUNCTION("""COMPUTED_VALUE"""),"Every Day Office Environment")</f>
        <v>Every Day Office Environment</v>
      </c>
      <c r="L858" s="1" t="str">
        <f ca="1">IFERROR(__xludf.DUMMYFUNCTION("""COMPUTED_VALUE"""),"Employer who pushes your limits by enabling an learning environment, and rewards you at the end")</f>
        <v>Employer who pushes your limits by enabling an learning environment, and rewards you at the end</v>
      </c>
      <c r="M85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8"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858" s="1" t="str">
        <f ca="1">IFERROR(__xludf.DUMMYFUNCTION("""COMPUTED_VALUE"""),"Manager who sets goal and helps me achieve it")</f>
        <v>Manager who sets goal and helps me achieve it</v>
      </c>
      <c r="P858" s="1" t="str">
        <f ca="1">IFERROR(__xludf.DUMMYFUNCTION("""COMPUTED_VALUE"""),"Work with 5 to 6 people in my team")</f>
        <v>Work with 5 to 6 people in my team</v>
      </c>
      <c r="Q858" s="1"/>
    </row>
    <row r="859" spans="1:17" ht="13.2" x14ac:dyDescent="0.25">
      <c r="A859" s="2">
        <f ca="1">IFERROR(__xludf.DUMMYFUNCTION("""COMPUTED_VALUE"""),45023.8448366782)</f>
        <v>45023.844836678203</v>
      </c>
      <c r="B859" s="1" t="str">
        <f ca="1">IFERROR(__xludf.DUMMYFUNCTION("""COMPUTED_VALUE"""),"India")</f>
        <v>India</v>
      </c>
      <c r="C859" s="1">
        <f ca="1">IFERROR(__xludf.DUMMYFUNCTION("""COMPUTED_VALUE"""),517503)</f>
        <v>517503</v>
      </c>
      <c r="D859" s="3" t="str">
        <f ca="1">IFERROR(__xludf.DUMMYFUNCTION("""COMPUTED_VALUE"""),"Female")</f>
        <v>Female</v>
      </c>
      <c r="E859" s="1" t="str">
        <f ca="1">IFERROR(__xludf.DUMMYFUNCTION("""COMPUTED_VALUE"""),"Influencers who had successful careers")</f>
        <v>Influencers who had successful careers</v>
      </c>
      <c r="F859" s="1" t="str">
        <f ca="1">IFERROR(__xludf.DUMMYFUNCTION("""COMPUTED_VALUE"""),"Yes, I will earn and do that")</f>
        <v>Yes, I will earn and do that</v>
      </c>
      <c r="G859" s="1" t="str">
        <f ca="1">IFERROR(__xludf.DUMMYFUNCTION("""COMPUTED_VALUE"""),"This will be hard to do, but if it is the right company I would try")</f>
        <v>This will be hard to do, but if it is the right company I would try</v>
      </c>
      <c r="H859" s="1" t="str">
        <f ca="1">IFERROR(__xludf.DUMMYFUNCTION("""COMPUTED_VALUE"""),"No")</f>
        <v>No</v>
      </c>
      <c r="I859" s="1" t="str">
        <f ca="1">IFERROR(__xludf.DUMMYFUNCTION("""COMPUTED_VALUE"""),"Will NOT work for them")</f>
        <v>Will NOT work for them</v>
      </c>
      <c r="J859" s="1">
        <f ca="1">IFERROR(__xludf.DUMMYFUNCTION("""COMPUTED_VALUE"""),4)</f>
        <v>4</v>
      </c>
      <c r="K859" s="1" t="str">
        <f ca="1">IFERROR(__xludf.DUMMYFUNCTION("""COMPUTED_VALUE"""),"Every Day Office Environment")</f>
        <v>Every Day Office Environment</v>
      </c>
      <c r="L859" s="1" t="str">
        <f ca="1">IFERROR(__xludf.DUMMYFUNCTION("""COMPUTED_VALUE"""),"Employer who appreciates learning and enables that environment")</f>
        <v>Employer who appreciates learning and enables that environment</v>
      </c>
      <c r="M85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85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859" s="1" t="str">
        <f ca="1">IFERROR(__xludf.DUMMYFUNCTION("""COMPUTED_VALUE"""),"Manager who explains what is expected, sets a goal and helps achieve it")</f>
        <v>Manager who explains what is expected, sets a goal and helps achieve it</v>
      </c>
      <c r="P859" s="1" t="str">
        <f ca="1">IFERROR(__xludf.DUMMYFUNCTION("""COMPUTED_VALUE"""),"Work with 5 to 6 people in my team")</f>
        <v>Work with 5 to 6 people in my team</v>
      </c>
      <c r="Q859" s="1"/>
    </row>
    <row r="860" spans="1:17" ht="13.2" x14ac:dyDescent="0.25">
      <c r="A860" s="2">
        <f ca="1">IFERROR(__xludf.DUMMYFUNCTION("""COMPUTED_VALUE"""),45023.8545601504)</f>
        <v>45023.854560150401</v>
      </c>
      <c r="B860" s="1" t="str">
        <f ca="1">IFERROR(__xludf.DUMMYFUNCTION("""COMPUTED_VALUE"""),"India")</f>
        <v>India</v>
      </c>
      <c r="C860" s="1">
        <f ca="1">IFERROR(__xludf.DUMMYFUNCTION("""COMPUTED_VALUE"""),560087)</f>
        <v>560087</v>
      </c>
      <c r="D860" s="3" t="str">
        <f ca="1">IFERROR(__xludf.DUMMYFUNCTION("""COMPUTED_VALUE"""),"Male")</f>
        <v>Male</v>
      </c>
      <c r="E860" s="1" t="str">
        <f ca="1">IFERROR(__xludf.DUMMYFUNCTION("""COMPUTED_VALUE"""),"People from my circle, but not family members")</f>
        <v>People from my circle, but not family members</v>
      </c>
      <c r="F860" s="1" t="str">
        <f ca="1">IFERROR(__xludf.DUMMYFUNCTION("""COMPUTED_VALUE"""),"Yes, I will earn and do that")</f>
        <v>Yes, I will earn and do that</v>
      </c>
      <c r="G860" s="1" t="str">
        <f ca="1">IFERROR(__xludf.DUMMYFUNCTION("""COMPUTED_VALUE"""),"Will work for 3 years or more")</f>
        <v>Will work for 3 years or more</v>
      </c>
      <c r="H860" s="1" t="str">
        <f ca="1">IFERROR(__xludf.DUMMYFUNCTION("""COMPUTED_VALUE"""),"Yes")</f>
        <v>Yes</v>
      </c>
      <c r="I860" s="1" t="str">
        <f ca="1">IFERROR(__xludf.DUMMYFUNCTION("""COMPUTED_VALUE"""),"Will NOT work for them")</f>
        <v>Will NOT work for them</v>
      </c>
      <c r="J860" s="1">
        <f ca="1">IFERROR(__xludf.DUMMYFUNCTION("""COMPUTED_VALUE"""),6)</f>
        <v>6</v>
      </c>
      <c r="K860" s="1" t="str">
        <f ca="1">IFERROR(__xludf.DUMMYFUNCTION("""COMPUTED_VALUE"""),"Hybrid Working Environment with more than 15 days a month at office")</f>
        <v>Hybrid Working Environment with more than 15 days a month at office</v>
      </c>
      <c r="L860" s="1" t="str">
        <f ca="1">IFERROR(__xludf.DUMMYFUNCTION("""COMPUTED_VALUE"""),"Employer who pushes your limits by enabling an learning environment, and rewards you at the end")</f>
        <v>Employer who pushes your limits by enabling an learning environment, and rewards you at the end</v>
      </c>
      <c r="M86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60"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60" s="1" t="str">
        <f ca="1">IFERROR(__xludf.DUMMYFUNCTION("""COMPUTED_VALUE"""),"Manager who explains what is expected, sets a goal and helps achieve it")</f>
        <v>Manager who explains what is expected, sets a goal and helps achieve it</v>
      </c>
      <c r="P860" s="1" t="str">
        <f ca="1">IFERROR(__xludf.DUMMYFUNCTION("""COMPUTED_VALUE"""),"Work with 7 to 10 or more people in my team, Work with more than 10 people in my team")</f>
        <v>Work with 7 to 10 or more people in my team, Work with more than 10 people in my team</v>
      </c>
      <c r="Q860" s="1"/>
    </row>
    <row r="861" spans="1:17" ht="13.2" x14ac:dyDescent="0.25">
      <c r="A861" s="2">
        <f ca="1">IFERROR(__xludf.DUMMYFUNCTION("""COMPUTED_VALUE"""),45023.8568832175)</f>
        <v>45023.856883217501</v>
      </c>
      <c r="B861" s="1" t="str">
        <f ca="1">IFERROR(__xludf.DUMMYFUNCTION("""COMPUTED_VALUE"""),"India")</f>
        <v>India</v>
      </c>
      <c r="C861" s="1">
        <f ca="1">IFERROR(__xludf.DUMMYFUNCTION("""COMPUTED_VALUE"""),517510)</f>
        <v>517510</v>
      </c>
      <c r="D861" s="3" t="str">
        <f ca="1">IFERROR(__xludf.DUMMYFUNCTION("""COMPUTED_VALUE"""),"Female")</f>
        <v>Female</v>
      </c>
      <c r="E861" s="1" t="str">
        <f ca="1">IFERROR(__xludf.DUMMYFUNCTION("""COMPUTED_VALUE"""),"Social Media like LinkedIn")</f>
        <v>Social Media like LinkedIn</v>
      </c>
      <c r="F861" s="1" t="str">
        <f ca="1">IFERROR(__xludf.DUMMYFUNCTION("""COMPUTED_VALUE"""),"Yes, I will earn and do that")</f>
        <v>Yes, I will earn and do that</v>
      </c>
      <c r="G861" s="1" t="str">
        <f ca="1">IFERROR(__xludf.DUMMYFUNCTION("""COMPUTED_VALUE"""),"Will work for 3 years or more")</f>
        <v>Will work for 3 years or more</v>
      </c>
      <c r="H861" s="1" t="str">
        <f ca="1">IFERROR(__xludf.DUMMYFUNCTION("""COMPUTED_VALUE"""),"No")</f>
        <v>No</v>
      </c>
      <c r="I861" s="1" t="str">
        <f ca="1">IFERROR(__xludf.DUMMYFUNCTION("""COMPUTED_VALUE"""),"Will NOT work for them")</f>
        <v>Will NOT work for them</v>
      </c>
      <c r="J861" s="1">
        <f ca="1">IFERROR(__xludf.DUMMYFUNCTION("""COMPUTED_VALUE"""),10)</f>
        <v>10</v>
      </c>
      <c r="K861" s="1" t="str">
        <f ca="1">IFERROR(__xludf.DUMMYFUNCTION("""COMPUTED_VALUE"""),"Fully Remote with No option to visit offices")</f>
        <v>Fully Remote with No option to visit offices</v>
      </c>
      <c r="L861" s="1" t="str">
        <f ca="1">IFERROR(__xludf.DUMMYFUNCTION("""COMPUTED_VALUE"""),"Employers who appreciates learning but doesn't enables an learning environment")</f>
        <v>Employers who appreciates learning but doesn't enables an learning environment</v>
      </c>
      <c r="M861"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86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861" s="1" t="str">
        <f ca="1">IFERROR(__xludf.DUMMYFUNCTION("""COMPUTED_VALUE"""),"Manager who sets unrealistic targets")</f>
        <v>Manager who sets unrealistic targets</v>
      </c>
      <c r="P861" s="1" t="str">
        <f ca="1">IFERROR(__xludf.DUMMYFUNCTION("""COMPUTED_VALUE"""),"Work with more than 10 people in my team")</f>
        <v>Work with more than 10 people in my team</v>
      </c>
      <c r="Q861" s="1"/>
    </row>
    <row r="862" spans="1:17" ht="13.2" x14ac:dyDescent="0.25">
      <c r="A862" s="2">
        <f ca="1">IFERROR(__xludf.DUMMYFUNCTION("""COMPUTED_VALUE"""),45023.8649776157)</f>
        <v>45023.864977615704</v>
      </c>
      <c r="B862" s="1" t="str">
        <f ca="1">IFERROR(__xludf.DUMMYFUNCTION("""COMPUTED_VALUE"""),"India")</f>
        <v>India</v>
      </c>
      <c r="C862" s="1">
        <f ca="1">IFERROR(__xludf.DUMMYFUNCTION("""COMPUTED_VALUE"""),560087)</f>
        <v>560087</v>
      </c>
      <c r="D862" s="3" t="str">
        <f ca="1">IFERROR(__xludf.DUMMYFUNCTION("""COMPUTED_VALUE"""),"Female")</f>
        <v>Female</v>
      </c>
      <c r="E862" s="1" t="str">
        <f ca="1">IFERROR(__xludf.DUMMYFUNCTION("""COMPUTED_VALUE"""),"People who have changed the world for better")</f>
        <v>People who have changed the world for better</v>
      </c>
      <c r="F862" s="1" t="str">
        <f ca="1">IFERROR(__xludf.DUMMYFUNCTION("""COMPUTED_VALUE"""),"No, But if someone could bare the cost I will")</f>
        <v>No, But if someone could bare the cost I will</v>
      </c>
      <c r="G862" s="1" t="str">
        <f ca="1">IFERROR(__xludf.DUMMYFUNCTION("""COMPUTED_VALUE"""),"Will work for 3 years or more")</f>
        <v>Will work for 3 years or more</v>
      </c>
      <c r="H862" s="1" t="str">
        <f ca="1">IFERROR(__xludf.DUMMYFUNCTION("""COMPUTED_VALUE"""),"Yes")</f>
        <v>Yes</v>
      </c>
      <c r="I862" s="1" t="str">
        <f ca="1">IFERROR(__xludf.DUMMYFUNCTION("""COMPUTED_VALUE"""),"Will NOT work for them")</f>
        <v>Will NOT work for them</v>
      </c>
      <c r="J862" s="1">
        <f ca="1">IFERROR(__xludf.DUMMYFUNCTION("""COMPUTED_VALUE"""),7)</f>
        <v>7</v>
      </c>
      <c r="K862" s="1" t="str">
        <f ca="1">IFERROR(__xludf.DUMMYFUNCTION("""COMPUTED_VALUE"""),"Hybrid Working Environment with less than 3 days a month at office")</f>
        <v>Hybrid Working Environment with less than 3 days a month at office</v>
      </c>
      <c r="L862" s="1" t="str">
        <f ca="1">IFERROR(__xludf.DUMMYFUNCTION("""COMPUTED_VALUE"""),"Employer who appreciates learning and enables that environment")</f>
        <v>Employer who appreciates learning and enables that environment</v>
      </c>
      <c r="M8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62"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862" s="1" t="str">
        <f ca="1">IFERROR(__xludf.DUMMYFUNCTION("""COMPUTED_VALUE"""),"Manager who explains what is expected, sets a goal and helps achieve it")</f>
        <v>Manager who explains what is expected, sets a goal and helps achieve it</v>
      </c>
      <c r="P862" s="1" t="str">
        <f ca="1">IFERROR(__xludf.DUMMYFUNCTION("""COMPUTED_VALUE"""),"Work with more than 10 people in my team")</f>
        <v>Work with more than 10 people in my team</v>
      </c>
      <c r="Q862" s="1"/>
    </row>
    <row r="863" spans="1:17" ht="13.2" x14ac:dyDescent="0.25">
      <c r="A863" s="2">
        <f ca="1">IFERROR(__xludf.DUMMYFUNCTION("""COMPUTED_VALUE"""),45023.8753691435)</f>
        <v>45023.875369143498</v>
      </c>
      <c r="B863" s="1" t="s">
        <v>6</v>
      </c>
      <c r="C863" s="1">
        <f ca="1">IFERROR(__xludf.DUMMYFUNCTION("""COMPUTED_VALUE"""),99010)</f>
        <v>99010</v>
      </c>
      <c r="D863" s="3" t="str">
        <f ca="1">IFERROR(__xludf.DUMMYFUNCTION("""COMPUTED_VALUE"""),"Male")</f>
        <v>Male</v>
      </c>
      <c r="E863" s="1" t="str">
        <f ca="1">IFERROR(__xludf.DUMMYFUNCTION("""COMPUTED_VALUE"""),"My Parents")</f>
        <v>My Parents</v>
      </c>
      <c r="F863" s="1" t="str">
        <f ca="1">IFERROR(__xludf.DUMMYFUNCTION("""COMPUTED_VALUE"""),"No I would not be pursuing Higher Education outside of India")</f>
        <v>No I would not be pursuing Higher Education outside of India</v>
      </c>
      <c r="G863" s="1" t="str">
        <f ca="1">IFERROR(__xludf.DUMMYFUNCTION("""COMPUTED_VALUE"""),"This will be hard to do, but if it is the right company I would try")</f>
        <v>This will be hard to do, but if it is the right company I would try</v>
      </c>
      <c r="H863" s="1" t="str">
        <f ca="1">IFERROR(__xludf.DUMMYFUNCTION("""COMPUTED_VALUE"""),"No")</f>
        <v>No</v>
      </c>
      <c r="I863" s="1" t="str">
        <f ca="1">IFERROR(__xludf.DUMMYFUNCTION("""COMPUTED_VALUE"""),"Will NOT work for them")</f>
        <v>Will NOT work for them</v>
      </c>
      <c r="J863" s="1">
        <f ca="1">IFERROR(__xludf.DUMMYFUNCTION("""COMPUTED_VALUE"""),5)</f>
        <v>5</v>
      </c>
      <c r="K863" s="1" t="str">
        <f ca="1">IFERROR(__xludf.DUMMYFUNCTION("""COMPUTED_VALUE"""),"Fully Remote with Options to travel as and when needed")</f>
        <v>Fully Remote with Options to travel as and when needed</v>
      </c>
      <c r="L863" s="1" t="str">
        <f ca="1">IFERROR(__xludf.DUMMYFUNCTION("""COMPUTED_VALUE"""),"Employer who rewards learning and enables that environment")</f>
        <v>Employer who rewards learning and enables that environment</v>
      </c>
      <c r="M8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63"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863" s="1" t="str">
        <f ca="1">IFERROR(__xludf.DUMMYFUNCTION("""COMPUTED_VALUE"""),"Manager who clearly describes what she/he needs")</f>
        <v>Manager who clearly describes what she/he needs</v>
      </c>
      <c r="P863" s="1" t="str">
        <f ca="1">IFERROR(__xludf.DUMMYFUNCTION("""COMPUTED_VALUE"""),"Work with 2 to 3 people in my team")</f>
        <v>Work with 2 to 3 people in my team</v>
      </c>
      <c r="Q863" s="1"/>
    </row>
    <row r="864" spans="1:17" ht="13.2" x14ac:dyDescent="0.25">
      <c r="A864" s="2">
        <f ca="1">IFERROR(__xludf.DUMMYFUNCTION("""COMPUTED_VALUE"""),45023.8797899421)</f>
        <v>45023.879789942097</v>
      </c>
      <c r="B864" s="1" t="str">
        <f ca="1">IFERROR(__xludf.DUMMYFUNCTION("""COMPUTED_VALUE"""),"India")</f>
        <v>India</v>
      </c>
      <c r="C864" s="1">
        <f ca="1">IFERROR(__xludf.DUMMYFUNCTION("""COMPUTED_VALUE"""),110053)</f>
        <v>110053</v>
      </c>
      <c r="D864" s="3" t="str">
        <f ca="1">IFERROR(__xludf.DUMMYFUNCTION("""COMPUTED_VALUE"""),"Male")</f>
        <v>Male</v>
      </c>
      <c r="E864" s="1" t="str">
        <f ca="1">IFERROR(__xludf.DUMMYFUNCTION("""COMPUTED_VALUE"""),"My Parents")</f>
        <v>My Parents</v>
      </c>
      <c r="F864" s="1" t="str">
        <f ca="1">IFERROR(__xludf.DUMMYFUNCTION("""COMPUTED_VALUE"""),"No I would not be pursuing Higher Education outside of India")</f>
        <v>No I would not be pursuing Higher Education outside of India</v>
      </c>
      <c r="G864" s="1" t="str">
        <f ca="1">IFERROR(__xludf.DUMMYFUNCTION("""COMPUTED_VALUE"""),"This will be hard to do, but if it is the right company I would try")</f>
        <v>This will be hard to do, but if it is the right company I would try</v>
      </c>
      <c r="H864" s="1" t="str">
        <f ca="1">IFERROR(__xludf.DUMMYFUNCTION("""COMPUTED_VALUE"""),"No")</f>
        <v>No</v>
      </c>
      <c r="I864" s="1" t="str">
        <f ca="1">IFERROR(__xludf.DUMMYFUNCTION("""COMPUTED_VALUE"""),"Will NOT work for them")</f>
        <v>Will NOT work for them</v>
      </c>
      <c r="J864" s="1">
        <f ca="1">IFERROR(__xludf.DUMMYFUNCTION("""COMPUTED_VALUE"""),3)</f>
        <v>3</v>
      </c>
      <c r="K864" s="1" t="str">
        <f ca="1">IFERROR(__xludf.DUMMYFUNCTION("""COMPUTED_VALUE"""),"Hybrid Working Environment with more than 15 days a month at office")</f>
        <v>Hybrid Working Environment with more than 15 days a month at office</v>
      </c>
      <c r="L864" s="1" t="str">
        <f ca="1">IFERROR(__xludf.DUMMYFUNCTION("""COMPUTED_VALUE"""),"Employer who pushes your limits by enabling an learning environment, and rewards you at the end")</f>
        <v>Employer who pushes your limits by enabling an learning environment, and rewards you at the end</v>
      </c>
      <c r="M8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6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864" s="1" t="str">
        <f ca="1">IFERROR(__xludf.DUMMYFUNCTION("""COMPUTED_VALUE"""),"Manager who clearly describes what she/he needs")</f>
        <v>Manager who clearly describes what she/he needs</v>
      </c>
      <c r="P864" s="1" t="str">
        <f ca="1">IFERROR(__xludf.DUMMYFUNCTION("""COMPUTED_VALUE"""),"Work with 5 to 6 people in my team")</f>
        <v>Work with 5 to 6 people in my team</v>
      </c>
      <c r="Q864" s="1"/>
    </row>
    <row r="865" spans="1:17" ht="13.2" x14ac:dyDescent="0.25">
      <c r="A865" s="2">
        <f ca="1">IFERROR(__xludf.DUMMYFUNCTION("""COMPUTED_VALUE"""),45023.8871960995)</f>
        <v>45023.887196099502</v>
      </c>
      <c r="B865" s="1" t="str">
        <f ca="1">IFERROR(__xludf.DUMMYFUNCTION("""COMPUTED_VALUE"""),"India")</f>
        <v>India</v>
      </c>
      <c r="C865" s="1">
        <f ca="1">IFERROR(__xludf.DUMMYFUNCTION("""COMPUTED_VALUE"""),283204)</f>
        <v>283204</v>
      </c>
      <c r="D865" s="3" t="str">
        <f ca="1">IFERROR(__xludf.DUMMYFUNCTION("""COMPUTED_VALUE"""),"Female")</f>
        <v>Female</v>
      </c>
      <c r="E865" s="1" t="str">
        <f ca="1">IFERROR(__xludf.DUMMYFUNCTION("""COMPUTED_VALUE"""),"Influencers who had successful careers")</f>
        <v>Influencers who had successful careers</v>
      </c>
      <c r="F865" s="1" t="str">
        <f ca="1">IFERROR(__xludf.DUMMYFUNCTION("""COMPUTED_VALUE"""),"No I would not be pursuing Higher Education outside of India")</f>
        <v>No I would not be pursuing Higher Education outside of India</v>
      </c>
      <c r="G865" s="1" t="str">
        <f ca="1">IFERROR(__xludf.DUMMYFUNCTION("""COMPUTED_VALUE"""),"Will work for 3 years or more")</f>
        <v>Will work for 3 years or more</v>
      </c>
      <c r="H865" s="1" t="str">
        <f ca="1">IFERROR(__xludf.DUMMYFUNCTION("""COMPUTED_VALUE"""),"No")</f>
        <v>No</v>
      </c>
      <c r="I865" s="1" t="str">
        <f ca="1">IFERROR(__xludf.DUMMYFUNCTION("""COMPUTED_VALUE"""),"Will NOT work for them")</f>
        <v>Will NOT work for them</v>
      </c>
      <c r="J865" s="1">
        <f ca="1">IFERROR(__xludf.DUMMYFUNCTION("""COMPUTED_VALUE"""),5)</f>
        <v>5</v>
      </c>
      <c r="K865" s="1" t="str">
        <f ca="1">IFERROR(__xludf.DUMMYFUNCTION("""COMPUTED_VALUE"""),"Hybrid Working Environment with more than 15 days a month at office")</f>
        <v>Hybrid Working Environment with more than 15 days a month at office</v>
      </c>
      <c r="L865" s="1" t="str">
        <f ca="1">IFERROR(__xludf.DUMMYFUNCTION("""COMPUTED_VALUE"""),"Employer who appreciates learning and enables that environment")</f>
        <v>Employer who appreciates learning and enables that environment</v>
      </c>
      <c r="M865" s="1" t="str">
        <f ca="1">IFERROR(__xludf.DUMMYFUNCTION("""COMPUTED_VALUE"""),"Instructor or Expert Learning Programs, Learning by observing others, Manager Teaching you")</f>
        <v>Instructor or Expert Learning Programs, Learning by observing others, Manager Teaching you</v>
      </c>
      <c r="N865"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865" s="1" t="str">
        <f ca="1">IFERROR(__xludf.DUMMYFUNCTION("""COMPUTED_VALUE"""),"Manager who sets goal and helps me achieve it")</f>
        <v>Manager who sets goal and helps me achieve it</v>
      </c>
      <c r="P865" s="1" t="str">
        <f ca="1">IFERROR(__xludf.DUMMYFUNCTION("""COMPUTED_VALUE"""),"Work with 5 to 6 people in my team")</f>
        <v>Work with 5 to 6 people in my team</v>
      </c>
      <c r="Q865" s="1"/>
    </row>
    <row r="866" spans="1:17" ht="13.2" x14ac:dyDescent="0.25">
      <c r="A866" s="2">
        <f ca="1">IFERROR(__xludf.DUMMYFUNCTION("""COMPUTED_VALUE"""),45023.8951908564)</f>
        <v>45023.895190856398</v>
      </c>
      <c r="B866" s="1" t="str">
        <f ca="1">IFERROR(__xludf.DUMMYFUNCTION("""COMPUTED_VALUE"""),"India")</f>
        <v>India</v>
      </c>
      <c r="C866" s="1">
        <f ca="1">IFERROR(__xludf.DUMMYFUNCTION("""COMPUTED_VALUE"""),560094)</f>
        <v>560094</v>
      </c>
      <c r="D866" s="3" t="str">
        <f ca="1">IFERROR(__xludf.DUMMYFUNCTION("""COMPUTED_VALUE"""),"Female")</f>
        <v>Female</v>
      </c>
      <c r="E866" s="1" t="str">
        <f ca="1">IFERROR(__xludf.DUMMYFUNCTION("""COMPUTED_VALUE"""),"Influencers who had successful careers")</f>
        <v>Influencers who had successful careers</v>
      </c>
      <c r="F866" s="1" t="str">
        <f ca="1">IFERROR(__xludf.DUMMYFUNCTION("""COMPUTED_VALUE"""),"No, But if someone could bare the cost I will")</f>
        <v>No, But if someone could bare the cost I will</v>
      </c>
      <c r="G866" s="1" t="str">
        <f ca="1">IFERROR(__xludf.DUMMYFUNCTION("""COMPUTED_VALUE"""),"This will be hard to do, but if it is the right company I would try")</f>
        <v>This will be hard to do, but if it is the right company I would try</v>
      </c>
      <c r="H866" s="1" t="str">
        <f ca="1">IFERROR(__xludf.DUMMYFUNCTION("""COMPUTED_VALUE"""),"No")</f>
        <v>No</v>
      </c>
      <c r="I866" s="1" t="str">
        <f ca="1">IFERROR(__xludf.DUMMYFUNCTION("""COMPUTED_VALUE"""),"Will NOT work for them")</f>
        <v>Will NOT work for them</v>
      </c>
      <c r="J866" s="1">
        <f ca="1">IFERROR(__xludf.DUMMYFUNCTION("""COMPUTED_VALUE"""),4)</f>
        <v>4</v>
      </c>
      <c r="K866" s="1" t="str">
        <f ca="1">IFERROR(__xludf.DUMMYFUNCTION("""COMPUTED_VALUE"""),"Hybrid Working Environment with more than 15 days a month at office")</f>
        <v>Hybrid Working Environment with more than 15 days a month at office</v>
      </c>
      <c r="L866" s="1" t="str">
        <f ca="1">IFERROR(__xludf.DUMMYFUNCTION("""COMPUTED_VALUE"""),"Employer who pushes your limits by enabling an learning environment, and rewards you at the end")</f>
        <v>Employer who pushes your limits by enabling an learning environment, and rewards you at the end</v>
      </c>
      <c r="M8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66"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66" s="1" t="str">
        <f ca="1">IFERROR(__xludf.DUMMYFUNCTION("""COMPUTED_VALUE"""),"Manager who explains what is expected, sets a goal and helps achieve it")</f>
        <v>Manager who explains what is expected, sets a goal and helps achieve it</v>
      </c>
      <c r="P866" s="1" t="str">
        <f ca="1">IFERROR(__xludf.DUMMYFUNCTION("""COMPUTED_VALUE"""),"Work with 2 to 3 people in my team")</f>
        <v>Work with 2 to 3 people in my team</v>
      </c>
      <c r="Q866" s="1"/>
    </row>
    <row r="867" spans="1:17" ht="13.2" x14ac:dyDescent="0.25">
      <c r="A867" s="2">
        <f ca="1">IFERROR(__xludf.DUMMYFUNCTION("""COMPUTED_VALUE"""),45023.9045330902)</f>
        <v>45023.904533090201</v>
      </c>
      <c r="B867" s="1" t="str">
        <f ca="1">IFERROR(__xludf.DUMMYFUNCTION("""COMPUTED_VALUE"""),"India")</f>
        <v>India</v>
      </c>
      <c r="C867" s="1">
        <f ca="1">IFERROR(__xludf.DUMMYFUNCTION("""COMPUTED_VALUE"""),110022)</f>
        <v>110022</v>
      </c>
      <c r="D867" s="3" t="str">
        <f ca="1">IFERROR(__xludf.DUMMYFUNCTION("""COMPUTED_VALUE"""),"Male")</f>
        <v>Male</v>
      </c>
      <c r="E867" s="1" t="str">
        <f ca="1">IFERROR(__xludf.DUMMYFUNCTION("""COMPUTED_VALUE"""),"My Parents")</f>
        <v>My Parents</v>
      </c>
      <c r="F867" s="1" t="str">
        <f ca="1">IFERROR(__xludf.DUMMYFUNCTION("""COMPUTED_VALUE"""),"No I would not be pursuing Higher Education outside of India")</f>
        <v>No I would not be pursuing Higher Education outside of India</v>
      </c>
      <c r="G867" s="1" t="str">
        <f ca="1">IFERROR(__xludf.DUMMYFUNCTION("""COMPUTED_VALUE"""),"This will be hard to do, but if it is the right company I would try")</f>
        <v>This will be hard to do, but if it is the right company I would try</v>
      </c>
      <c r="H867" s="1" t="str">
        <f ca="1">IFERROR(__xludf.DUMMYFUNCTION("""COMPUTED_VALUE"""),"No")</f>
        <v>No</v>
      </c>
      <c r="I867" s="1" t="str">
        <f ca="1">IFERROR(__xludf.DUMMYFUNCTION("""COMPUTED_VALUE"""),"Will work for them")</f>
        <v>Will work for them</v>
      </c>
      <c r="J867" s="1">
        <f ca="1">IFERROR(__xludf.DUMMYFUNCTION("""COMPUTED_VALUE"""),5)</f>
        <v>5</v>
      </c>
      <c r="K867" s="1" t="str">
        <f ca="1">IFERROR(__xludf.DUMMYFUNCTION("""COMPUTED_VALUE"""),"Every Day Office Environment")</f>
        <v>Every Day Office Environment</v>
      </c>
      <c r="L867" s="1" t="str">
        <f ca="1">IFERROR(__xludf.DUMMYFUNCTION("""COMPUTED_VALUE"""),"Employer who appreciates learning and enables that environment")</f>
        <v>Employer who appreciates learning and enables that environment</v>
      </c>
      <c r="M867" s="1" t="str">
        <f ca="1">IFERROR(__xludf.DUMMYFUNCTION("""COMPUTED_VALUE"""),"Instructor or Expert Learning Programs, Learning by observing others, Manager Teaching you")</f>
        <v>Instructor or Expert Learning Programs, Learning by observing others, Manager Teaching you</v>
      </c>
      <c r="N867" s="1" t="str">
        <f ca="1">IFERROR(__xludf.DUMMYFUNCTION("""COMPUTED_VALUE"""),"Manage and drive End-to-End Projects or Products, Design and Develop amazing software, Become a content Creator in some platform, Manufacturing / Oil and Gas/ Construction / Hard Physical Work related")</f>
        <v>Manage and drive End-to-End Projects or Products, Design and Develop amazing software, Become a content Creator in some platform, Manufacturing / Oil and Gas/ Construction / Hard Physical Work related</v>
      </c>
      <c r="O867" s="1" t="str">
        <f ca="1">IFERROR(__xludf.DUMMYFUNCTION("""COMPUTED_VALUE"""),"Manager who explains what is expected, sets a goal and helps achieve it")</f>
        <v>Manager who explains what is expected, sets a goal and helps achieve it</v>
      </c>
      <c r="P867" s="1" t="str">
        <f ca="1">IFERROR(__xludf.DUMMYFUNCTION("""COMPUTED_VALUE"""),"Work with 5 to 6 people in my team")</f>
        <v>Work with 5 to 6 people in my team</v>
      </c>
      <c r="Q867" s="1"/>
    </row>
    <row r="868" spans="1:17" ht="13.2" x14ac:dyDescent="0.25">
      <c r="A868" s="2">
        <f ca="1">IFERROR(__xludf.DUMMYFUNCTION("""COMPUTED_VALUE"""),45023.9072580324)</f>
        <v>45023.907258032399</v>
      </c>
      <c r="B868" s="1" t="str">
        <f ca="1">IFERROR(__xludf.DUMMYFUNCTION("""COMPUTED_VALUE"""),"India")</f>
        <v>India</v>
      </c>
      <c r="C868" s="1">
        <f ca="1">IFERROR(__xludf.DUMMYFUNCTION("""COMPUTED_VALUE"""),560093)</f>
        <v>560093</v>
      </c>
      <c r="D868" s="3" t="str">
        <f ca="1">IFERROR(__xludf.DUMMYFUNCTION("""COMPUTED_VALUE"""),"Female")</f>
        <v>Female</v>
      </c>
      <c r="E868" s="1" t="str">
        <f ca="1">IFERROR(__xludf.DUMMYFUNCTION("""COMPUTED_VALUE"""),"People who have changed the world for better")</f>
        <v>People who have changed the world for better</v>
      </c>
      <c r="F868" s="1" t="str">
        <f ca="1">IFERROR(__xludf.DUMMYFUNCTION("""COMPUTED_VALUE"""),"Yes, I will earn and do that")</f>
        <v>Yes, I will earn and do that</v>
      </c>
      <c r="G868" s="1" t="str">
        <f ca="1">IFERROR(__xludf.DUMMYFUNCTION("""COMPUTED_VALUE"""),"Will work for 3 years or more")</f>
        <v>Will work for 3 years or more</v>
      </c>
      <c r="H868" s="1" t="str">
        <f ca="1">IFERROR(__xludf.DUMMYFUNCTION("""COMPUTED_VALUE"""),"Yes")</f>
        <v>Yes</v>
      </c>
      <c r="I868" s="1" t="str">
        <f ca="1">IFERROR(__xludf.DUMMYFUNCTION("""COMPUTED_VALUE"""),"Will NOT work for them")</f>
        <v>Will NOT work for them</v>
      </c>
      <c r="J868" s="1">
        <f ca="1">IFERROR(__xludf.DUMMYFUNCTION("""COMPUTED_VALUE"""),5)</f>
        <v>5</v>
      </c>
      <c r="K868" s="1" t="str">
        <f ca="1">IFERROR(__xludf.DUMMYFUNCTION("""COMPUTED_VALUE"""),"Hybrid Working Environment with less than 3 days a month at office")</f>
        <v>Hybrid Working Environment with less than 3 days a month at office</v>
      </c>
      <c r="L868" s="1" t="str">
        <f ca="1">IFERROR(__xludf.DUMMYFUNCTION("""COMPUTED_VALUE"""),"Employer who appreciates learning and enables that environment")</f>
        <v>Employer who appreciates learning and enables that environment</v>
      </c>
      <c r="M8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68" s="1" t="str">
        <f ca="1">IFERROR(__xludf.DUMMYFUNCTION("""COMPUTED_VALUE"""),"Teaching in any of the institutes/colleges/online or offline, Business Operations in any organization, I Want to sell things/Sales, An Artificial Intelligence Specialist / Talking to Robots")</f>
        <v>Teaching in any of the institutes/colleges/online or offline, Business Operations in any organization, I Want to sell things/Sales, An Artificial Intelligence Specialist / Talking to Robots</v>
      </c>
      <c r="O868" s="1" t="str">
        <f ca="1">IFERROR(__xludf.DUMMYFUNCTION("""COMPUTED_VALUE"""),"Manager who sets goal and helps me achieve it")</f>
        <v>Manager who sets goal and helps me achieve it</v>
      </c>
      <c r="P868" s="1" t="str">
        <f ca="1">IFERROR(__xludf.DUMMYFUNCTION("""COMPUTED_VALUE"""),"Work with 5 to 6 people in my team")</f>
        <v>Work with 5 to 6 people in my team</v>
      </c>
      <c r="Q868" s="1"/>
    </row>
    <row r="869" spans="1:17" ht="13.2" x14ac:dyDescent="0.25">
      <c r="A869" s="2">
        <f ca="1">IFERROR(__xludf.DUMMYFUNCTION("""COMPUTED_VALUE"""),45023.916051574)</f>
        <v>45023.916051574</v>
      </c>
      <c r="B869" s="1" t="str">
        <f ca="1">IFERROR(__xludf.DUMMYFUNCTION("""COMPUTED_VALUE"""),"India")</f>
        <v>India</v>
      </c>
      <c r="C869" s="1">
        <f ca="1">IFERROR(__xludf.DUMMYFUNCTION("""COMPUTED_VALUE"""),245304)</f>
        <v>245304</v>
      </c>
      <c r="D869" s="3" t="str">
        <f ca="1">IFERROR(__xludf.DUMMYFUNCTION("""COMPUTED_VALUE"""),"Female")</f>
        <v>Female</v>
      </c>
      <c r="E869" s="1" t="str">
        <f ca="1">IFERROR(__xludf.DUMMYFUNCTION("""COMPUTED_VALUE"""),"People who have changed the world for better")</f>
        <v>People who have changed the world for better</v>
      </c>
      <c r="F869" s="1" t="str">
        <f ca="1">IFERROR(__xludf.DUMMYFUNCTION("""COMPUTED_VALUE"""),"Yes, I will earn and do that")</f>
        <v>Yes, I will earn and do that</v>
      </c>
      <c r="G869" s="1" t="str">
        <f ca="1">IFERROR(__xludf.DUMMYFUNCTION("""COMPUTED_VALUE"""),"This will be hard to do, but if it is the right company I would try")</f>
        <v>This will be hard to do, but if it is the right company I would try</v>
      </c>
      <c r="H869" s="1" t="str">
        <f ca="1">IFERROR(__xludf.DUMMYFUNCTION("""COMPUTED_VALUE"""),"Yes")</f>
        <v>Yes</v>
      </c>
      <c r="I869" s="1" t="str">
        <f ca="1">IFERROR(__xludf.DUMMYFUNCTION("""COMPUTED_VALUE"""),"Will work for them")</f>
        <v>Will work for them</v>
      </c>
      <c r="J869" s="1">
        <f ca="1">IFERROR(__xludf.DUMMYFUNCTION("""COMPUTED_VALUE"""),1)</f>
        <v>1</v>
      </c>
      <c r="K869" s="1" t="str">
        <f ca="1">IFERROR(__xludf.DUMMYFUNCTION("""COMPUTED_VALUE"""),"Fully Remote with Options to travel as and when needed")</f>
        <v>Fully Remote with Options to travel as and when needed</v>
      </c>
      <c r="L869" s="1" t="str">
        <f ca="1">IFERROR(__xludf.DUMMYFUNCTION("""COMPUTED_VALUE"""),"Employer who pushes your limits by enabling an learning environment, and rewards you at the end")</f>
        <v>Employer who pushes your limits by enabling an learning environment, and rewards you at the end</v>
      </c>
      <c r="M86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69"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869" s="1" t="str">
        <f ca="1">IFERROR(__xludf.DUMMYFUNCTION("""COMPUTED_VALUE"""),"Manager who sets targets and expects me to achieve it")</f>
        <v>Manager who sets targets and expects me to achieve it</v>
      </c>
      <c r="P869" s="1" t="str">
        <f ca="1">IFERROR(__xludf.DUMMYFUNCTION("""COMPUTED_VALUE"""),"Work with 5 to 6 people in my team")</f>
        <v>Work with 5 to 6 people in my team</v>
      </c>
      <c r="Q869" s="1"/>
    </row>
    <row r="870" spans="1:17" ht="13.2" x14ac:dyDescent="0.25">
      <c r="A870" s="2">
        <f ca="1">IFERROR(__xludf.DUMMYFUNCTION("""COMPUTED_VALUE"""),45023.9239154166)</f>
        <v>45023.923915416599</v>
      </c>
      <c r="B870" s="1" t="str">
        <f ca="1">IFERROR(__xludf.DUMMYFUNCTION("""COMPUTED_VALUE"""),"India")</f>
        <v>India</v>
      </c>
      <c r="C870" s="1">
        <f ca="1">IFERROR(__xludf.DUMMYFUNCTION("""COMPUTED_VALUE"""),226010)</f>
        <v>226010</v>
      </c>
      <c r="D870" s="3" t="str">
        <f ca="1">IFERROR(__xludf.DUMMYFUNCTION("""COMPUTED_VALUE"""),"Female")</f>
        <v>Female</v>
      </c>
      <c r="E870" s="1" t="str">
        <f ca="1">IFERROR(__xludf.DUMMYFUNCTION("""COMPUTED_VALUE"""),"People who have changed the world for better")</f>
        <v>People who have changed the world for better</v>
      </c>
      <c r="F870" s="1" t="str">
        <f ca="1">IFERROR(__xludf.DUMMYFUNCTION("""COMPUTED_VALUE"""),"Yes, I will earn and do that")</f>
        <v>Yes, I will earn and do that</v>
      </c>
      <c r="G870" s="1" t="str">
        <f ca="1">IFERROR(__xludf.DUMMYFUNCTION("""COMPUTED_VALUE"""),"This will be hard to do, but if it is the right company I would try")</f>
        <v>This will be hard to do, but if it is the right company I would try</v>
      </c>
      <c r="H870" s="1" t="str">
        <f ca="1">IFERROR(__xludf.DUMMYFUNCTION("""COMPUTED_VALUE"""),"No")</f>
        <v>No</v>
      </c>
      <c r="I870" s="1" t="str">
        <f ca="1">IFERROR(__xludf.DUMMYFUNCTION("""COMPUTED_VALUE"""),"Will NOT work for them")</f>
        <v>Will NOT work for them</v>
      </c>
      <c r="J870" s="1">
        <f ca="1">IFERROR(__xludf.DUMMYFUNCTION("""COMPUTED_VALUE"""),10)</f>
        <v>10</v>
      </c>
      <c r="K870" s="1" t="str">
        <f ca="1">IFERROR(__xludf.DUMMYFUNCTION("""COMPUTED_VALUE"""),"Hybrid Working Environment with more than 15 days a month at office")</f>
        <v>Hybrid Working Environment with more than 15 days a month at office</v>
      </c>
      <c r="L870" s="1" t="str">
        <f ca="1">IFERROR(__xludf.DUMMYFUNCTION("""COMPUTED_VALUE"""),"Employer who appreciates learning and enables that environment")</f>
        <v>Employer who appreciates learning and enables that environment</v>
      </c>
      <c r="M87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87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870" s="1" t="str">
        <f ca="1">IFERROR(__xludf.DUMMYFUNCTION("""COMPUTED_VALUE"""),"Manager who sets goal and helps me achieve it")</f>
        <v>Manager who sets goal and helps me achieve it</v>
      </c>
      <c r="P870" s="1" t="str">
        <f ca="1">IFERROR(__xludf.DUMMYFUNCTION("""COMPUTED_VALUE"""),"Work with 2 to 3 people in my team")</f>
        <v>Work with 2 to 3 people in my team</v>
      </c>
      <c r="Q870" s="1"/>
    </row>
    <row r="871" spans="1:17" ht="13.2" x14ac:dyDescent="0.25">
      <c r="A871" s="2">
        <f ca="1">IFERROR(__xludf.DUMMYFUNCTION("""COMPUTED_VALUE"""),45023.9286025231)</f>
        <v>45023.928602523098</v>
      </c>
      <c r="B871" s="1" t="str">
        <f ca="1">IFERROR(__xludf.DUMMYFUNCTION("""COMPUTED_VALUE"""),"India")</f>
        <v>India</v>
      </c>
      <c r="C871" s="1">
        <f ca="1">IFERROR(__xludf.DUMMYFUNCTION("""COMPUTED_VALUE"""),201310)</f>
        <v>201310</v>
      </c>
      <c r="D871" s="3" t="str">
        <f ca="1">IFERROR(__xludf.DUMMYFUNCTION("""COMPUTED_VALUE"""),"Male")</f>
        <v>Male</v>
      </c>
      <c r="E871" s="1" t="str">
        <f ca="1">IFERROR(__xludf.DUMMYFUNCTION("""COMPUTED_VALUE"""),"Influencers who had successful careers")</f>
        <v>Influencers who had successful careers</v>
      </c>
      <c r="F871" s="1" t="str">
        <f ca="1">IFERROR(__xludf.DUMMYFUNCTION("""COMPUTED_VALUE"""),"No, But if someone could bare the cost I will")</f>
        <v>No, But if someone could bare the cost I will</v>
      </c>
      <c r="G871" s="1" t="str">
        <f ca="1">IFERROR(__xludf.DUMMYFUNCTION("""COMPUTED_VALUE"""),"This will be hard to do, but if it is the right company I would try")</f>
        <v>This will be hard to do, but if it is the right company I would try</v>
      </c>
      <c r="H871" s="1" t="str">
        <f ca="1">IFERROR(__xludf.DUMMYFUNCTION("""COMPUTED_VALUE"""),"Yes")</f>
        <v>Yes</v>
      </c>
      <c r="I871" s="1" t="str">
        <f ca="1">IFERROR(__xludf.DUMMYFUNCTION("""COMPUTED_VALUE"""),"Will work for them")</f>
        <v>Will work for them</v>
      </c>
      <c r="J871" s="1">
        <f ca="1">IFERROR(__xludf.DUMMYFUNCTION("""COMPUTED_VALUE"""),9)</f>
        <v>9</v>
      </c>
      <c r="K871" s="1" t="str">
        <f ca="1">IFERROR(__xludf.DUMMYFUNCTION("""COMPUTED_VALUE"""),"Fully Remote with Options to travel as and when needed")</f>
        <v>Fully Remote with Options to travel as and when needed</v>
      </c>
      <c r="L871" s="1" t="str">
        <f ca="1">IFERROR(__xludf.DUMMYFUNCTION("""COMPUTED_VALUE"""),"Employer who pushes your limits by enabling an learning environment, and rewards you at the end")</f>
        <v>Employer who pushes your limits by enabling an learning environment, and rewards you at the end</v>
      </c>
      <c r="M87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71"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71" s="1" t="str">
        <f ca="1">IFERROR(__xludf.DUMMYFUNCTION("""COMPUTED_VALUE"""),"Manager who sets unrealistic targets")</f>
        <v>Manager who sets unrealistic targets</v>
      </c>
      <c r="P87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71" s="1"/>
    </row>
    <row r="872" spans="1:17" ht="13.2" x14ac:dyDescent="0.25">
      <c r="A872" s="2">
        <f ca="1">IFERROR(__xludf.DUMMYFUNCTION("""COMPUTED_VALUE"""),45023.94684375)</f>
        <v>45023.946843750004</v>
      </c>
      <c r="B872" s="1" t="str">
        <f ca="1">IFERROR(__xludf.DUMMYFUNCTION("""COMPUTED_VALUE"""),"India")</f>
        <v>India</v>
      </c>
      <c r="C872" s="1">
        <f ca="1">IFERROR(__xludf.DUMMYFUNCTION("""COMPUTED_VALUE"""),600130)</f>
        <v>600130</v>
      </c>
      <c r="D872" s="3" t="str">
        <f ca="1">IFERROR(__xludf.DUMMYFUNCTION("""COMPUTED_VALUE"""),"Female")</f>
        <v>Female</v>
      </c>
      <c r="E872" s="1" t="str">
        <f ca="1">IFERROR(__xludf.DUMMYFUNCTION("""COMPUTED_VALUE"""),"My Parents")</f>
        <v>My Parents</v>
      </c>
      <c r="F872" s="1" t="str">
        <f ca="1">IFERROR(__xludf.DUMMYFUNCTION("""COMPUTED_VALUE"""),"No I would not be pursuing Higher Education outside of India")</f>
        <v>No I would not be pursuing Higher Education outside of India</v>
      </c>
      <c r="G872" s="1" t="str">
        <f ca="1">IFERROR(__xludf.DUMMYFUNCTION("""COMPUTED_VALUE"""),"Will work for 3 years or more")</f>
        <v>Will work for 3 years or more</v>
      </c>
      <c r="H872" s="1" t="str">
        <f ca="1">IFERROR(__xludf.DUMMYFUNCTION("""COMPUTED_VALUE"""),"No")</f>
        <v>No</v>
      </c>
      <c r="I872" s="1" t="str">
        <f ca="1">IFERROR(__xludf.DUMMYFUNCTION("""COMPUTED_VALUE"""),"Will NOT work for them")</f>
        <v>Will NOT work for them</v>
      </c>
      <c r="J872" s="1">
        <f ca="1">IFERROR(__xludf.DUMMYFUNCTION("""COMPUTED_VALUE"""),6)</f>
        <v>6</v>
      </c>
      <c r="K872" s="1" t="str">
        <f ca="1">IFERROR(__xludf.DUMMYFUNCTION("""COMPUTED_VALUE"""),"Fully Remote with Options to travel as and when needed")</f>
        <v>Fully Remote with Options to travel as and when needed</v>
      </c>
      <c r="L872" s="1" t="str">
        <f ca="1">IFERROR(__xludf.DUMMYFUNCTION("""COMPUTED_VALUE"""),"Employer who pushes your limits by enabling an learning environment, and rewards you at the end")</f>
        <v>Employer who pushes your limits by enabling an learning environment, and rewards you at the end</v>
      </c>
      <c r="M87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72"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872" s="1" t="str">
        <f ca="1">IFERROR(__xludf.DUMMYFUNCTION("""COMPUTED_VALUE"""),"Manager who explains what is expected, sets a goal and helps achieve it")</f>
        <v>Manager who explains what is expected, sets a goal and helps achieve it</v>
      </c>
      <c r="P872" s="1" t="str">
        <f ca="1">IFERROR(__xludf.DUMMYFUNCTION("""COMPUTED_VALUE"""),"Work with 2 to 3 people in my team")</f>
        <v>Work with 2 to 3 people in my team</v>
      </c>
      <c r="Q872" s="1"/>
    </row>
    <row r="873" spans="1:17" ht="13.2" x14ac:dyDescent="0.25">
      <c r="A873" s="2">
        <f ca="1">IFERROR(__xludf.DUMMYFUNCTION("""COMPUTED_VALUE"""),45023.965929618)</f>
        <v>45023.965929618003</v>
      </c>
      <c r="B873" s="1" t="str">
        <f ca="1">IFERROR(__xludf.DUMMYFUNCTION("""COMPUTED_VALUE"""),"India")</f>
        <v>India</v>
      </c>
      <c r="C873" s="1">
        <f ca="1">IFERROR(__xludf.DUMMYFUNCTION("""COMPUTED_VALUE"""),560055)</f>
        <v>560055</v>
      </c>
      <c r="D873" s="3" t="str">
        <f ca="1">IFERROR(__xludf.DUMMYFUNCTION("""COMPUTED_VALUE"""),"Female")</f>
        <v>Female</v>
      </c>
      <c r="E873" s="1" t="str">
        <f ca="1">IFERROR(__xludf.DUMMYFUNCTION("""COMPUTED_VALUE"""),"My Parents")</f>
        <v>My Parents</v>
      </c>
      <c r="F873" s="1" t="str">
        <f ca="1">IFERROR(__xludf.DUMMYFUNCTION("""COMPUTED_VALUE"""),"No I would not be pursuing Higher Education outside of India")</f>
        <v>No I would not be pursuing Higher Education outside of India</v>
      </c>
      <c r="G873" s="1" t="str">
        <f ca="1">IFERROR(__xludf.DUMMYFUNCTION("""COMPUTED_VALUE"""),"Will work for 3 years or more")</f>
        <v>Will work for 3 years or more</v>
      </c>
      <c r="H873" s="1" t="str">
        <f ca="1">IFERROR(__xludf.DUMMYFUNCTION("""COMPUTED_VALUE"""),"No")</f>
        <v>No</v>
      </c>
      <c r="I873" s="1" t="str">
        <f ca="1">IFERROR(__xludf.DUMMYFUNCTION("""COMPUTED_VALUE"""),"Will NOT work for them")</f>
        <v>Will NOT work for them</v>
      </c>
      <c r="J873" s="1">
        <f ca="1">IFERROR(__xludf.DUMMYFUNCTION("""COMPUTED_VALUE"""),1)</f>
        <v>1</v>
      </c>
      <c r="K873" s="1" t="str">
        <f ca="1">IFERROR(__xludf.DUMMYFUNCTION("""COMPUTED_VALUE"""),"Hybrid Working Environment with less than 3 days a month at office")</f>
        <v>Hybrid Working Environment with less than 3 days a month at office</v>
      </c>
      <c r="L873" s="1" t="str">
        <f ca="1">IFERROR(__xludf.DUMMYFUNCTION("""COMPUTED_VALUE"""),"Employer who appreciates learning and enables that environment")</f>
        <v>Employer who appreciates learning and enables that environment</v>
      </c>
      <c r="M873" s="1" t="str">
        <f ca="1">IFERROR(__xludf.DUMMYFUNCTION("""COMPUTED_VALUE"""),"Self Paced Learning Portals of the Company, Instructor or Expert Learning Programs, Manager Teaching you")</f>
        <v>Self Paced Learning Portals of the Company, Instructor or Expert Learning Programs, Manager Teaching you</v>
      </c>
      <c r="N873" s="1" t="str">
        <f ca="1">IFERROR(__xludf.DUMMYFUNCTION("""COMPUTED_VALUE"""),"Manage and drive End-to-End Projects or Products, Build and develop a Team, Work in a BPO setup for some well known client, Work as a freelancer and do my thing my way")</f>
        <v>Manage and drive End-to-End Projects or Products, Build and develop a Team, Work in a BPO setup for some well known client, Work as a freelancer and do my thing my way</v>
      </c>
      <c r="O873" s="1" t="str">
        <f ca="1">IFERROR(__xludf.DUMMYFUNCTION("""COMPUTED_VALUE"""),"Manager who explains what is expected, sets a goal and helps achieve it")</f>
        <v>Manager who explains what is expected, sets a goal and helps achieve it</v>
      </c>
      <c r="P873" s="1" t="str">
        <f ca="1">IFERROR(__xludf.DUMMYFUNCTION("""COMPUTED_VALUE"""),"Work with 5 to 6 people in my team")</f>
        <v>Work with 5 to 6 people in my team</v>
      </c>
      <c r="Q873" s="1"/>
    </row>
    <row r="874" spans="1:17" ht="13.2" x14ac:dyDescent="0.25">
      <c r="A874" s="2">
        <f ca="1">IFERROR(__xludf.DUMMYFUNCTION("""COMPUTED_VALUE"""),45023.9689065972)</f>
        <v>45023.968906597198</v>
      </c>
      <c r="B874" s="1" t="str">
        <f ca="1">IFERROR(__xludf.DUMMYFUNCTION("""COMPUTED_VALUE"""),"India")</f>
        <v>India</v>
      </c>
      <c r="C874" s="1">
        <f ca="1">IFERROR(__xludf.DUMMYFUNCTION("""COMPUTED_VALUE"""),400084)</f>
        <v>400084</v>
      </c>
      <c r="D874" s="3" t="str">
        <f ca="1">IFERROR(__xludf.DUMMYFUNCTION("""COMPUTED_VALUE"""),"Male")</f>
        <v>Male</v>
      </c>
      <c r="E874" s="1" t="str">
        <f ca="1">IFERROR(__xludf.DUMMYFUNCTION("""COMPUTED_VALUE"""),"My Parents")</f>
        <v>My Parents</v>
      </c>
      <c r="F874" s="1" t="str">
        <f ca="1">IFERROR(__xludf.DUMMYFUNCTION("""COMPUTED_VALUE"""),"No, But if someone could bare the cost I will")</f>
        <v>No, But if someone could bare the cost I will</v>
      </c>
      <c r="G874" s="1" t="str">
        <f ca="1">IFERROR(__xludf.DUMMYFUNCTION("""COMPUTED_VALUE"""),"Will work for 3 years or more")</f>
        <v>Will work for 3 years or more</v>
      </c>
      <c r="H874" s="1" t="str">
        <f ca="1">IFERROR(__xludf.DUMMYFUNCTION("""COMPUTED_VALUE"""),"No")</f>
        <v>No</v>
      </c>
      <c r="I874" s="1" t="str">
        <f ca="1">IFERROR(__xludf.DUMMYFUNCTION("""COMPUTED_VALUE"""),"Will NOT work for them")</f>
        <v>Will NOT work for them</v>
      </c>
      <c r="J874" s="1">
        <f ca="1">IFERROR(__xludf.DUMMYFUNCTION("""COMPUTED_VALUE"""),8)</f>
        <v>8</v>
      </c>
      <c r="K874" s="1" t="str">
        <f ca="1">IFERROR(__xludf.DUMMYFUNCTION("""COMPUTED_VALUE"""),"Hybrid Working Environment with more than 15 days a month at office")</f>
        <v>Hybrid Working Environment with more than 15 days a month at office</v>
      </c>
      <c r="L874" s="1" t="str">
        <f ca="1">IFERROR(__xludf.DUMMYFUNCTION("""COMPUTED_VALUE"""),"Employer who pushes your limits by enabling an learning environment, and rewards you at the end")</f>
        <v>Employer who pushes your limits by enabling an learning environment, and rewards you at the end</v>
      </c>
      <c r="M87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74" s="1" t="str">
        <f ca="1">IFERROR(__xludf.DUMMYFUNCTION("""COMPUTED_VALUE"""),"Manager who explains what is expected, sets a goal and helps achieve it")</f>
        <v>Manager who explains what is expected, sets a goal and helps achieve it</v>
      </c>
      <c r="P874" s="1" t="str">
        <f ca="1">IFERROR(__xludf.DUMMYFUNCTION("""COMPUTED_VALUE"""),"Work with 5 to 6 people in my team")</f>
        <v>Work with 5 to 6 people in my team</v>
      </c>
      <c r="Q874" s="1"/>
    </row>
    <row r="875" spans="1:17" ht="13.2" x14ac:dyDescent="0.25">
      <c r="A875" s="2">
        <f ca="1">IFERROR(__xludf.DUMMYFUNCTION("""COMPUTED_VALUE"""),45023.9705521527)</f>
        <v>45023.970552152699</v>
      </c>
      <c r="B875" s="1" t="str">
        <f ca="1">IFERROR(__xludf.DUMMYFUNCTION("""COMPUTED_VALUE"""),"India")</f>
        <v>India</v>
      </c>
      <c r="C875" s="1">
        <f ca="1">IFERROR(__xludf.DUMMYFUNCTION("""COMPUTED_VALUE"""),452016)</f>
        <v>452016</v>
      </c>
      <c r="D875" s="3" t="str">
        <f ca="1">IFERROR(__xludf.DUMMYFUNCTION("""COMPUTED_VALUE"""),"Female")</f>
        <v>Female</v>
      </c>
      <c r="E875" s="1" t="str">
        <f ca="1">IFERROR(__xludf.DUMMYFUNCTION("""COMPUTED_VALUE"""),"Influencers who had successful careers")</f>
        <v>Influencers who had successful careers</v>
      </c>
      <c r="F875" s="1" t="str">
        <f ca="1">IFERROR(__xludf.DUMMYFUNCTION("""COMPUTED_VALUE"""),"Yes, I will earn and do that")</f>
        <v>Yes, I will earn and do that</v>
      </c>
      <c r="G875" s="1" t="str">
        <f ca="1">IFERROR(__xludf.DUMMYFUNCTION("""COMPUTED_VALUE"""),"This will be hard to do, but if it is the right company I would try")</f>
        <v>This will be hard to do, but if it is the right company I would try</v>
      </c>
      <c r="H875" s="1" t="str">
        <f ca="1">IFERROR(__xludf.DUMMYFUNCTION("""COMPUTED_VALUE"""),"Yes")</f>
        <v>Yes</v>
      </c>
      <c r="I875" s="1" t="str">
        <f ca="1">IFERROR(__xludf.DUMMYFUNCTION("""COMPUTED_VALUE"""),"Will work for them")</f>
        <v>Will work for them</v>
      </c>
      <c r="J875" s="1">
        <f ca="1">IFERROR(__xludf.DUMMYFUNCTION("""COMPUTED_VALUE"""),4)</f>
        <v>4</v>
      </c>
      <c r="K875" s="1" t="str">
        <f ca="1">IFERROR(__xludf.DUMMYFUNCTION("""COMPUTED_VALUE"""),"Fully Remote with Options to travel as and when needed")</f>
        <v>Fully Remote with Options to travel as and when needed</v>
      </c>
      <c r="L875" s="1" t="str">
        <f ca="1">IFERROR(__xludf.DUMMYFUNCTION("""COMPUTED_VALUE"""),"Employer who pushes your limits by enabling an learning environment, and rewards you at the end")</f>
        <v>Employer who pushes your limits by enabling an learning environment, and rewards you at the end</v>
      </c>
      <c r="M87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7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75" s="1" t="str">
        <f ca="1">IFERROR(__xludf.DUMMYFUNCTION("""COMPUTED_VALUE"""),"Manager who clearly describes what she/he needs")</f>
        <v>Manager who clearly describes what she/he needs</v>
      </c>
      <c r="P875" s="1" t="str">
        <f ca="1">IFERROR(__xludf.DUMMYFUNCTION("""COMPUTED_VALUE"""),"Work with 5 to 6 people in my team")</f>
        <v>Work with 5 to 6 people in my team</v>
      </c>
      <c r="Q875" s="1"/>
    </row>
    <row r="876" spans="1:17" ht="13.2" x14ac:dyDescent="0.25">
      <c r="A876" s="2">
        <f ca="1">IFERROR(__xludf.DUMMYFUNCTION("""COMPUTED_VALUE"""),45023.9743827776)</f>
        <v>45023.974382777596</v>
      </c>
      <c r="B876" s="1" t="str">
        <f ca="1">IFERROR(__xludf.DUMMYFUNCTION("""COMPUTED_VALUE"""),"India")</f>
        <v>India</v>
      </c>
      <c r="C876" s="1">
        <f ca="1">IFERROR(__xludf.DUMMYFUNCTION("""COMPUTED_VALUE"""),211001)</f>
        <v>211001</v>
      </c>
      <c r="D876" s="3" t="str">
        <f ca="1">IFERROR(__xludf.DUMMYFUNCTION("""COMPUTED_VALUE"""),"Male")</f>
        <v>Male</v>
      </c>
      <c r="E876" s="1" t="str">
        <f ca="1">IFERROR(__xludf.DUMMYFUNCTION("""COMPUTED_VALUE"""),"My Parents")</f>
        <v>My Parents</v>
      </c>
      <c r="F876" s="1" t="str">
        <f ca="1">IFERROR(__xludf.DUMMYFUNCTION("""COMPUTED_VALUE"""),"No I would not be pursuing Higher Education outside of India")</f>
        <v>No I would not be pursuing Higher Education outside of India</v>
      </c>
      <c r="G876" s="1" t="str">
        <f ca="1">IFERROR(__xludf.DUMMYFUNCTION("""COMPUTED_VALUE"""),"No way")</f>
        <v>No way</v>
      </c>
      <c r="H876" s="1" t="str">
        <f ca="1">IFERROR(__xludf.DUMMYFUNCTION("""COMPUTED_VALUE"""),"No")</f>
        <v>No</v>
      </c>
      <c r="I876" s="1" t="str">
        <f ca="1">IFERROR(__xludf.DUMMYFUNCTION("""COMPUTED_VALUE"""),"Will NOT work for them")</f>
        <v>Will NOT work for them</v>
      </c>
      <c r="J876" s="1">
        <f ca="1">IFERROR(__xludf.DUMMYFUNCTION("""COMPUTED_VALUE"""),8)</f>
        <v>8</v>
      </c>
      <c r="K876" s="1" t="str">
        <f ca="1">IFERROR(__xludf.DUMMYFUNCTION("""COMPUTED_VALUE"""),"Every Day Office Environment")</f>
        <v>Every Day Office Environment</v>
      </c>
      <c r="L876" s="1" t="str">
        <f ca="1">IFERROR(__xludf.DUMMYFUNCTION("""COMPUTED_VALUE"""),"Employer who appreciates learning and enables that environment")</f>
        <v>Employer who appreciates learning and enables that environment</v>
      </c>
      <c r="M8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6"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876" s="1" t="str">
        <f ca="1">IFERROR(__xludf.DUMMYFUNCTION("""COMPUTED_VALUE"""),"Manager who clearly describes what she/he needs")</f>
        <v>Manager who clearly describes what she/he needs</v>
      </c>
      <c r="P876" s="1" t="str">
        <f ca="1">IFERROR(__xludf.DUMMYFUNCTION("""COMPUTED_VALUE"""),"Work with 7 to 10 or more people in my team, Work with more than 10 people in my team")</f>
        <v>Work with 7 to 10 or more people in my team, Work with more than 10 people in my team</v>
      </c>
      <c r="Q876" s="1"/>
    </row>
    <row r="877" spans="1:17" ht="13.2" x14ac:dyDescent="0.25">
      <c r="A877" s="2">
        <f ca="1">IFERROR(__xludf.DUMMYFUNCTION("""COMPUTED_VALUE"""),45023.9758841088)</f>
        <v>45023.975884108797</v>
      </c>
      <c r="B877" s="1" t="str">
        <f ca="1">IFERROR(__xludf.DUMMYFUNCTION("""COMPUTED_VALUE"""),"India")</f>
        <v>India</v>
      </c>
      <c r="C877" s="1">
        <f ca="1">IFERROR(__xludf.DUMMYFUNCTION("""COMPUTED_VALUE"""),400067)</f>
        <v>400067</v>
      </c>
      <c r="D877" s="3" t="str">
        <f ca="1">IFERROR(__xludf.DUMMYFUNCTION("""COMPUTED_VALUE"""),"Male")</f>
        <v>Male</v>
      </c>
      <c r="E877" s="1" t="str">
        <f ca="1">IFERROR(__xludf.DUMMYFUNCTION("""COMPUTED_VALUE"""),"My Parents")</f>
        <v>My Parents</v>
      </c>
      <c r="F877" s="1" t="str">
        <f ca="1">IFERROR(__xludf.DUMMYFUNCTION("""COMPUTED_VALUE"""),"Yes, I will earn and do that")</f>
        <v>Yes, I will earn and do that</v>
      </c>
      <c r="G877" s="1" t="str">
        <f ca="1">IFERROR(__xludf.DUMMYFUNCTION("""COMPUTED_VALUE"""),"No way")</f>
        <v>No way</v>
      </c>
      <c r="H877" s="1" t="str">
        <f ca="1">IFERROR(__xludf.DUMMYFUNCTION("""COMPUTED_VALUE"""),"Yes")</f>
        <v>Yes</v>
      </c>
      <c r="I877" s="1" t="str">
        <f ca="1">IFERROR(__xludf.DUMMYFUNCTION("""COMPUTED_VALUE"""),"Will NOT work for them")</f>
        <v>Will NOT work for them</v>
      </c>
      <c r="J877" s="1">
        <f ca="1">IFERROR(__xludf.DUMMYFUNCTION("""COMPUTED_VALUE"""),10)</f>
        <v>10</v>
      </c>
      <c r="K877" s="1" t="str">
        <f ca="1">IFERROR(__xludf.DUMMYFUNCTION("""COMPUTED_VALUE"""),"Fully Remote with No option to visit offices")</f>
        <v>Fully Remote with No option to visit offices</v>
      </c>
      <c r="L877" s="1" t="str">
        <f ca="1">IFERROR(__xludf.DUMMYFUNCTION("""COMPUTED_VALUE"""),"Employer who rewards learning and enables that environment")</f>
        <v>Employer who rewards learning and enables that environment</v>
      </c>
      <c r="M8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7"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877" s="1" t="str">
        <f ca="1">IFERROR(__xludf.DUMMYFUNCTION("""COMPUTED_VALUE"""),"Manager who explains what is expected, sets a goal and helps achieve it")</f>
        <v>Manager who explains what is expected, sets a goal and helps achieve it</v>
      </c>
      <c r="P877" s="1" t="str">
        <f ca="1">IFERROR(__xludf.DUMMYFUNCTION("""COMPUTED_VALUE"""),"Work with 2 to 3 people in my team")</f>
        <v>Work with 2 to 3 people in my team</v>
      </c>
      <c r="Q877" s="1"/>
    </row>
    <row r="878" spans="1:17" ht="13.2" x14ac:dyDescent="0.25">
      <c r="A878" s="2">
        <f ca="1">IFERROR(__xludf.DUMMYFUNCTION("""COMPUTED_VALUE"""),45023.9974641666)</f>
        <v>45023.997464166598</v>
      </c>
      <c r="B878" s="1" t="str">
        <f ca="1">IFERROR(__xludf.DUMMYFUNCTION("""COMPUTED_VALUE"""),"India")</f>
        <v>India</v>
      </c>
      <c r="C878" s="1">
        <f ca="1">IFERROR(__xludf.DUMMYFUNCTION("""COMPUTED_VALUE"""),500041)</f>
        <v>500041</v>
      </c>
      <c r="D878" s="3" t="str">
        <f ca="1">IFERROR(__xludf.DUMMYFUNCTION("""COMPUTED_VALUE"""),"Female")</f>
        <v>Female</v>
      </c>
      <c r="E878" s="1" t="str">
        <f ca="1">IFERROR(__xludf.DUMMYFUNCTION("""COMPUTED_VALUE"""),"People who have changed the world for better")</f>
        <v>People who have changed the world for better</v>
      </c>
      <c r="F878" s="1" t="str">
        <f ca="1">IFERROR(__xludf.DUMMYFUNCTION("""COMPUTED_VALUE"""),"Yes, I will earn and do that")</f>
        <v>Yes, I will earn and do that</v>
      </c>
      <c r="G878" s="1" t="str">
        <f ca="1">IFERROR(__xludf.DUMMYFUNCTION("""COMPUTED_VALUE"""),"This will be hard to do, but if it is the right company I would try")</f>
        <v>This will be hard to do, but if it is the right company I would try</v>
      </c>
      <c r="H878" s="1" t="str">
        <f ca="1">IFERROR(__xludf.DUMMYFUNCTION("""COMPUTED_VALUE"""),"No")</f>
        <v>No</v>
      </c>
      <c r="I878" s="1" t="str">
        <f ca="1">IFERROR(__xludf.DUMMYFUNCTION("""COMPUTED_VALUE"""),"Will work for them")</f>
        <v>Will work for them</v>
      </c>
      <c r="J878" s="1">
        <f ca="1">IFERROR(__xludf.DUMMYFUNCTION("""COMPUTED_VALUE"""),7)</f>
        <v>7</v>
      </c>
      <c r="K878" s="1" t="str">
        <f ca="1">IFERROR(__xludf.DUMMYFUNCTION("""COMPUTED_VALUE"""),"Fully Remote with Options to travel as and when needed")</f>
        <v>Fully Remote with Options to travel as and when needed</v>
      </c>
      <c r="L878" s="1" t="str">
        <f ca="1">IFERROR(__xludf.DUMMYFUNCTION("""COMPUTED_VALUE"""),"Employer who appreciates learning and enables that environment")</f>
        <v>Employer who appreciates learning and enables that environment</v>
      </c>
      <c r="M8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878" s="1" t="str">
        <f ca="1">IFERROR(__xludf.DUMMYFUNCTION("""COMPUTED_VALUE"""),"Manager who clearly describes what she/he needs")</f>
        <v>Manager who clearly describes what she/he needs</v>
      </c>
      <c r="P87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78" s="1"/>
    </row>
    <row r="879" spans="1:17" ht="13.2" x14ac:dyDescent="0.25">
      <c r="A879" s="2">
        <f ca="1">IFERROR(__xludf.DUMMYFUNCTION("""COMPUTED_VALUE"""),45024.0100396412)</f>
        <v>45024.010039641202</v>
      </c>
      <c r="B879" s="1" t="str">
        <f ca="1">IFERROR(__xludf.DUMMYFUNCTION("""COMPUTED_VALUE"""),"India")</f>
        <v>India</v>
      </c>
      <c r="C879" s="1">
        <f ca="1">IFERROR(__xludf.DUMMYFUNCTION("""COMPUTED_VALUE"""),400086)</f>
        <v>400086</v>
      </c>
      <c r="D879" s="3" t="str">
        <f ca="1">IFERROR(__xludf.DUMMYFUNCTION("""COMPUTED_VALUE"""),"Male")</f>
        <v>Male</v>
      </c>
      <c r="E879" s="1" t="str">
        <f ca="1">IFERROR(__xludf.DUMMYFUNCTION("""COMPUTED_VALUE"""),"My Parents")</f>
        <v>My Parents</v>
      </c>
      <c r="F879" s="1" t="str">
        <f ca="1">IFERROR(__xludf.DUMMYFUNCTION("""COMPUTED_VALUE"""),"No I would not be pursuing Higher Education outside of India")</f>
        <v>No I would not be pursuing Higher Education outside of India</v>
      </c>
      <c r="G879" s="1" t="str">
        <f ca="1">IFERROR(__xludf.DUMMYFUNCTION("""COMPUTED_VALUE"""),"No way")</f>
        <v>No way</v>
      </c>
      <c r="H879" s="1" t="str">
        <f ca="1">IFERROR(__xludf.DUMMYFUNCTION("""COMPUTED_VALUE"""),"No")</f>
        <v>No</v>
      </c>
      <c r="I879" s="1" t="str">
        <f ca="1">IFERROR(__xludf.DUMMYFUNCTION("""COMPUTED_VALUE"""),"Will NOT work for them")</f>
        <v>Will NOT work for them</v>
      </c>
      <c r="J879" s="1">
        <f ca="1">IFERROR(__xludf.DUMMYFUNCTION("""COMPUTED_VALUE"""),1)</f>
        <v>1</v>
      </c>
      <c r="K879" s="1" t="str">
        <f ca="1">IFERROR(__xludf.DUMMYFUNCTION("""COMPUTED_VALUE"""),"Fully Remote with No option to visit offices")</f>
        <v>Fully Remote with No option to visit offices</v>
      </c>
      <c r="L879" s="1" t="str">
        <f ca="1">IFERROR(__xludf.DUMMYFUNCTION("""COMPUTED_VALUE"""),"Employer who pushes your limits and doesn't enables learning environment and never rewards you")</f>
        <v>Employer who pushes your limits and doesn't enables learning environment and never rewards you</v>
      </c>
      <c r="M87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879"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879" s="1" t="str">
        <f ca="1">IFERROR(__xludf.DUMMYFUNCTION("""COMPUTED_VALUE"""),"Manager who explains what is expected, sets a goal and helps achieve it")</f>
        <v>Manager who explains what is expected, sets a goal and helps achieve it</v>
      </c>
      <c r="P879" s="1" t="str">
        <f ca="1">IFERROR(__xludf.DUMMYFUNCTION("""COMPUTED_VALUE"""),"Work with 2 to 3 people in my team")</f>
        <v>Work with 2 to 3 people in my team</v>
      </c>
      <c r="Q879" s="1"/>
    </row>
    <row r="880" spans="1:17" ht="13.2" x14ac:dyDescent="0.25">
      <c r="A880" s="2">
        <f ca="1">IFERROR(__xludf.DUMMYFUNCTION("""COMPUTED_VALUE"""),45024.0225346296)</f>
        <v>45024.022534629599</v>
      </c>
      <c r="B880" s="1" t="str">
        <f ca="1">IFERROR(__xludf.DUMMYFUNCTION("""COMPUTED_VALUE"""),"India")</f>
        <v>India</v>
      </c>
      <c r="C880" s="1">
        <f ca="1">IFERROR(__xludf.DUMMYFUNCTION("""COMPUTED_VALUE"""),411033)</f>
        <v>411033</v>
      </c>
      <c r="D880" s="3" t="str">
        <f ca="1">IFERROR(__xludf.DUMMYFUNCTION("""COMPUTED_VALUE"""),"Male")</f>
        <v>Male</v>
      </c>
      <c r="E880" s="1" t="str">
        <f ca="1">IFERROR(__xludf.DUMMYFUNCTION("""COMPUTED_VALUE"""),"Influencers who had successful careers")</f>
        <v>Influencers who had successful careers</v>
      </c>
      <c r="F880" s="1" t="str">
        <f ca="1">IFERROR(__xludf.DUMMYFUNCTION("""COMPUTED_VALUE"""),"No I would not be pursuing Higher Education outside of India")</f>
        <v>No I would not be pursuing Higher Education outside of India</v>
      </c>
      <c r="G880" s="1" t="str">
        <f ca="1">IFERROR(__xludf.DUMMYFUNCTION("""COMPUTED_VALUE"""),"This will be hard to do, but if it is the right company I would try")</f>
        <v>This will be hard to do, but if it is the right company I would try</v>
      </c>
      <c r="H880" s="1" t="str">
        <f ca="1">IFERROR(__xludf.DUMMYFUNCTION("""COMPUTED_VALUE"""),"Yes")</f>
        <v>Yes</v>
      </c>
      <c r="I880" s="1" t="str">
        <f ca="1">IFERROR(__xludf.DUMMYFUNCTION("""COMPUTED_VALUE"""),"Will NOT work for them")</f>
        <v>Will NOT work for them</v>
      </c>
      <c r="J880" s="1">
        <f ca="1">IFERROR(__xludf.DUMMYFUNCTION("""COMPUTED_VALUE"""),9)</f>
        <v>9</v>
      </c>
      <c r="K880" s="1" t="str">
        <f ca="1">IFERROR(__xludf.DUMMYFUNCTION("""COMPUTED_VALUE"""),"Fully Remote with Options to travel as and when needed")</f>
        <v>Fully Remote with Options to travel as and when needed</v>
      </c>
      <c r="L880" s="1" t="str">
        <f ca="1">IFERROR(__xludf.DUMMYFUNCTION("""COMPUTED_VALUE"""),"Employer who pushes your limits by enabling an learning environment, and rewards you at the end")</f>
        <v>Employer who pushes your limits by enabling an learning environment, and rewards you at the end</v>
      </c>
      <c r="M88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80" s="1" t="str">
        <f ca="1">IFERROR(__xludf.DUMMYFUNCTION("""COMPUTED_VALUE"""),"Teaching in any of the institutes/colleges/online or offline, Business Operations in any organization, Entrepreneur or Start Up, I Want to sell things/Sales")</f>
        <v>Teaching in any of the institutes/colleges/online or offline, Business Operations in any organization, Entrepreneur or Start Up, I Want to sell things/Sales</v>
      </c>
      <c r="O880" s="1" t="str">
        <f ca="1">IFERROR(__xludf.DUMMYFUNCTION("""COMPUTED_VALUE"""),"Manager who sets unrealistic targets")</f>
        <v>Manager who sets unrealistic targets</v>
      </c>
      <c r="P880" s="1" t="str">
        <f ca="1">IFERROR(__xludf.DUMMYFUNCTION("""COMPUTED_VALUE"""),"Work with 2 to 3 people in my team, Work with 5 to 6 people in my team")</f>
        <v>Work with 2 to 3 people in my team, Work with 5 to 6 people in my team</v>
      </c>
      <c r="Q880" s="1"/>
    </row>
    <row r="881" spans="1:17" ht="13.2" x14ac:dyDescent="0.25">
      <c r="A881" s="2">
        <f ca="1">IFERROR(__xludf.DUMMYFUNCTION("""COMPUTED_VALUE"""),45024.0384768981)</f>
        <v>45024.038476898102</v>
      </c>
      <c r="B881" s="1" t="str">
        <f ca="1">IFERROR(__xludf.DUMMYFUNCTION("""COMPUTED_VALUE"""),"India")</f>
        <v>India</v>
      </c>
      <c r="C881" s="1">
        <f ca="1">IFERROR(__xludf.DUMMYFUNCTION("""COMPUTED_VALUE"""),600031)</f>
        <v>600031</v>
      </c>
      <c r="D881" s="3" t="str">
        <f ca="1">IFERROR(__xludf.DUMMYFUNCTION("""COMPUTED_VALUE"""),"Male")</f>
        <v>Male</v>
      </c>
      <c r="E881" s="1" t="str">
        <f ca="1">IFERROR(__xludf.DUMMYFUNCTION("""COMPUTED_VALUE"""),"People who have changed the world for better")</f>
        <v>People who have changed the world for better</v>
      </c>
      <c r="F881" s="1" t="str">
        <f ca="1">IFERROR(__xludf.DUMMYFUNCTION("""COMPUTED_VALUE"""),"No I would not be pursuing Higher Education outside of India")</f>
        <v>No I would not be pursuing Higher Education outside of India</v>
      </c>
      <c r="G881" s="1" t="str">
        <f ca="1">IFERROR(__xludf.DUMMYFUNCTION("""COMPUTED_VALUE"""),"Will work for 3 years or more")</f>
        <v>Will work for 3 years or more</v>
      </c>
      <c r="H881" s="1" t="str">
        <f ca="1">IFERROR(__xludf.DUMMYFUNCTION("""COMPUTED_VALUE"""),"No")</f>
        <v>No</v>
      </c>
      <c r="I881" s="1" t="str">
        <f ca="1">IFERROR(__xludf.DUMMYFUNCTION("""COMPUTED_VALUE"""),"Will NOT work for them")</f>
        <v>Will NOT work for them</v>
      </c>
      <c r="J881" s="1">
        <f ca="1">IFERROR(__xludf.DUMMYFUNCTION("""COMPUTED_VALUE"""),5)</f>
        <v>5</v>
      </c>
      <c r="K881" s="1" t="str">
        <f ca="1">IFERROR(__xludf.DUMMYFUNCTION("""COMPUTED_VALUE"""),"Hybrid Working Environment with more than 15 days a month at office")</f>
        <v>Hybrid Working Environment with more than 15 days a month at office</v>
      </c>
      <c r="L881" s="1" t="str">
        <f ca="1">IFERROR(__xludf.DUMMYFUNCTION("""COMPUTED_VALUE"""),"Employer who pushes your limits by enabling an learning environment, and rewards you at the end")</f>
        <v>Employer who pushes your limits by enabling an learning environment, and rewards you at the end</v>
      </c>
      <c r="M8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81"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881" s="1" t="str">
        <f ca="1">IFERROR(__xludf.DUMMYFUNCTION("""COMPUTED_VALUE"""),"Manager who explains what is expected, sets a goal and helps achieve it")</f>
        <v>Manager who explains what is expected, sets a goal and helps achieve it</v>
      </c>
      <c r="P881" s="1" t="str">
        <f ca="1">IFERROR(__xludf.DUMMYFUNCTION("""COMPUTED_VALUE"""),"Work with 2 to 3 people in my team, Work with 5 to 6 people in my team")</f>
        <v>Work with 2 to 3 people in my team, Work with 5 to 6 people in my team</v>
      </c>
      <c r="Q881" s="1"/>
    </row>
    <row r="882" spans="1:17" ht="13.2" x14ac:dyDescent="0.25">
      <c r="A882" s="2">
        <f ca="1">IFERROR(__xludf.DUMMYFUNCTION("""COMPUTED_VALUE"""),45024.0388207523)</f>
        <v>45024.038820752299</v>
      </c>
      <c r="B882" s="1" t="str">
        <f ca="1">IFERROR(__xludf.DUMMYFUNCTION("""COMPUTED_VALUE"""),"India")</f>
        <v>India</v>
      </c>
      <c r="C882" s="1">
        <f ca="1">IFERROR(__xludf.DUMMYFUNCTION("""COMPUTED_VALUE"""),440009)</f>
        <v>440009</v>
      </c>
      <c r="D882" s="3" t="str">
        <f ca="1">IFERROR(__xludf.DUMMYFUNCTION("""COMPUTED_VALUE"""),"Male")</f>
        <v>Male</v>
      </c>
      <c r="E882" s="1" t="str">
        <f ca="1">IFERROR(__xludf.DUMMYFUNCTION("""COMPUTED_VALUE"""),"Social Media like LinkedIn")</f>
        <v>Social Media like LinkedIn</v>
      </c>
      <c r="F882" s="1" t="str">
        <f ca="1">IFERROR(__xludf.DUMMYFUNCTION("""COMPUTED_VALUE"""),"Yes, I will earn and do that")</f>
        <v>Yes, I will earn and do that</v>
      </c>
      <c r="G882" s="1" t="str">
        <f ca="1">IFERROR(__xludf.DUMMYFUNCTION("""COMPUTED_VALUE"""),"Will work for 3 years or more")</f>
        <v>Will work for 3 years or more</v>
      </c>
      <c r="H882" s="1" t="str">
        <f ca="1">IFERROR(__xludf.DUMMYFUNCTION("""COMPUTED_VALUE"""),"No")</f>
        <v>No</v>
      </c>
      <c r="I882" s="1" t="str">
        <f ca="1">IFERROR(__xludf.DUMMYFUNCTION("""COMPUTED_VALUE"""),"Will NOT work for them")</f>
        <v>Will NOT work for them</v>
      </c>
      <c r="J882" s="1">
        <f ca="1">IFERROR(__xludf.DUMMYFUNCTION("""COMPUTED_VALUE"""),5)</f>
        <v>5</v>
      </c>
      <c r="K882" s="1" t="str">
        <f ca="1">IFERROR(__xludf.DUMMYFUNCTION("""COMPUTED_VALUE"""),"Hybrid Working Environment with more than 15 days a month at office")</f>
        <v>Hybrid Working Environment with more than 15 days a month at office</v>
      </c>
      <c r="L882" s="1" t="str">
        <f ca="1">IFERROR(__xludf.DUMMYFUNCTION("""COMPUTED_VALUE"""),"Employer who pushes your limits by enabling an learning environment, and rewards you at the end")</f>
        <v>Employer who pushes your limits by enabling an learning environment, and rewards you at the end</v>
      </c>
      <c r="M88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882"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2" s="1" t="str">
        <f ca="1">IFERROR(__xludf.DUMMYFUNCTION("""COMPUTED_VALUE"""),"Manager who explains what is expected, sets a goal and helps achieve it")</f>
        <v>Manager who explains what is expected, sets a goal and helps achieve it</v>
      </c>
      <c r="P882" s="1" t="str">
        <f ca="1">IFERROR(__xludf.DUMMYFUNCTION("""COMPUTED_VALUE"""),"Work with 2 to 3 people in my team, Work with 5 to 6 people in my team")</f>
        <v>Work with 2 to 3 people in my team, Work with 5 to 6 people in my team</v>
      </c>
      <c r="Q882" s="1"/>
    </row>
    <row r="883" spans="1:17" ht="13.2" x14ac:dyDescent="0.25">
      <c r="A883" s="2">
        <f ca="1">IFERROR(__xludf.DUMMYFUNCTION("""COMPUTED_VALUE"""),45024.0413211574)</f>
        <v>45024.041321157398</v>
      </c>
      <c r="B883" s="1" t="str">
        <f ca="1">IFERROR(__xludf.DUMMYFUNCTION("""COMPUTED_VALUE"""),"India")</f>
        <v>India</v>
      </c>
      <c r="C883" s="1">
        <f ca="1">IFERROR(__xludf.DUMMYFUNCTION("""COMPUTED_VALUE"""),60020)</f>
        <v>60020</v>
      </c>
      <c r="D883" s="3" t="str">
        <f ca="1">IFERROR(__xludf.DUMMYFUNCTION("""COMPUTED_VALUE"""),"Female")</f>
        <v>Female</v>
      </c>
      <c r="E883" s="1" t="str">
        <f ca="1">IFERROR(__xludf.DUMMYFUNCTION("""COMPUTED_VALUE"""),"Social Media like LinkedIn")</f>
        <v>Social Media like LinkedIn</v>
      </c>
      <c r="F883" s="1" t="str">
        <f ca="1">IFERROR(__xludf.DUMMYFUNCTION("""COMPUTED_VALUE"""),"Yes, I will earn and do that")</f>
        <v>Yes, I will earn and do that</v>
      </c>
      <c r="G883" s="1" t="str">
        <f ca="1">IFERROR(__xludf.DUMMYFUNCTION("""COMPUTED_VALUE"""),"This will be hard to do, but if it is the right company I would try")</f>
        <v>This will be hard to do, but if it is the right company I would try</v>
      </c>
      <c r="H883" s="1" t="str">
        <f ca="1">IFERROR(__xludf.DUMMYFUNCTION("""COMPUTED_VALUE"""),"Yes")</f>
        <v>Yes</v>
      </c>
      <c r="I883" s="1" t="str">
        <f ca="1">IFERROR(__xludf.DUMMYFUNCTION("""COMPUTED_VALUE"""),"Will work for them")</f>
        <v>Will work for them</v>
      </c>
      <c r="J883" s="1">
        <f ca="1">IFERROR(__xludf.DUMMYFUNCTION("""COMPUTED_VALUE"""),10)</f>
        <v>10</v>
      </c>
      <c r="K883" s="1" t="str">
        <f ca="1">IFERROR(__xludf.DUMMYFUNCTION("""COMPUTED_VALUE"""),"Hybrid Working Environment with more than 15 days a month at office")</f>
        <v>Hybrid Working Environment with more than 15 days a month at office</v>
      </c>
      <c r="L883" s="1" t="str">
        <f ca="1">IFERROR(__xludf.DUMMYFUNCTION("""COMPUTED_VALUE"""),"Employer who rewards learning and enables that environment")</f>
        <v>Employer who rewards learning and enables that environment</v>
      </c>
      <c r="M88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83" s="1" t="str">
        <f ca="1">IFERROR(__xludf.DUMMYFUNCTION("""COMPUTED_VALUE"""),"Manager who clearly describes what she/he needs")</f>
        <v>Manager who clearly describes what she/he needs</v>
      </c>
      <c r="P883" s="1" t="str">
        <f ca="1">IFERROR(__xludf.DUMMYFUNCTION("""COMPUTED_VALUE"""),"Work with 2 to 3 people in my team, Work with 5 to 6 people in my team")</f>
        <v>Work with 2 to 3 people in my team, Work with 5 to 6 people in my team</v>
      </c>
      <c r="Q883" s="1"/>
    </row>
    <row r="884" spans="1:17" ht="13.2" x14ac:dyDescent="0.25">
      <c r="A884" s="2">
        <f ca="1">IFERROR(__xludf.DUMMYFUNCTION("""COMPUTED_VALUE"""),45024.0459674074)</f>
        <v>45024.045967407401</v>
      </c>
      <c r="B884" s="1" t="str">
        <f ca="1">IFERROR(__xludf.DUMMYFUNCTION("""COMPUTED_VALUE"""),"India")</f>
        <v>India</v>
      </c>
      <c r="C884" s="1">
        <f ca="1">IFERROR(__xludf.DUMMYFUNCTION("""COMPUTED_VALUE"""),400701)</f>
        <v>400701</v>
      </c>
      <c r="D884" s="3" t="str">
        <f ca="1">IFERROR(__xludf.DUMMYFUNCTION("""COMPUTED_VALUE"""),"Female")</f>
        <v>Female</v>
      </c>
      <c r="E884" s="1" t="str">
        <f ca="1">IFERROR(__xludf.DUMMYFUNCTION("""COMPUTED_VALUE"""),"People who have changed the world for better")</f>
        <v>People who have changed the world for better</v>
      </c>
      <c r="F884" s="1" t="str">
        <f ca="1">IFERROR(__xludf.DUMMYFUNCTION("""COMPUTED_VALUE"""),"No, But if someone could bare the cost I will")</f>
        <v>No, But if someone could bare the cost I will</v>
      </c>
      <c r="G884" s="1" t="str">
        <f ca="1">IFERROR(__xludf.DUMMYFUNCTION("""COMPUTED_VALUE"""),"This will be hard to do, but if it is the right company I would try")</f>
        <v>This will be hard to do, but if it is the right company I would try</v>
      </c>
      <c r="H884" s="1" t="str">
        <f ca="1">IFERROR(__xludf.DUMMYFUNCTION("""COMPUTED_VALUE"""),"No")</f>
        <v>No</v>
      </c>
      <c r="I884" s="1" t="str">
        <f ca="1">IFERROR(__xludf.DUMMYFUNCTION("""COMPUTED_VALUE"""),"Will work for them")</f>
        <v>Will work for them</v>
      </c>
      <c r="J884" s="1">
        <f ca="1">IFERROR(__xludf.DUMMYFUNCTION("""COMPUTED_VALUE"""),7)</f>
        <v>7</v>
      </c>
      <c r="K884" s="1" t="str">
        <f ca="1">IFERROR(__xludf.DUMMYFUNCTION("""COMPUTED_VALUE"""),"Fully Remote with No option to visit offices")</f>
        <v>Fully Remote with No option to visit offices</v>
      </c>
      <c r="L884" s="1" t="str">
        <f ca="1">IFERROR(__xludf.DUMMYFUNCTION("""COMPUTED_VALUE"""),"Employer who pushes your limits and doesn't enables learning environment and never rewards you")</f>
        <v>Employer who pushes your limits and doesn't enables learning environment and never rewards you</v>
      </c>
      <c r="M88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84" s="1" t="str">
        <f ca="1">IFERROR(__xludf.DUMMYFUNCTION("""COMPUTED_VALUE"""),"Manage and drive End-to-End Projects or Products, Look deeply into Data and generate insights, Become a content Creator in some platform, An Artificial Intelligence Specialist / Talking to Robots")</f>
        <v>Manage and drive End-to-End Projects or Products, Look deeply into Data and generate insights, Become a content Creator in some platform, An Artificial Intelligence Specialist / Talking to Robots</v>
      </c>
      <c r="O884" s="1" t="str">
        <f ca="1">IFERROR(__xludf.DUMMYFUNCTION("""COMPUTED_VALUE"""),"Manager who sets goal and helps me achieve it")</f>
        <v>Manager who sets goal and helps me achieve it</v>
      </c>
      <c r="P88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84" s="1"/>
    </row>
    <row r="885" spans="1:17" ht="13.2" x14ac:dyDescent="0.25">
      <c r="A885" s="2">
        <f ca="1">IFERROR(__xludf.DUMMYFUNCTION("""COMPUTED_VALUE"""),45024.0465005324)</f>
        <v>45024.0465005324</v>
      </c>
      <c r="B885" s="1" t="str">
        <f ca="1">IFERROR(__xludf.DUMMYFUNCTION("""COMPUTED_VALUE"""),"India")</f>
        <v>India</v>
      </c>
      <c r="C885" s="1">
        <f ca="1">IFERROR(__xludf.DUMMYFUNCTION("""COMPUTED_VALUE"""),400024)</f>
        <v>400024</v>
      </c>
      <c r="D885" s="3" t="str">
        <f ca="1">IFERROR(__xludf.DUMMYFUNCTION("""COMPUTED_VALUE"""),"Male")</f>
        <v>Male</v>
      </c>
      <c r="E885" s="1" t="str">
        <f ca="1">IFERROR(__xludf.DUMMYFUNCTION("""COMPUTED_VALUE"""),"People from my circle, but not family members")</f>
        <v>People from my circle, but not family members</v>
      </c>
      <c r="F885" s="1" t="str">
        <f ca="1">IFERROR(__xludf.DUMMYFUNCTION("""COMPUTED_VALUE"""),"No, But if someone could bare the cost I will")</f>
        <v>No, But if someone could bare the cost I will</v>
      </c>
      <c r="G885" s="1" t="str">
        <f ca="1">IFERROR(__xludf.DUMMYFUNCTION("""COMPUTED_VALUE"""),"Will work for 3 years or more")</f>
        <v>Will work for 3 years or more</v>
      </c>
      <c r="H885" s="1" t="str">
        <f ca="1">IFERROR(__xludf.DUMMYFUNCTION("""COMPUTED_VALUE"""),"Yes")</f>
        <v>Yes</v>
      </c>
      <c r="I885" s="1" t="str">
        <f ca="1">IFERROR(__xludf.DUMMYFUNCTION("""COMPUTED_VALUE"""),"Will work for them")</f>
        <v>Will work for them</v>
      </c>
      <c r="J885" s="1">
        <f ca="1">IFERROR(__xludf.DUMMYFUNCTION("""COMPUTED_VALUE"""),3)</f>
        <v>3</v>
      </c>
      <c r="K885" s="1" t="str">
        <f ca="1">IFERROR(__xludf.DUMMYFUNCTION("""COMPUTED_VALUE"""),"Hybrid Working Environment with less than 3 days a month at office")</f>
        <v>Hybrid Working Environment with less than 3 days a month at office</v>
      </c>
      <c r="L885" s="1" t="str">
        <f ca="1">IFERROR(__xludf.DUMMYFUNCTION("""COMPUTED_VALUE"""),"Employer who pushes your limits by enabling an learning environment, and rewards you at the end")</f>
        <v>Employer who pushes your limits by enabling an learning environment, and rewards you at the end</v>
      </c>
      <c r="M8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5"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5" s="1" t="str">
        <f ca="1">IFERROR(__xludf.DUMMYFUNCTION("""COMPUTED_VALUE"""),"Manager who explains what is expected, sets a goal and helps achieve it")</f>
        <v>Manager who explains what is expected, sets a goal and helps achieve it</v>
      </c>
      <c r="P885" s="1" t="str">
        <f ca="1">IFERROR(__xludf.DUMMYFUNCTION("""COMPUTED_VALUE"""),"Work alone, Work with 2 to 3 people in my team, Work with 5 to 6 people in my team")</f>
        <v>Work alone, Work with 2 to 3 people in my team, Work with 5 to 6 people in my team</v>
      </c>
      <c r="Q885" s="1"/>
    </row>
    <row r="886" spans="1:17" ht="13.2" x14ac:dyDescent="0.25">
      <c r="A886" s="2">
        <f ca="1">IFERROR(__xludf.DUMMYFUNCTION("""COMPUTED_VALUE"""),45024.0496217708)</f>
        <v>45024.049621770799</v>
      </c>
      <c r="B886" s="1" t="str">
        <f ca="1">IFERROR(__xludf.DUMMYFUNCTION("""COMPUTED_VALUE"""),"India")</f>
        <v>India</v>
      </c>
      <c r="C886" s="1">
        <f ca="1">IFERROR(__xludf.DUMMYFUNCTION("""COMPUTED_VALUE"""),201009)</f>
        <v>201009</v>
      </c>
      <c r="D886" s="3" t="str">
        <f ca="1">IFERROR(__xludf.DUMMYFUNCTION("""COMPUTED_VALUE"""),"Male")</f>
        <v>Male</v>
      </c>
      <c r="E886" s="1" t="str">
        <f ca="1">IFERROR(__xludf.DUMMYFUNCTION("""COMPUTED_VALUE"""),"People from my circle, but not family members")</f>
        <v>People from my circle, but not family members</v>
      </c>
      <c r="F886" s="1" t="str">
        <f ca="1">IFERROR(__xludf.DUMMYFUNCTION("""COMPUTED_VALUE"""),"Yes, I will earn and do that")</f>
        <v>Yes, I will earn and do that</v>
      </c>
      <c r="G886" s="1" t="str">
        <f ca="1">IFERROR(__xludf.DUMMYFUNCTION("""COMPUTED_VALUE"""),"This will be hard to do, but if it is the right company I would try")</f>
        <v>This will be hard to do, but if it is the right company I would try</v>
      </c>
      <c r="H886" s="1" t="str">
        <f ca="1">IFERROR(__xludf.DUMMYFUNCTION("""COMPUTED_VALUE"""),"No")</f>
        <v>No</v>
      </c>
      <c r="I886" s="1" t="str">
        <f ca="1">IFERROR(__xludf.DUMMYFUNCTION("""COMPUTED_VALUE"""),"Will NOT work for them")</f>
        <v>Will NOT work for them</v>
      </c>
      <c r="J886" s="1">
        <f ca="1">IFERROR(__xludf.DUMMYFUNCTION("""COMPUTED_VALUE"""),4)</f>
        <v>4</v>
      </c>
      <c r="K886" s="1" t="str">
        <f ca="1">IFERROR(__xludf.DUMMYFUNCTION("""COMPUTED_VALUE"""),"Hybrid Working Environment with more than 15 days a month at office")</f>
        <v>Hybrid Working Environment with more than 15 days a month at office</v>
      </c>
      <c r="L886" s="1" t="str">
        <f ca="1">IFERROR(__xludf.DUMMYFUNCTION("""COMPUTED_VALUE"""),"Employer who pushes your limits by enabling an learning environment, and rewards you at the end")</f>
        <v>Employer who pushes your limits by enabling an learning environment, and rewards you at the end</v>
      </c>
      <c r="M88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86"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86" s="1" t="str">
        <f ca="1">IFERROR(__xludf.DUMMYFUNCTION("""COMPUTED_VALUE"""),"Manager who explains what is expected, sets a goal and helps achieve it")</f>
        <v>Manager who explains what is expected, sets a goal and helps achieve it</v>
      </c>
      <c r="P886" s="1" t="str">
        <f ca="1">IFERROR(__xludf.DUMMYFUNCTION("""COMPUTED_VALUE"""),"Work with 5 to 6 people in my team")</f>
        <v>Work with 5 to 6 people in my team</v>
      </c>
      <c r="Q886" s="1"/>
    </row>
    <row r="887" spans="1:17" ht="13.2" x14ac:dyDescent="0.25">
      <c r="A887" s="2">
        <f ca="1">IFERROR(__xludf.DUMMYFUNCTION("""COMPUTED_VALUE"""),45024.0516185416)</f>
        <v>45024.051618541598</v>
      </c>
      <c r="B887" s="1" t="str">
        <f ca="1">IFERROR(__xludf.DUMMYFUNCTION("""COMPUTED_VALUE"""),"India")</f>
        <v>India</v>
      </c>
      <c r="C887" s="1">
        <f ca="1">IFERROR(__xludf.DUMMYFUNCTION("""COMPUTED_VALUE"""),201002)</f>
        <v>201002</v>
      </c>
      <c r="D887" s="3" t="str">
        <f ca="1">IFERROR(__xludf.DUMMYFUNCTION("""COMPUTED_VALUE"""),"Male")</f>
        <v>Male</v>
      </c>
      <c r="E887" s="1" t="str">
        <f ca="1">IFERROR(__xludf.DUMMYFUNCTION("""COMPUTED_VALUE"""),"Social Media like LinkedIn")</f>
        <v>Social Media like LinkedIn</v>
      </c>
      <c r="F887" s="1" t="str">
        <f ca="1">IFERROR(__xludf.DUMMYFUNCTION("""COMPUTED_VALUE"""),"Yes, I will earn and do that")</f>
        <v>Yes, I will earn and do that</v>
      </c>
      <c r="G887" s="1" t="str">
        <f ca="1">IFERROR(__xludf.DUMMYFUNCTION("""COMPUTED_VALUE"""),"This will be hard to do, but if it is the right company I would try")</f>
        <v>This will be hard to do, but if it is the right company I would try</v>
      </c>
      <c r="H887" s="1" t="str">
        <f ca="1">IFERROR(__xludf.DUMMYFUNCTION("""COMPUTED_VALUE"""),"No")</f>
        <v>No</v>
      </c>
      <c r="I887" s="1" t="str">
        <f ca="1">IFERROR(__xludf.DUMMYFUNCTION("""COMPUTED_VALUE"""),"Will work for them")</f>
        <v>Will work for them</v>
      </c>
      <c r="J887" s="1">
        <f ca="1">IFERROR(__xludf.DUMMYFUNCTION("""COMPUTED_VALUE"""),5)</f>
        <v>5</v>
      </c>
      <c r="K887" s="1" t="str">
        <f ca="1">IFERROR(__xludf.DUMMYFUNCTION("""COMPUTED_VALUE"""),"Fully Remote with Options to travel as and when needed")</f>
        <v>Fully Remote with Options to travel as and when needed</v>
      </c>
      <c r="L887" s="1" t="str">
        <f ca="1">IFERROR(__xludf.DUMMYFUNCTION("""COMPUTED_VALUE"""),"Employer who pushes your limits by enabling an learning environment, and rewards you at the end")</f>
        <v>Employer who pushes your limits by enabling an learning environment, and rewards you at the end</v>
      </c>
      <c r="M88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8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87" s="1" t="str">
        <f ca="1">IFERROR(__xludf.DUMMYFUNCTION("""COMPUTED_VALUE"""),"Manager who explains what is expected, sets a goal and helps achieve it")</f>
        <v>Manager who explains what is expected, sets a goal and helps achieve it</v>
      </c>
      <c r="P887" s="1" t="str">
        <f ca="1">IFERROR(__xludf.DUMMYFUNCTION("""COMPUTED_VALUE"""),"Work with 2 to 3 people in my team, Work with more than 10 people in my team")</f>
        <v>Work with 2 to 3 people in my team, Work with more than 10 people in my team</v>
      </c>
      <c r="Q887" s="1"/>
    </row>
    <row r="888" spans="1:17" ht="13.2" x14ac:dyDescent="0.25">
      <c r="A888" s="2">
        <f ca="1">IFERROR(__xludf.DUMMYFUNCTION("""COMPUTED_VALUE"""),45024.0536983796)</f>
        <v>45024.053698379597</v>
      </c>
      <c r="B888" s="1" t="str">
        <f ca="1">IFERROR(__xludf.DUMMYFUNCTION("""COMPUTED_VALUE"""),"India")</f>
        <v>India</v>
      </c>
      <c r="C888" s="1">
        <f ca="1">IFERROR(__xludf.DUMMYFUNCTION("""COMPUTED_VALUE"""),201309)</f>
        <v>201309</v>
      </c>
      <c r="D888" s="3" t="str">
        <f ca="1">IFERROR(__xludf.DUMMYFUNCTION("""COMPUTED_VALUE"""),"Male")</f>
        <v>Male</v>
      </c>
      <c r="E888" s="1" t="str">
        <f ca="1">IFERROR(__xludf.DUMMYFUNCTION("""COMPUTED_VALUE"""),"Social Media like LinkedIn")</f>
        <v>Social Media like LinkedIn</v>
      </c>
      <c r="F888" s="1" t="str">
        <f ca="1">IFERROR(__xludf.DUMMYFUNCTION("""COMPUTED_VALUE"""),"No I would not be pursuing Higher Education outside of India")</f>
        <v>No I would not be pursuing Higher Education outside of India</v>
      </c>
      <c r="G888" s="1" t="str">
        <f ca="1">IFERROR(__xludf.DUMMYFUNCTION("""COMPUTED_VALUE"""),"Will work for 3 years or more")</f>
        <v>Will work for 3 years or more</v>
      </c>
      <c r="H888" s="1" t="str">
        <f ca="1">IFERROR(__xludf.DUMMYFUNCTION("""COMPUTED_VALUE"""),"No")</f>
        <v>No</v>
      </c>
      <c r="I888" s="1" t="str">
        <f ca="1">IFERROR(__xludf.DUMMYFUNCTION("""COMPUTED_VALUE"""),"Will NOT work for them")</f>
        <v>Will NOT work for them</v>
      </c>
      <c r="J888" s="1">
        <f ca="1">IFERROR(__xludf.DUMMYFUNCTION("""COMPUTED_VALUE"""),4)</f>
        <v>4</v>
      </c>
      <c r="K888" s="1" t="str">
        <f ca="1">IFERROR(__xludf.DUMMYFUNCTION("""COMPUTED_VALUE"""),"Fully Remote with Options to travel as and when needed")</f>
        <v>Fully Remote with Options to travel as and when needed</v>
      </c>
      <c r="L888" s="1" t="str">
        <f ca="1">IFERROR(__xludf.DUMMYFUNCTION("""COMPUTED_VALUE"""),"Employer who appreciates learning and enables that environment")</f>
        <v>Employer who appreciates learning and enables that environment</v>
      </c>
      <c r="M88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888" s="1" t="str">
        <f ca="1">IFERROR(__xludf.DUMMYFUNCTION("""COMPUTED_VALUE"""),"Manager who clearly describes what she/he needs")</f>
        <v>Manager who clearly describes what she/he needs</v>
      </c>
      <c r="P888" s="1" t="str">
        <f ca="1">IFERROR(__xludf.DUMMYFUNCTION("""COMPUTED_VALUE"""),"Work with 5 to 6 people in my team")</f>
        <v>Work with 5 to 6 people in my team</v>
      </c>
      <c r="Q888" s="1"/>
    </row>
    <row r="889" spans="1:17" ht="13.2" x14ac:dyDescent="0.25">
      <c r="A889" s="2">
        <f ca="1">IFERROR(__xludf.DUMMYFUNCTION("""COMPUTED_VALUE"""),45024.061912118)</f>
        <v>45024.061912117999</v>
      </c>
      <c r="B889" s="1" t="str">
        <f ca="1">IFERROR(__xludf.DUMMYFUNCTION("""COMPUTED_VALUE"""),"India")</f>
        <v>India</v>
      </c>
      <c r="C889" s="1">
        <f ca="1">IFERROR(__xludf.DUMMYFUNCTION("""COMPUTED_VALUE"""),482020)</f>
        <v>482020</v>
      </c>
      <c r="D889" s="3" t="str">
        <f ca="1">IFERROR(__xludf.DUMMYFUNCTION("""COMPUTED_VALUE"""),"Male")</f>
        <v>Male</v>
      </c>
      <c r="E889" s="1" t="str">
        <f ca="1">IFERROR(__xludf.DUMMYFUNCTION("""COMPUTED_VALUE"""),"People who have changed the world for better")</f>
        <v>People who have changed the world for better</v>
      </c>
      <c r="F889" s="1" t="str">
        <f ca="1">IFERROR(__xludf.DUMMYFUNCTION("""COMPUTED_VALUE"""),"Yes, I will earn and do that")</f>
        <v>Yes, I will earn and do that</v>
      </c>
      <c r="G889" s="1" t="str">
        <f ca="1">IFERROR(__xludf.DUMMYFUNCTION("""COMPUTED_VALUE"""),"This will be hard to do, but if it is the right company I would try")</f>
        <v>This will be hard to do, but if it is the right company I would try</v>
      </c>
      <c r="H889" s="1" t="str">
        <f ca="1">IFERROR(__xludf.DUMMYFUNCTION("""COMPUTED_VALUE"""),"No")</f>
        <v>No</v>
      </c>
      <c r="I889" s="1" t="str">
        <f ca="1">IFERROR(__xludf.DUMMYFUNCTION("""COMPUTED_VALUE"""),"Will NOT work for them")</f>
        <v>Will NOT work for them</v>
      </c>
      <c r="J889" s="1">
        <f ca="1">IFERROR(__xludf.DUMMYFUNCTION("""COMPUTED_VALUE"""),7)</f>
        <v>7</v>
      </c>
      <c r="K889" s="1" t="str">
        <f ca="1">IFERROR(__xludf.DUMMYFUNCTION("""COMPUTED_VALUE"""),"Every Day Office Environment")</f>
        <v>Every Day Office Environment</v>
      </c>
      <c r="L889" s="1" t="str">
        <f ca="1">IFERROR(__xludf.DUMMYFUNCTION("""COMPUTED_VALUE"""),"Employer who pushes your limits by enabling an learning environment, and rewards you at the end")</f>
        <v>Employer who pushes your limits by enabling an learning environment, and rewards you at the end</v>
      </c>
      <c r="M889" s="1" t="str">
        <f ca="1">IFERROR(__xludf.DUMMYFUNCTION("""COMPUTED_VALUE"""),"Self Paced Learning Portals of the Company, Instructor or Expert Learning Programs, Manager Teaching you")</f>
        <v>Self Paced Learning Portals of the Company, Instructor or Expert Learning Programs, Manager Teaching you</v>
      </c>
      <c r="N88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89" s="1" t="str">
        <f ca="1">IFERROR(__xludf.DUMMYFUNCTION("""COMPUTED_VALUE"""),"Manager who explains what is expected, sets a goal and helps achieve it")</f>
        <v>Manager who explains what is expected, sets a goal and helps achieve it</v>
      </c>
      <c r="P889" s="1" t="str">
        <f ca="1">IFERROR(__xludf.DUMMYFUNCTION("""COMPUTED_VALUE"""),"Work with more than 10 people in my team")</f>
        <v>Work with more than 10 people in my team</v>
      </c>
      <c r="Q889" s="1"/>
    </row>
    <row r="890" spans="1:17" ht="13.2" x14ac:dyDescent="0.25">
      <c r="A890" s="2">
        <f ca="1">IFERROR(__xludf.DUMMYFUNCTION("""COMPUTED_VALUE"""),45024.0718619791)</f>
        <v>45024.071861979101</v>
      </c>
      <c r="B890" s="1" t="str">
        <f ca="1">IFERROR(__xludf.DUMMYFUNCTION("""COMPUTED_VALUE"""),"India")</f>
        <v>India</v>
      </c>
      <c r="C890" s="1">
        <f ca="1">IFERROR(__xludf.DUMMYFUNCTION("""COMPUTED_VALUE"""),500056)</f>
        <v>500056</v>
      </c>
      <c r="D890" s="3" t="str">
        <f ca="1">IFERROR(__xludf.DUMMYFUNCTION("""COMPUTED_VALUE"""),"Female")</f>
        <v>Female</v>
      </c>
      <c r="E890" s="1" t="str">
        <f ca="1">IFERROR(__xludf.DUMMYFUNCTION("""COMPUTED_VALUE"""),"Influencers who had successful careers")</f>
        <v>Influencers who had successful careers</v>
      </c>
      <c r="F890" s="1" t="str">
        <f ca="1">IFERROR(__xludf.DUMMYFUNCTION("""COMPUTED_VALUE"""),"No I would not be pursuing Higher Education outside of India")</f>
        <v>No I would not be pursuing Higher Education outside of India</v>
      </c>
      <c r="G890" s="1" t="str">
        <f ca="1">IFERROR(__xludf.DUMMYFUNCTION("""COMPUTED_VALUE"""),"Will work for 3 years or more")</f>
        <v>Will work for 3 years or more</v>
      </c>
      <c r="H890" s="1" t="str">
        <f ca="1">IFERROR(__xludf.DUMMYFUNCTION("""COMPUTED_VALUE"""),"Yes")</f>
        <v>Yes</v>
      </c>
      <c r="I890" s="1" t="str">
        <f ca="1">IFERROR(__xludf.DUMMYFUNCTION("""COMPUTED_VALUE"""),"Will work for them")</f>
        <v>Will work for them</v>
      </c>
      <c r="J890" s="1">
        <f ca="1">IFERROR(__xludf.DUMMYFUNCTION("""COMPUTED_VALUE"""),5)</f>
        <v>5</v>
      </c>
      <c r="K890" s="1" t="str">
        <f ca="1">IFERROR(__xludf.DUMMYFUNCTION("""COMPUTED_VALUE"""),"Fully Remote with Options to travel as and when needed")</f>
        <v>Fully Remote with Options to travel as and when needed</v>
      </c>
      <c r="L890" s="1" t="str">
        <f ca="1">IFERROR(__xludf.DUMMYFUNCTION("""COMPUTED_VALUE"""),"Employer who rewards learning and enables that environment")</f>
        <v>Employer who rewards learning and enables that environment</v>
      </c>
      <c r="M89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890" s="1" t="str">
        <f ca="1">IFERROR(__xludf.DUMMYFUNCTION("""COMPUTED_VALUE"""),"Manager who clearly describes what she/he needs")</f>
        <v>Manager who clearly describes what she/he needs</v>
      </c>
      <c r="P890" s="1" t="str">
        <f ca="1">IFERROR(__xludf.DUMMYFUNCTION("""COMPUTED_VALUE"""),"Work with 5 to 6 people in my team")</f>
        <v>Work with 5 to 6 people in my team</v>
      </c>
      <c r="Q890" s="1"/>
    </row>
    <row r="891" spans="1:17" ht="13.2" x14ac:dyDescent="0.25">
      <c r="A891" s="2">
        <f ca="1">IFERROR(__xludf.DUMMYFUNCTION("""COMPUTED_VALUE"""),45024.0856366435)</f>
        <v>45024.085636643496</v>
      </c>
      <c r="B891" s="1" t="str">
        <f ca="1">IFERROR(__xludf.DUMMYFUNCTION("""COMPUTED_VALUE"""),"UAE")</f>
        <v>UAE</v>
      </c>
      <c r="C891" s="1" t="str">
        <f ca="1">IFERROR(__xludf.DUMMYFUNCTION("""COMPUTED_VALUE"""),"00000")</f>
        <v>00000</v>
      </c>
      <c r="D891" s="3" t="str">
        <f ca="1">IFERROR(__xludf.DUMMYFUNCTION("""COMPUTED_VALUE"""),"Male")</f>
        <v>Male</v>
      </c>
      <c r="E891" s="1" t="str">
        <f ca="1">IFERROR(__xludf.DUMMYFUNCTION("""COMPUTED_VALUE"""),"My Parents")</f>
        <v>My Parents</v>
      </c>
      <c r="F891" s="1" t="str">
        <f ca="1">IFERROR(__xludf.DUMMYFUNCTION("""COMPUTED_VALUE"""),"No I would not be pursuing Higher Education outside of India")</f>
        <v>No I would not be pursuing Higher Education outside of India</v>
      </c>
      <c r="G891" s="1" t="str">
        <f ca="1">IFERROR(__xludf.DUMMYFUNCTION("""COMPUTED_VALUE"""),"This will be hard to do, but if it is the right company I would try")</f>
        <v>This will be hard to do, but if it is the right company I would try</v>
      </c>
      <c r="H891" s="1" t="str">
        <f ca="1">IFERROR(__xludf.DUMMYFUNCTION("""COMPUTED_VALUE"""),"No")</f>
        <v>No</v>
      </c>
      <c r="I891" s="1" t="str">
        <f ca="1">IFERROR(__xludf.DUMMYFUNCTION("""COMPUTED_VALUE"""),"Will NOT work for them")</f>
        <v>Will NOT work for them</v>
      </c>
      <c r="J891" s="1">
        <f ca="1">IFERROR(__xludf.DUMMYFUNCTION("""COMPUTED_VALUE"""),3)</f>
        <v>3</v>
      </c>
      <c r="K891" s="1" t="str">
        <f ca="1">IFERROR(__xludf.DUMMYFUNCTION("""COMPUTED_VALUE"""),"Fully Remote with Options to travel as and when needed")</f>
        <v>Fully Remote with Options to travel as and when needed</v>
      </c>
      <c r="L891" s="1" t="str">
        <f ca="1">IFERROR(__xludf.DUMMYFUNCTION("""COMPUTED_VALUE"""),"Employer who pushes your limits by enabling an learning environment, and rewards you at the end")</f>
        <v>Employer who pushes your limits by enabling an learning environment, and rewards you at the end</v>
      </c>
      <c r="M8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9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891" s="1" t="str">
        <f ca="1">IFERROR(__xludf.DUMMYFUNCTION("""COMPUTED_VALUE"""),"Manager who clearly describes what she/he needs")</f>
        <v>Manager who clearly describes what she/he needs</v>
      </c>
      <c r="P891" s="1" t="str">
        <f ca="1">IFERROR(__xludf.DUMMYFUNCTION("""COMPUTED_VALUE"""),"Work with 5 to 6 people in my team")</f>
        <v>Work with 5 to 6 people in my team</v>
      </c>
      <c r="Q891" s="1"/>
    </row>
    <row r="892" spans="1:17" ht="13.2" x14ac:dyDescent="0.25">
      <c r="A892" s="2">
        <f ca="1">IFERROR(__xludf.DUMMYFUNCTION("""COMPUTED_VALUE"""),45024.1452823148)</f>
        <v>45024.145282314799</v>
      </c>
      <c r="B892" s="1" t="str">
        <f ca="1">IFERROR(__xludf.DUMMYFUNCTION("""COMPUTED_VALUE"""),"India")</f>
        <v>India</v>
      </c>
      <c r="C892" s="1">
        <f ca="1">IFERROR(__xludf.DUMMYFUNCTION("""COMPUTED_VALUE"""),560029)</f>
        <v>560029</v>
      </c>
      <c r="D892" s="3" t="str">
        <f ca="1">IFERROR(__xludf.DUMMYFUNCTION("""COMPUTED_VALUE"""),"Male")</f>
        <v>Male</v>
      </c>
      <c r="E892" s="1" t="str">
        <f ca="1">IFERROR(__xludf.DUMMYFUNCTION("""COMPUTED_VALUE"""),"People from my circle, but not family members")</f>
        <v>People from my circle, but not family members</v>
      </c>
      <c r="F892" s="1" t="str">
        <f ca="1">IFERROR(__xludf.DUMMYFUNCTION("""COMPUTED_VALUE"""),"No I would not be pursuing Higher Education outside of India")</f>
        <v>No I would not be pursuing Higher Education outside of India</v>
      </c>
      <c r="G892" s="1" t="str">
        <f ca="1">IFERROR(__xludf.DUMMYFUNCTION("""COMPUTED_VALUE"""),"Will work for 3 years or more")</f>
        <v>Will work for 3 years or more</v>
      </c>
      <c r="H892" s="1" t="str">
        <f ca="1">IFERROR(__xludf.DUMMYFUNCTION("""COMPUTED_VALUE"""),"Yes")</f>
        <v>Yes</v>
      </c>
      <c r="I892" s="1" t="str">
        <f ca="1">IFERROR(__xludf.DUMMYFUNCTION("""COMPUTED_VALUE"""),"Will NOT work for them")</f>
        <v>Will NOT work for them</v>
      </c>
      <c r="J892" s="1">
        <f ca="1">IFERROR(__xludf.DUMMYFUNCTION("""COMPUTED_VALUE"""),5)</f>
        <v>5</v>
      </c>
      <c r="K892" s="1" t="str">
        <f ca="1">IFERROR(__xludf.DUMMYFUNCTION("""COMPUTED_VALUE"""),"Fully Remote with Options to travel as and when needed")</f>
        <v>Fully Remote with Options to travel as and when needed</v>
      </c>
      <c r="L892" s="1" t="str">
        <f ca="1">IFERROR(__xludf.DUMMYFUNCTION("""COMPUTED_VALUE"""),"Employer who rewards learning and enables that environment")</f>
        <v>Employer who rewards learning and enables that environment</v>
      </c>
      <c r="M89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9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92" s="1" t="str">
        <f ca="1">IFERROR(__xludf.DUMMYFUNCTION("""COMPUTED_VALUE"""),"Manager who explains what is expected, sets a goal and helps achieve it")</f>
        <v>Manager who explains what is expected, sets a goal and helps achieve it</v>
      </c>
      <c r="P892" s="1" t="str">
        <f ca="1">IFERROR(__xludf.DUMMYFUNCTION("""COMPUTED_VALUE"""),"Work with 2 to 3 people in my team, Work with 5 to 6 people in my team")</f>
        <v>Work with 2 to 3 people in my team, Work with 5 to 6 people in my team</v>
      </c>
      <c r="Q892" s="1"/>
    </row>
    <row r="893" spans="1:17" ht="13.2" x14ac:dyDescent="0.25">
      <c r="A893" s="2">
        <f ca="1">IFERROR(__xludf.DUMMYFUNCTION("""COMPUTED_VALUE"""),45024.1788948495)</f>
        <v>45024.178894849501</v>
      </c>
      <c r="B893" s="1" t="str">
        <f ca="1">IFERROR(__xludf.DUMMYFUNCTION("""COMPUTED_VALUE"""),"India")</f>
        <v>India</v>
      </c>
      <c r="C893" s="1">
        <f ca="1">IFERROR(__xludf.DUMMYFUNCTION("""COMPUTED_VALUE"""),400601)</f>
        <v>400601</v>
      </c>
      <c r="D893" s="3" t="str">
        <f ca="1">IFERROR(__xludf.DUMMYFUNCTION("""COMPUTED_VALUE"""),"Male")</f>
        <v>Male</v>
      </c>
      <c r="E893" s="1" t="str">
        <f ca="1">IFERROR(__xludf.DUMMYFUNCTION("""COMPUTED_VALUE"""),"People who have changed the world for better")</f>
        <v>People who have changed the world for better</v>
      </c>
      <c r="F893" s="1" t="str">
        <f ca="1">IFERROR(__xludf.DUMMYFUNCTION("""COMPUTED_VALUE"""),"No, But if someone could bare the cost I will")</f>
        <v>No, But if someone could bare the cost I will</v>
      </c>
      <c r="G893" s="1" t="str">
        <f ca="1">IFERROR(__xludf.DUMMYFUNCTION("""COMPUTED_VALUE"""),"This will be hard to do, but if it is the right company I would try")</f>
        <v>This will be hard to do, but if it is the right company I would try</v>
      </c>
      <c r="H893" s="1" t="str">
        <f ca="1">IFERROR(__xludf.DUMMYFUNCTION("""COMPUTED_VALUE"""),"No")</f>
        <v>No</v>
      </c>
      <c r="I893" s="1" t="str">
        <f ca="1">IFERROR(__xludf.DUMMYFUNCTION("""COMPUTED_VALUE"""),"Will NOT work for them")</f>
        <v>Will NOT work for them</v>
      </c>
      <c r="J893" s="1">
        <f ca="1">IFERROR(__xludf.DUMMYFUNCTION("""COMPUTED_VALUE"""),8)</f>
        <v>8</v>
      </c>
      <c r="K893" s="1" t="str">
        <f ca="1">IFERROR(__xludf.DUMMYFUNCTION("""COMPUTED_VALUE"""),"Hybrid Working Environment with more than 15 days a month at office")</f>
        <v>Hybrid Working Environment with more than 15 days a month at office</v>
      </c>
      <c r="L893" s="1" t="str">
        <f ca="1">IFERROR(__xludf.DUMMYFUNCTION("""COMPUTED_VALUE"""),"Employer who pushes your limits by enabling an learning environment, and rewards you at the end")</f>
        <v>Employer who pushes your limits by enabling an learning environment, and rewards you at the end</v>
      </c>
      <c r="M89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9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893" s="1" t="str">
        <f ca="1">IFERROR(__xludf.DUMMYFUNCTION("""COMPUTED_VALUE"""),"Manager who sets goal and helps me achieve it")</f>
        <v>Manager who sets goal and helps me achieve it</v>
      </c>
      <c r="P893" s="1" t="str">
        <f ca="1">IFERROR(__xludf.DUMMYFUNCTION("""COMPUTED_VALUE"""),"Work with 5 to 6 people in my team")</f>
        <v>Work with 5 to 6 people in my team</v>
      </c>
      <c r="Q893" s="1"/>
    </row>
    <row r="894" spans="1:17" ht="13.2" x14ac:dyDescent="0.25">
      <c r="A894" s="2">
        <f ca="1">IFERROR(__xludf.DUMMYFUNCTION("""COMPUTED_VALUE"""),45024.2727198379)</f>
        <v>45024.2727198379</v>
      </c>
      <c r="B894" s="1" t="str">
        <f ca="1">IFERROR(__xludf.DUMMYFUNCTION("""COMPUTED_VALUE"""),"India")</f>
        <v>India</v>
      </c>
      <c r="C894" s="1">
        <f ca="1">IFERROR(__xludf.DUMMYFUNCTION("""COMPUTED_VALUE"""),560004)</f>
        <v>560004</v>
      </c>
      <c r="D894" s="3" t="str">
        <f ca="1">IFERROR(__xludf.DUMMYFUNCTION("""COMPUTED_VALUE"""),"Female")</f>
        <v>Female</v>
      </c>
      <c r="E894" s="1" t="str">
        <f ca="1">IFERROR(__xludf.DUMMYFUNCTION("""COMPUTED_VALUE"""),"My Parents")</f>
        <v>My Parents</v>
      </c>
      <c r="F894" s="1" t="str">
        <f ca="1">IFERROR(__xludf.DUMMYFUNCTION("""COMPUTED_VALUE"""),"Yes, I will earn and do that")</f>
        <v>Yes, I will earn and do that</v>
      </c>
      <c r="G894" s="1" t="str">
        <f ca="1">IFERROR(__xludf.DUMMYFUNCTION("""COMPUTED_VALUE"""),"No way")</f>
        <v>No way</v>
      </c>
      <c r="H894" s="1" t="str">
        <f ca="1">IFERROR(__xludf.DUMMYFUNCTION("""COMPUTED_VALUE"""),"Yes")</f>
        <v>Yes</v>
      </c>
      <c r="I894" s="1" t="str">
        <f ca="1">IFERROR(__xludf.DUMMYFUNCTION("""COMPUTED_VALUE"""),"Will NOT work for them")</f>
        <v>Will NOT work for them</v>
      </c>
      <c r="J894" s="1">
        <f ca="1">IFERROR(__xludf.DUMMYFUNCTION("""COMPUTED_VALUE"""),3)</f>
        <v>3</v>
      </c>
      <c r="K894" s="1" t="str">
        <f ca="1">IFERROR(__xludf.DUMMYFUNCTION("""COMPUTED_VALUE"""),"Hybrid Working Environment with more than 15 days a month at office")</f>
        <v>Hybrid Working Environment with more than 15 days a month at office</v>
      </c>
      <c r="L894" s="1" t="str">
        <f ca="1">IFERROR(__xludf.DUMMYFUNCTION("""COMPUTED_VALUE"""),"Employer who pushes your limits by enabling an learning environment, and rewards you at the end")</f>
        <v>Employer who pushes your limits by enabling an learning environment, and rewards you at the end</v>
      </c>
      <c r="M89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94" s="1" t="str">
        <f ca="1">IFERROR(__xludf.DUMMYFUNCTION("""COMPUTED_VALUE"""),"Design and Creative strategy in any company, Manage and drive End-to-End Projects or Products, Become a content Creator in some platform, Entrepreneur or Start Up")</f>
        <v>Design and Creative strategy in any company, Manage and drive End-to-End Projects or Products, Become a content Creator in some platform, Entrepreneur or Start Up</v>
      </c>
      <c r="O894" s="1" t="str">
        <f ca="1">IFERROR(__xludf.DUMMYFUNCTION("""COMPUTED_VALUE"""),"Manager who sets goal and helps me achieve it")</f>
        <v>Manager who sets goal and helps me achieve it</v>
      </c>
      <c r="P894" s="1" t="str">
        <f ca="1">IFERROR(__xludf.DUMMYFUNCTION("""COMPUTED_VALUE"""),"Work with 5 to 6 people in my team")</f>
        <v>Work with 5 to 6 people in my team</v>
      </c>
      <c r="Q894" s="1"/>
    </row>
    <row r="895" spans="1:17" ht="13.2" x14ac:dyDescent="0.25">
      <c r="A895" s="2">
        <f ca="1">IFERROR(__xludf.DUMMYFUNCTION("""COMPUTED_VALUE"""),45024.2764730324)</f>
        <v>45024.276473032398</v>
      </c>
      <c r="B895" s="1" t="str">
        <f ca="1">IFERROR(__xludf.DUMMYFUNCTION("""COMPUTED_VALUE"""),"India")</f>
        <v>India</v>
      </c>
      <c r="C895" s="1">
        <f ca="1">IFERROR(__xludf.DUMMYFUNCTION("""COMPUTED_VALUE"""),781013)</f>
        <v>781013</v>
      </c>
      <c r="D895" s="3" t="str">
        <f ca="1">IFERROR(__xludf.DUMMYFUNCTION("""COMPUTED_VALUE"""),"Male")</f>
        <v>Male</v>
      </c>
      <c r="E895" s="1" t="str">
        <f ca="1">IFERROR(__xludf.DUMMYFUNCTION("""COMPUTED_VALUE"""),"Social Media like LinkedIn")</f>
        <v>Social Media like LinkedIn</v>
      </c>
      <c r="F895" s="1" t="str">
        <f ca="1">IFERROR(__xludf.DUMMYFUNCTION("""COMPUTED_VALUE"""),"Yes, I will earn and do that")</f>
        <v>Yes, I will earn and do that</v>
      </c>
      <c r="G895" s="1" t="str">
        <f ca="1">IFERROR(__xludf.DUMMYFUNCTION("""COMPUTED_VALUE"""),"Will work for 3 years or more")</f>
        <v>Will work for 3 years or more</v>
      </c>
      <c r="H895" s="1" t="str">
        <f ca="1">IFERROR(__xludf.DUMMYFUNCTION("""COMPUTED_VALUE"""),"Yes")</f>
        <v>Yes</v>
      </c>
      <c r="I895" s="1" t="str">
        <f ca="1">IFERROR(__xludf.DUMMYFUNCTION("""COMPUTED_VALUE"""),"Will work for them")</f>
        <v>Will work for them</v>
      </c>
      <c r="J895" s="1">
        <f ca="1">IFERROR(__xludf.DUMMYFUNCTION("""COMPUTED_VALUE"""),3)</f>
        <v>3</v>
      </c>
      <c r="K895" s="1" t="str">
        <f ca="1">IFERROR(__xludf.DUMMYFUNCTION("""COMPUTED_VALUE"""),"Hybrid Working Environment with less than 3 days a month at office")</f>
        <v>Hybrid Working Environment with less than 3 days a month at office</v>
      </c>
      <c r="L895" s="1" t="str">
        <f ca="1">IFERROR(__xludf.DUMMYFUNCTION("""COMPUTED_VALUE"""),"Employer who appreciates learning and enables that environment")</f>
        <v>Employer who appreciates learning and enables that environment</v>
      </c>
      <c r="M89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895" s="1" t="str">
        <f ca="1">IFERROR(__xludf.DUMMYFUNCTION("""COMPUTED_VALUE"""),"Manager who sets targets and expects me to achieve it")</f>
        <v>Manager who sets targets and expects me to achieve it</v>
      </c>
      <c r="P895" s="1" t="str">
        <f ca="1">IFERROR(__xludf.DUMMYFUNCTION("""COMPUTED_VALUE"""),"Work with 2 to 3 people in my team")</f>
        <v>Work with 2 to 3 people in my team</v>
      </c>
      <c r="Q895" s="1"/>
    </row>
    <row r="896" spans="1:17" ht="13.2" x14ac:dyDescent="0.25">
      <c r="A896" s="2">
        <f ca="1">IFERROR(__xludf.DUMMYFUNCTION("""COMPUTED_VALUE"""),45024.2828740162)</f>
        <v>45024.2828740162</v>
      </c>
      <c r="B896" s="1" t="str">
        <f ca="1">IFERROR(__xludf.DUMMYFUNCTION("""COMPUTED_VALUE"""),"India")</f>
        <v>India</v>
      </c>
      <c r="C896" s="1">
        <f ca="1">IFERROR(__xludf.DUMMYFUNCTION("""COMPUTED_VALUE"""),400029)</f>
        <v>400029</v>
      </c>
      <c r="D896" s="3" t="str">
        <f ca="1">IFERROR(__xludf.DUMMYFUNCTION("""COMPUTED_VALUE"""),"Female")</f>
        <v>Female</v>
      </c>
      <c r="E896" s="1" t="str">
        <f ca="1">IFERROR(__xludf.DUMMYFUNCTION("""COMPUTED_VALUE"""),"People who have changed the world for better")</f>
        <v>People who have changed the world for better</v>
      </c>
      <c r="F896" s="1" t="str">
        <f ca="1">IFERROR(__xludf.DUMMYFUNCTION("""COMPUTED_VALUE"""),"Yes, I will earn and do that")</f>
        <v>Yes, I will earn and do that</v>
      </c>
      <c r="G896" s="1" t="str">
        <f ca="1">IFERROR(__xludf.DUMMYFUNCTION("""COMPUTED_VALUE"""),"Will work for 3 years or more")</f>
        <v>Will work for 3 years or more</v>
      </c>
      <c r="H896" s="1" t="str">
        <f ca="1">IFERROR(__xludf.DUMMYFUNCTION("""COMPUTED_VALUE"""),"No")</f>
        <v>No</v>
      </c>
      <c r="I896" s="1" t="str">
        <f ca="1">IFERROR(__xludf.DUMMYFUNCTION("""COMPUTED_VALUE"""),"Will NOT work for them")</f>
        <v>Will NOT work for them</v>
      </c>
      <c r="J896" s="1">
        <f ca="1">IFERROR(__xludf.DUMMYFUNCTION("""COMPUTED_VALUE"""),5)</f>
        <v>5</v>
      </c>
      <c r="K896" s="1" t="str">
        <f ca="1">IFERROR(__xludf.DUMMYFUNCTION("""COMPUTED_VALUE"""),"Fully Remote with Options to travel as and when needed")</f>
        <v>Fully Remote with Options to travel as and when needed</v>
      </c>
      <c r="L896" s="1" t="str">
        <f ca="1">IFERROR(__xludf.DUMMYFUNCTION("""COMPUTED_VALUE"""),"Employer who rewards learning and enables that environment")</f>
        <v>Employer who rewards learning and enables that environment</v>
      </c>
      <c r="M89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8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896" s="1" t="str">
        <f ca="1">IFERROR(__xludf.DUMMYFUNCTION("""COMPUTED_VALUE"""),"Manager who explains what is expected, sets a goal and helps achieve it")</f>
        <v>Manager who explains what is expected, sets a goal and helps achieve it</v>
      </c>
      <c r="P896" s="1" t="str">
        <f ca="1">IFERROR(__xludf.DUMMYFUNCTION("""COMPUTED_VALUE"""),"Work with 5 to 6 people in my team")</f>
        <v>Work with 5 to 6 people in my team</v>
      </c>
      <c r="Q896" s="1"/>
    </row>
    <row r="897" spans="1:17" ht="13.2" x14ac:dyDescent="0.25">
      <c r="A897" s="2">
        <f ca="1">IFERROR(__xludf.DUMMYFUNCTION("""COMPUTED_VALUE"""),45024.299249456)</f>
        <v>45024.299249456002</v>
      </c>
      <c r="B897" s="1" t="str">
        <f ca="1">IFERROR(__xludf.DUMMYFUNCTION("""COMPUTED_VALUE"""),"India")</f>
        <v>India</v>
      </c>
      <c r="C897" s="1">
        <f ca="1">IFERROR(__xludf.DUMMYFUNCTION("""COMPUTED_VALUE"""),500073)</f>
        <v>500073</v>
      </c>
      <c r="D897" s="3" t="str">
        <f ca="1">IFERROR(__xludf.DUMMYFUNCTION("""COMPUTED_VALUE"""),"Male")</f>
        <v>Male</v>
      </c>
      <c r="E897" s="1" t="str">
        <f ca="1">IFERROR(__xludf.DUMMYFUNCTION("""COMPUTED_VALUE"""),"People who have changed the world for better")</f>
        <v>People who have changed the world for better</v>
      </c>
      <c r="F897" s="1" t="str">
        <f ca="1">IFERROR(__xludf.DUMMYFUNCTION("""COMPUTED_VALUE"""),"Yes, I will earn and do that")</f>
        <v>Yes, I will earn and do that</v>
      </c>
      <c r="G897" s="1" t="str">
        <f ca="1">IFERROR(__xludf.DUMMYFUNCTION("""COMPUTED_VALUE"""),"This will be hard to do, but if it is the right company I would try")</f>
        <v>This will be hard to do, but if it is the right company I would try</v>
      </c>
      <c r="H897" s="1" t="str">
        <f ca="1">IFERROR(__xludf.DUMMYFUNCTION("""COMPUTED_VALUE"""),"No")</f>
        <v>No</v>
      </c>
      <c r="I897" s="1" t="str">
        <f ca="1">IFERROR(__xludf.DUMMYFUNCTION("""COMPUTED_VALUE"""),"Will NOT work for them")</f>
        <v>Will NOT work for them</v>
      </c>
      <c r="J897" s="1">
        <f ca="1">IFERROR(__xludf.DUMMYFUNCTION("""COMPUTED_VALUE"""),1)</f>
        <v>1</v>
      </c>
      <c r="K897" s="1" t="str">
        <f ca="1">IFERROR(__xludf.DUMMYFUNCTION("""COMPUTED_VALUE"""),"Fully Remote with Options to travel as and when needed")</f>
        <v>Fully Remote with Options to travel as and when needed</v>
      </c>
      <c r="L897" s="1" t="str">
        <f ca="1">IFERROR(__xludf.DUMMYFUNCTION("""COMPUTED_VALUE"""),"Employer who pushes your limits by enabling an learning environment, and rewards you at the end")</f>
        <v>Employer who pushes your limits by enabling an learning environment, and rewards you at the end</v>
      </c>
      <c r="M89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7"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897" s="1" t="str">
        <f ca="1">IFERROR(__xludf.DUMMYFUNCTION("""COMPUTED_VALUE"""),"Manager who clearly describes what she/he needs")</f>
        <v>Manager who clearly describes what she/he needs</v>
      </c>
      <c r="P897" s="1" t="str">
        <f ca="1">IFERROR(__xludf.DUMMYFUNCTION("""COMPUTED_VALUE"""),"Work with more than 10 people in my team")</f>
        <v>Work with more than 10 people in my team</v>
      </c>
      <c r="Q897" s="1"/>
    </row>
    <row r="898" spans="1:17" ht="13.2" x14ac:dyDescent="0.25">
      <c r="A898" s="2">
        <f ca="1">IFERROR(__xludf.DUMMYFUNCTION("""COMPUTED_VALUE"""),45024.3123015972)</f>
        <v>45024.312301597201</v>
      </c>
      <c r="B898" s="1" t="str">
        <f ca="1">IFERROR(__xludf.DUMMYFUNCTION("""COMPUTED_VALUE"""),"India")</f>
        <v>India</v>
      </c>
      <c r="C898" s="1">
        <f ca="1">IFERROR(__xludf.DUMMYFUNCTION("""COMPUTED_VALUE"""),441601)</f>
        <v>441601</v>
      </c>
      <c r="D898" s="3" t="str">
        <f ca="1">IFERROR(__xludf.DUMMYFUNCTION("""COMPUTED_VALUE"""),"Male")</f>
        <v>Male</v>
      </c>
      <c r="E898" s="1" t="str">
        <f ca="1">IFERROR(__xludf.DUMMYFUNCTION("""COMPUTED_VALUE"""),"My Parents")</f>
        <v>My Parents</v>
      </c>
      <c r="F898" s="1" t="str">
        <f ca="1">IFERROR(__xludf.DUMMYFUNCTION("""COMPUTED_VALUE"""),"Yes, I will earn and do that")</f>
        <v>Yes, I will earn and do that</v>
      </c>
      <c r="G898" s="1" t="str">
        <f ca="1">IFERROR(__xludf.DUMMYFUNCTION("""COMPUTED_VALUE"""),"Will work for 3 years or more")</f>
        <v>Will work for 3 years or more</v>
      </c>
      <c r="H898" s="1" t="str">
        <f ca="1">IFERROR(__xludf.DUMMYFUNCTION("""COMPUTED_VALUE"""),"Yes")</f>
        <v>Yes</v>
      </c>
      <c r="I898" s="1" t="str">
        <f ca="1">IFERROR(__xludf.DUMMYFUNCTION("""COMPUTED_VALUE"""),"Will NOT work for them")</f>
        <v>Will NOT work for them</v>
      </c>
      <c r="J898" s="1">
        <f ca="1">IFERROR(__xludf.DUMMYFUNCTION("""COMPUTED_VALUE"""),9)</f>
        <v>9</v>
      </c>
      <c r="K898" s="1" t="str">
        <f ca="1">IFERROR(__xludf.DUMMYFUNCTION("""COMPUTED_VALUE"""),"Hybrid Working Environment with more than 15 days a month at office")</f>
        <v>Hybrid Working Environment with more than 15 days a month at office</v>
      </c>
      <c r="L898" s="1" t="str">
        <f ca="1">IFERROR(__xludf.DUMMYFUNCTION("""COMPUTED_VALUE"""),"Employer who appreciates learning and enables that environment")</f>
        <v>Employer who appreciates learning and enables that environment</v>
      </c>
      <c r="M898" s="1" t="str">
        <f ca="1">IFERROR(__xludf.DUMMYFUNCTION("""COMPUTED_VALUE"""),"Instructor or Expert Learning Programs, Learning by observing others, Manager Teaching you")</f>
        <v>Instructor or Expert Learning Programs, Learning by observing others, Manager Teaching you</v>
      </c>
      <c r="N8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98" s="1" t="str">
        <f ca="1">IFERROR(__xludf.DUMMYFUNCTION("""COMPUTED_VALUE"""),"Manager who explains what is expected, sets a goal and helps achieve it")</f>
        <v>Manager who explains what is expected, sets a goal and helps achieve it</v>
      </c>
      <c r="P898" s="1" t="str">
        <f ca="1">IFERROR(__xludf.DUMMYFUNCTION("""COMPUTED_VALUE"""),"Work with 5 to 6 people in my team")</f>
        <v>Work with 5 to 6 people in my team</v>
      </c>
      <c r="Q898" s="1"/>
    </row>
    <row r="899" spans="1:17" ht="13.2" x14ac:dyDescent="0.25">
      <c r="A899" s="2">
        <f ca="1">IFERROR(__xludf.DUMMYFUNCTION("""COMPUTED_VALUE"""),45024.3164196643)</f>
        <v>45024.316419664297</v>
      </c>
      <c r="B899" s="1" t="str">
        <f ca="1">IFERROR(__xludf.DUMMYFUNCTION("""COMPUTED_VALUE"""),"India")</f>
        <v>India</v>
      </c>
      <c r="C899" s="1">
        <f ca="1">IFERROR(__xludf.DUMMYFUNCTION("""COMPUTED_VALUE"""),400066)</f>
        <v>400066</v>
      </c>
      <c r="D899" s="3" t="str">
        <f ca="1">IFERROR(__xludf.DUMMYFUNCTION("""COMPUTED_VALUE"""),"Female")</f>
        <v>Female</v>
      </c>
      <c r="E899" s="1" t="str">
        <f ca="1">IFERROR(__xludf.DUMMYFUNCTION("""COMPUTED_VALUE"""),"My Parents")</f>
        <v>My Parents</v>
      </c>
      <c r="F899" s="1" t="str">
        <f ca="1">IFERROR(__xludf.DUMMYFUNCTION("""COMPUTED_VALUE"""),"Yes, I will earn and do that")</f>
        <v>Yes, I will earn and do that</v>
      </c>
      <c r="G899" s="1" t="str">
        <f ca="1">IFERROR(__xludf.DUMMYFUNCTION("""COMPUTED_VALUE"""),"Will work for 3 years or more")</f>
        <v>Will work for 3 years or more</v>
      </c>
      <c r="H899" s="1" t="str">
        <f ca="1">IFERROR(__xludf.DUMMYFUNCTION("""COMPUTED_VALUE"""),"No")</f>
        <v>No</v>
      </c>
      <c r="I899" s="1" t="str">
        <f ca="1">IFERROR(__xludf.DUMMYFUNCTION("""COMPUTED_VALUE"""),"Will NOT work for them")</f>
        <v>Will NOT work for them</v>
      </c>
      <c r="J899" s="1">
        <f ca="1">IFERROR(__xludf.DUMMYFUNCTION("""COMPUTED_VALUE"""),10)</f>
        <v>10</v>
      </c>
      <c r="K899" s="1" t="str">
        <f ca="1">IFERROR(__xludf.DUMMYFUNCTION("""COMPUTED_VALUE"""),"Fully Remote with Options to travel as and when needed")</f>
        <v>Fully Remote with Options to travel as and when needed</v>
      </c>
      <c r="L899" s="1" t="str">
        <f ca="1">IFERROR(__xludf.DUMMYFUNCTION("""COMPUTED_VALUE"""),"Employer who appreciates learning and enables that environment")</f>
        <v>Employer who appreciates learning and enables that environment</v>
      </c>
      <c r="M89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899" s="1" t="str">
        <f ca="1">IFERROR(__xludf.DUMMYFUNCTION("""COMPUTED_VALUE"""),"Manager who clearly describes what she/he needs")</f>
        <v>Manager who clearly describes what she/he needs</v>
      </c>
      <c r="P899" s="1" t="str">
        <f ca="1">IFERROR(__xludf.DUMMYFUNCTION("""COMPUTED_VALUE"""),"Work with 2 to 3 people in my team")</f>
        <v>Work with 2 to 3 people in my team</v>
      </c>
      <c r="Q899" s="1"/>
    </row>
    <row r="900" spans="1:17" ht="13.2" x14ac:dyDescent="0.25">
      <c r="A900" s="2">
        <f ca="1">IFERROR(__xludf.DUMMYFUNCTION("""COMPUTED_VALUE"""),45024.331659074)</f>
        <v>45024.331659074</v>
      </c>
      <c r="B900" s="1" t="str">
        <f ca="1">IFERROR(__xludf.DUMMYFUNCTION("""COMPUTED_VALUE"""),"India")</f>
        <v>India</v>
      </c>
      <c r="C900" s="1">
        <f ca="1">IFERROR(__xludf.DUMMYFUNCTION("""COMPUTED_VALUE"""),700102)</f>
        <v>700102</v>
      </c>
      <c r="D900" s="3" t="str">
        <f ca="1">IFERROR(__xludf.DUMMYFUNCTION("""COMPUTED_VALUE"""),"Male")</f>
        <v>Male</v>
      </c>
      <c r="E900" s="1" t="str">
        <f ca="1">IFERROR(__xludf.DUMMYFUNCTION("""COMPUTED_VALUE"""),"People from my circle, but not family members")</f>
        <v>People from my circle, but not family members</v>
      </c>
      <c r="F900" s="1" t="str">
        <f ca="1">IFERROR(__xludf.DUMMYFUNCTION("""COMPUTED_VALUE"""),"Yes, I will earn and do that")</f>
        <v>Yes, I will earn and do that</v>
      </c>
      <c r="G900" s="1" t="str">
        <f ca="1">IFERROR(__xludf.DUMMYFUNCTION("""COMPUTED_VALUE"""),"This will be hard to do, but if it is the right company I would try")</f>
        <v>This will be hard to do, but if it is the right company I would try</v>
      </c>
      <c r="H900" s="1" t="str">
        <f ca="1">IFERROR(__xludf.DUMMYFUNCTION("""COMPUTED_VALUE"""),"No")</f>
        <v>No</v>
      </c>
      <c r="I900" s="1" t="str">
        <f ca="1">IFERROR(__xludf.DUMMYFUNCTION("""COMPUTED_VALUE"""),"Will NOT work for them")</f>
        <v>Will NOT work for them</v>
      </c>
      <c r="J900" s="1">
        <f ca="1">IFERROR(__xludf.DUMMYFUNCTION("""COMPUTED_VALUE"""),7)</f>
        <v>7</v>
      </c>
      <c r="K900" s="1" t="str">
        <f ca="1">IFERROR(__xludf.DUMMYFUNCTION("""COMPUTED_VALUE"""),"Hybrid Working Environment with more than 15 days a month at office")</f>
        <v>Hybrid Working Environment with more than 15 days a month at office</v>
      </c>
      <c r="L900" s="1" t="str">
        <f ca="1">IFERROR(__xludf.DUMMYFUNCTION("""COMPUTED_VALUE"""),"Employer who appreciates learning and enables that environment")</f>
        <v>Employer who appreciates learning and enables that environment</v>
      </c>
      <c r="M90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00" s="1" t="str">
        <f ca="1">IFERROR(__xludf.DUMMYFUNCTION("""COMPUTED_VALUE"""),"Manager who clearly describes what she/he needs")</f>
        <v>Manager who clearly describes what she/he needs</v>
      </c>
      <c r="P900" s="1" t="str">
        <f ca="1">IFERROR(__xludf.DUMMYFUNCTION("""COMPUTED_VALUE"""),"Work alone, Work with 5 to 6 people in my team")</f>
        <v>Work alone, Work with 5 to 6 people in my team</v>
      </c>
      <c r="Q900" s="1"/>
    </row>
    <row r="901" spans="1:17" ht="13.2" x14ac:dyDescent="0.25">
      <c r="A901" s="2">
        <f ca="1">IFERROR(__xludf.DUMMYFUNCTION("""COMPUTED_VALUE"""),45024.3353862037)</f>
        <v>45024.335386203697</v>
      </c>
      <c r="B901" s="1" t="str">
        <f ca="1">IFERROR(__xludf.DUMMYFUNCTION("""COMPUTED_VALUE"""),"India")</f>
        <v>India</v>
      </c>
      <c r="C901" s="1">
        <f ca="1">IFERROR(__xludf.DUMMYFUNCTION("""COMPUTED_VALUE"""),412308)</f>
        <v>412308</v>
      </c>
      <c r="D901" s="3" t="str">
        <f ca="1">IFERROR(__xludf.DUMMYFUNCTION("""COMPUTED_VALUE"""),"Male")</f>
        <v>Male</v>
      </c>
      <c r="E901" s="1" t="str">
        <f ca="1">IFERROR(__xludf.DUMMYFUNCTION("""COMPUTED_VALUE"""),"My Parents")</f>
        <v>My Parents</v>
      </c>
      <c r="F901" s="1" t="str">
        <f ca="1">IFERROR(__xludf.DUMMYFUNCTION("""COMPUTED_VALUE"""),"No, But if someone could bare the cost I will")</f>
        <v>No, But if someone could bare the cost I will</v>
      </c>
      <c r="G901" s="1" t="str">
        <f ca="1">IFERROR(__xludf.DUMMYFUNCTION("""COMPUTED_VALUE"""),"Will work for 3 years or more")</f>
        <v>Will work for 3 years or more</v>
      </c>
      <c r="H901" s="1" t="str">
        <f ca="1">IFERROR(__xludf.DUMMYFUNCTION("""COMPUTED_VALUE"""),"No")</f>
        <v>No</v>
      </c>
      <c r="I901" s="1" t="str">
        <f ca="1">IFERROR(__xludf.DUMMYFUNCTION("""COMPUTED_VALUE"""),"Will NOT work for them")</f>
        <v>Will NOT work for them</v>
      </c>
      <c r="J901" s="1">
        <f ca="1">IFERROR(__xludf.DUMMYFUNCTION("""COMPUTED_VALUE"""),7)</f>
        <v>7</v>
      </c>
      <c r="K901" s="1" t="str">
        <f ca="1">IFERROR(__xludf.DUMMYFUNCTION("""COMPUTED_VALUE"""),"Fully Remote with Options to travel as and when needed")</f>
        <v>Fully Remote with Options to travel as and when needed</v>
      </c>
      <c r="L901" s="1" t="str">
        <f ca="1">IFERROR(__xludf.DUMMYFUNCTION("""COMPUTED_VALUE"""),"Employer who pushes your limits by enabling an learning environment, and rewards you at the end")</f>
        <v>Employer who pushes your limits by enabling an learning environment, and rewards you at the end</v>
      </c>
      <c r="M9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1" s="1" t="str">
        <f ca="1">IFERROR(__xludf.DUMMYFUNCTION("""COMPUTED_VALUE"""),"Manager who explains what is expected, sets a goal and helps achieve it")</f>
        <v>Manager who explains what is expected, sets a goal and helps achieve it</v>
      </c>
      <c r="P901" s="1" t="str">
        <f ca="1">IFERROR(__xludf.DUMMYFUNCTION("""COMPUTED_VALUE"""),"Work with 7 to 10 or more people in my team")</f>
        <v>Work with 7 to 10 or more people in my team</v>
      </c>
      <c r="Q901" s="1"/>
    </row>
    <row r="902" spans="1:17" ht="13.2" x14ac:dyDescent="0.25">
      <c r="A902" s="2">
        <f ca="1">IFERROR(__xludf.DUMMYFUNCTION("""COMPUTED_VALUE"""),45024.3375552546)</f>
        <v>45024.337555254599</v>
      </c>
      <c r="B902" s="1" t="str">
        <f ca="1">IFERROR(__xludf.DUMMYFUNCTION("""COMPUTED_VALUE"""),"India")</f>
        <v>India</v>
      </c>
      <c r="C902" s="1">
        <f ca="1">IFERROR(__xludf.DUMMYFUNCTION("""COMPUTED_VALUE"""),313001)</f>
        <v>313001</v>
      </c>
      <c r="D902" s="3" t="str">
        <f ca="1">IFERROR(__xludf.DUMMYFUNCTION("""COMPUTED_VALUE"""),"Male")</f>
        <v>Male</v>
      </c>
      <c r="E902" s="1" t="str">
        <f ca="1">IFERROR(__xludf.DUMMYFUNCTION("""COMPUTED_VALUE"""),"My Parents")</f>
        <v>My Parents</v>
      </c>
      <c r="F902" s="1" t="str">
        <f ca="1">IFERROR(__xludf.DUMMYFUNCTION("""COMPUTED_VALUE"""),"Yes, I will earn and do that")</f>
        <v>Yes, I will earn and do that</v>
      </c>
      <c r="G902" s="1" t="str">
        <f ca="1">IFERROR(__xludf.DUMMYFUNCTION("""COMPUTED_VALUE"""),"This will be hard to do, but if it is the right company I would try")</f>
        <v>This will be hard to do, but if it is the right company I would try</v>
      </c>
      <c r="H902" s="1" t="str">
        <f ca="1">IFERROR(__xludf.DUMMYFUNCTION("""COMPUTED_VALUE"""),"No")</f>
        <v>No</v>
      </c>
      <c r="I902" s="1" t="str">
        <f ca="1">IFERROR(__xludf.DUMMYFUNCTION("""COMPUTED_VALUE"""),"Will NOT work for them")</f>
        <v>Will NOT work for them</v>
      </c>
      <c r="J902" s="1">
        <f ca="1">IFERROR(__xludf.DUMMYFUNCTION("""COMPUTED_VALUE"""),1)</f>
        <v>1</v>
      </c>
      <c r="K902" s="1" t="str">
        <f ca="1">IFERROR(__xludf.DUMMYFUNCTION("""COMPUTED_VALUE"""),"Every Day Office Environment")</f>
        <v>Every Day Office Environment</v>
      </c>
      <c r="L902" s="1" t="str">
        <f ca="1">IFERROR(__xludf.DUMMYFUNCTION("""COMPUTED_VALUE"""),"Employer who appreciates learning and enables that environment")</f>
        <v>Employer who appreciates learning and enables that environment</v>
      </c>
      <c r="M90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02" s="1" t="str">
        <f ca="1">IFERROR(__xludf.DUMMYFUNCTION("""COMPUTED_VALUE"""),"Design and Develop amazing software, Work as a freelancer and do my thing my way, Entrepreneur or Start Up, Manufacturing / Oil and Gas/ Construction / Hard Physical Work related")</f>
        <v>Design and Develop amazing software, Work as a freelancer and do my thing my way, Entrepreneur or Start Up, Manufacturing / Oil and Gas/ Construction / Hard Physical Work related</v>
      </c>
      <c r="O902" s="1" t="str">
        <f ca="1">IFERROR(__xludf.DUMMYFUNCTION("""COMPUTED_VALUE"""),"Manager who sets goal and helps me achieve it")</f>
        <v>Manager who sets goal and helps me achieve it</v>
      </c>
      <c r="P902" s="1" t="str">
        <f ca="1">IFERROR(__xludf.DUMMYFUNCTION("""COMPUTED_VALUE"""),"Work with 5 to 6 people in my team")</f>
        <v>Work with 5 to 6 people in my team</v>
      </c>
      <c r="Q902" s="1"/>
    </row>
    <row r="903" spans="1:17" ht="13.2" x14ac:dyDescent="0.25">
      <c r="A903" s="2">
        <f ca="1">IFERROR(__xludf.DUMMYFUNCTION("""COMPUTED_VALUE"""),45024.367023368)</f>
        <v>45024.367023368002</v>
      </c>
      <c r="B903" s="1" t="str">
        <f ca="1">IFERROR(__xludf.DUMMYFUNCTION("""COMPUTED_VALUE"""),"India")</f>
        <v>India</v>
      </c>
      <c r="C903" s="1">
        <f ca="1">IFERROR(__xludf.DUMMYFUNCTION("""COMPUTED_VALUE"""),500039)</f>
        <v>500039</v>
      </c>
      <c r="D903" s="3" t="str">
        <f ca="1">IFERROR(__xludf.DUMMYFUNCTION("""COMPUTED_VALUE"""),"Female")</f>
        <v>Female</v>
      </c>
      <c r="E903" s="1" t="str">
        <f ca="1">IFERROR(__xludf.DUMMYFUNCTION("""COMPUTED_VALUE"""),"Influencers who had successful careers")</f>
        <v>Influencers who had successful careers</v>
      </c>
      <c r="F903" s="1" t="str">
        <f ca="1">IFERROR(__xludf.DUMMYFUNCTION("""COMPUTED_VALUE"""),"Yes, I will earn and do that")</f>
        <v>Yes, I will earn and do that</v>
      </c>
      <c r="G903" s="1" t="str">
        <f ca="1">IFERROR(__xludf.DUMMYFUNCTION("""COMPUTED_VALUE"""),"Will work for 3 years or more")</f>
        <v>Will work for 3 years or more</v>
      </c>
      <c r="H903" s="1" t="str">
        <f ca="1">IFERROR(__xludf.DUMMYFUNCTION("""COMPUTED_VALUE"""),"Yes")</f>
        <v>Yes</v>
      </c>
      <c r="I903" s="1" t="str">
        <f ca="1">IFERROR(__xludf.DUMMYFUNCTION("""COMPUTED_VALUE"""),"Will work for them")</f>
        <v>Will work for them</v>
      </c>
      <c r="J903" s="1">
        <f ca="1">IFERROR(__xludf.DUMMYFUNCTION("""COMPUTED_VALUE"""),8)</f>
        <v>8</v>
      </c>
      <c r="K903" s="1" t="str">
        <f ca="1">IFERROR(__xludf.DUMMYFUNCTION("""COMPUTED_VALUE"""),"Fully Remote with Options to travel as and when needed")</f>
        <v>Fully Remote with Options to travel as and when needed</v>
      </c>
      <c r="L903" s="1" t="str">
        <f ca="1">IFERROR(__xludf.DUMMYFUNCTION("""COMPUTED_VALUE"""),"Employer who appreciates learning and enables that environment")</f>
        <v>Employer who appreciates learning and enables that environment</v>
      </c>
      <c r="M9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3" s="1" t="str">
        <f ca="1">IFERROR(__xludf.DUMMYFUNCTION("""COMPUTED_VALUE"""),"Manager who explains what is expected, sets a goal and helps achieve it")</f>
        <v>Manager who explains what is expected, sets a goal and helps achieve it</v>
      </c>
      <c r="P903" s="1" t="str">
        <f ca="1">IFERROR(__xludf.DUMMYFUNCTION("""COMPUTED_VALUE"""),"Work with 5 to 6 people in my team, Work with 7 to 10 or more people in my team")</f>
        <v>Work with 5 to 6 people in my team, Work with 7 to 10 or more people in my team</v>
      </c>
      <c r="Q903" s="1"/>
    </row>
    <row r="904" spans="1:17" ht="13.2" x14ac:dyDescent="0.25">
      <c r="A904" s="2">
        <f ca="1">IFERROR(__xludf.DUMMYFUNCTION("""COMPUTED_VALUE"""),45024.3765208333)</f>
        <v>45024.376520833299</v>
      </c>
      <c r="B904" s="1" t="str">
        <f ca="1">IFERROR(__xludf.DUMMYFUNCTION("""COMPUTED_VALUE"""),"India")</f>
        <v>India</v>
      </c>
      <c r="C904" s="1">
        <f ca="1">IFERROR(__xludf.DUMMYFUNCTION("""COMPUTED_VALUE"""),580023)</f>
        <v>580023</v>
      </c>
      <c r="D904" s="3" t="str">
        <f ca="1">IFERROR(__xludf.DUMMYFUNCTION("""COMPUTED_VALUE"""),"Male")</f>
        <v>Male</v>
      </c>
      <c r="E904" s="1" t="str">
        <f ca="1">IFERROR(__xludf.DUMMYFUNCTION("""COMPUTED_VALUE"""),"People who have changed the world for better")</f>
        <v>People who have changed the world for better</v>
      </c>
      <c r="F904" s="1" t="str">
        <f ca="1">IFERROR(__xludf.DUMMYFUNCTION("""COMPUTED_VALUE"""),"Yes, I will earn and do that")</f>
        <v>Yes, I will earn and do that</v>
      </c>
      <c r="G904" s="1" t="str">
        <f ca="1">IFERROR(__xludf.DUMMYFUNCTION("""COMPUTED_VALUE"""),"This will be hard to do, but if it is the right company I would try")</f>
        <v>This will be hard to do, but if it is the right company I would try</v>
      </c>
      <c r="H904" s="1" t="str">
        <f ca="1">IFERROR(__xludf.DUMMYFUNCTION("""COMPUTED_VALUE"""),"No")</f>
        <v>No</v>
      </c>
      <c r="I904" s="1" t="str">
        <f ca="1">IFERROR(__xludf.DUMMYFUNCTION("""COMPUTED_VALUE"""),"Will NOT work for them")</f>
        <v>Will NOT work for them</v>
      </c>
      <c r="J904" s="1">
        <f ca="1">IFERROR(__xludf.DUMMYFUNCTION("""COMPUTED_VALUE"""),1)</f>
        <v>1</v>
      </c>
      <c r="K904" s="1" t="str">
        <f ca="1">IFERROR(__xludf.DUMMYFUNCTION("""COMPUTED_VALUE"""),"Fully Remote with Options to travel as and when needed")</f>
        <v>Fully Remote with Options to travel as and when needed</v>
      </c>
      <c r="L904" s="1" t="str">
        <f ca="1">IFERROR(__xludf.DUMMYFUNCTION("""COMPUTED_VALUE"""),"Employer who pushes your limits by enabling an learning environment, and rewards you at the end")</f>
        <v>Employer who pushes your limits by enabling an learning environment, and rewards you at the end</v>
      </c>
      <c r="M9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04"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4" s="1" t="str">
        <f ca="1">IFERROR(__xludf.DUMMYFUNCTION("""COMPUTED_VALUE"""),"Manager who explains what is expected, sets a goal and helps achieve it")</f>
        <v>Manager who explains what is expected, sets a goal and helps achieve it</v>
      </c>
      <c r="P904" s="1" t="str">
        <f ca="1">IFERROR(__xludf.DUMMYFUNCTION("""COMPUTED_VALUE"""),"Work with 5 to 6 people in my team")</f>
        <v>Work with 5 to 6 people in my team</v>
      </c>
      <c r="Q904" s="1"/>
    </row>
    <row r="905" spans="1:17" ht="13.2" x14ac:dyDescent="0.25">
      <c r="A905" s="2">
        <f ca="1">IFERROR(__xludf.DUMMYFUNCTION("""COMPUTED_VALUE"""),45024.3800109259)</f>
        <v>45024.380010925903</v>
      </c>
      <c r="B905" s="1" t="str">
        <f ca="1">IFERROR(__xludf.DUMMYFUNCTION("""COMPUTED_VALUE"""),"India")</f>
        <v>India</v>
      </c>
      <c r="C905" s="1">
        <f ca="1">IFERROR(__xludf.DUMMYFUNCTION("""COMPUTED_VALUE"""),515211)</f>
        <v>515211</v>
      </c>
      <c r="D905" s="3" t="str">
        <f ca="1">IFERROR(__xludf.DUMMYFUNCTION("""COMPUTED_VALUE"""),"Male")</f>
        <v>Male</v>
      </c>
      <c r="E905" s="1" t="str">
        <f ca="1">IFERROR(__xludf.DUMMYFUNCTION("""COMPUTED_VALUE"""),"People from my circle, but not family members")</f>
        <v>People from my circle, but not family members</v>
      </c>
      <c r="F905" s="1" t="str">
        <f ca="1">IFERROR(__xludf.DUMMYFUNCTION("""COMPUTED_VALUE"""),"No I would not be pursuing Higher Education outside of India")</f>
        <v>No I would not be pursuing Higher Education outside of India</v>
      </c>
      <c r="G905" s="1" t="str">
        <f ca="1">IFERROR(__xludf.DUMMYFUNCTION("""COMPUTED_VALUE"""),"Will work for 3 years or more")</f>
        <v>Will work for 3 years or more</v>
      </c>
      <c r="H905" s="1" t="str">
        <f ca="1">IFERROR(__xludf.DUMMYFUNCTION("""COMPUTED_VALUE"""),"No")</f>
        <v>No</v>
      </c>
      <c r="I905" s="1" t="str">
        <f ca="1">IFERROR(__xludf.DUMMYFUNCTION("""COMPUTED_VALUE"""),"Will work for them")</f>
        <v>Will work for them</v>
      </c>
      <c r="J905" s="1">
        <f ca="1">IFERROR(__xludf.DUMMYFUNCTION("""COMPUTED_VALUE"""),7)</f>
        <v>7</v>
      </c>
      <c r="K905" s="1" t="str">
        <f ca="1">IFERROR(__xludf.DUMMYFUNCTION("""COMPUTED_VALUE"""),"Every Day Office Environment")</f>
        <v>Every Day Office Environment</v>
      </c>
      <c r="L905" s="1" t="str">
        <f ca="1">IFERROR(__xludf.DUMMYFUNCTION("""COMPUTED_VALUE"""),"Employer who appreciates learning and enables that environment")</f>
        <v>Employer who appreciates learning and enables that environment</v>
      </c>
      <c r="M90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905"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905" s="1" t="str">
        <f ca="1">IFERROR(__xludf.DUMMYFUNCTION("""COMPUTED_VALUE"""),"Manager who sets targets and expects me to achieve it")</f>
        <v>Manager who sets targets and expects me to achieve it</v>
      </c>
      <c r="P905" s="1" t="str">
        <f ca="1">IFERROR(__xludf.DUMMYFUNCTION("""COMPUTED_VALUE"""),"Work with 5 to 6 people in my team")</f>
        <v>Work with 5 to 6 people in my team</v>
      </c>
      <c r="Q905" s="1"/>
    </row>
    <row r="906" spans="1:17" ht="13.2" x14ac:dyDescent="0.25">
      <c r="A906" s="2">
        <f ca="1">IFERROR(__xludf.DUMMYFUNCTION("""COMPUTED_VALUE"""),45024.4060704745)</f>
        <v>45024.406070474499</v>
      </c>
      <c r="B906" s="1" t="str">
        <f ca="1">IFERROR(__xludf.DUMMYFUNCTION("""COMPUTED_VALUE"""),"Others")</f>
        <v>Others</v>
      </c>
      <c r="C906" s="1">
        <f ca="1">IFERROR(__xludf.DUMMYFUNCTION("""COMPUTED_VALUE"""),75400)</f>
        <v>75400</v>
      </c>
      <c r="D906" s="3" t="str">
        <f ca="1">IFERROR(__xludf.DUMMYFUNCTION("""COMPUTED_VALUE"""),"Female")</f>
        <v>Female</v>
      </c>
      <c r="E906" s="1" t="str">
        <f ca="1">IFERROR(__xludf.DUMMYFUNCTION("""COMPUTED_VALUE"""),"Influencers who had successful careers")</f>
        <v>Influencers who had successful careers</v>
      </c>
      <c r="F906" s="1" t="str">
        <f ca="1">IFERROR(__xludf.DUMMYFUNCTION("""COMPUTED_VALUE"""),"Yes, I will earn and do that")</f>
        <v>Yes, I will earn and do that</v>
      </c>
      <c r="G906" s="1" t="str">
        <f ca="1">IFERROR(__xludf.DUMMYFUNCTION("""COMPUTED_VALUE"""),"Will work for 3 years or more")</f>
        <v>Will work for 3 years or more</v>
      </c>
      <c r="H906" s="1" t="str">
        <f ca="1">IFERROR(__xludf.DUMMYFUNCTION("""COMPUTED_VALUE"""),"Yes")</f>
        <v>Yes</v>
      </c>
      <c r="I906" s="1" t="str">
        <f ca="1">IFERROR(__xludf.DUMMYFUNCTION("""COMPUTED_VALUE"""),"Will work for them")</f>
        <v>Will work for them</v>
      </c>
      <c r="J906" s="1">
        <f ca="1">IFERROR(__xludf.DUMMYFUNCTION("""COMPUTED_VALUE"""),6)</f>
        <v>6</v>
      </c>
      <c r="K906" s="1" t="str">
        <f ca="1">IFERROR(__xludf.DUMMYFUNCTION("""COMPUTED_VALUE"""),"Hybrid Working Environment with less than 3 days a month at office")</f>
        <v>Hybrid Working Environment with less than 3 days a month at office</v>
      </c>
      <c r="L906" s="1" t="str">
        <f ca="1">IFERROR(__xludf.DUMMYFUNCTION("""COMPUTED_VALUE"""),"Employer who appreciates learning and enables that environment")</f>
        <v>Employer who appreciates learning and enables that environment</v>
      </c>
      <c r="M90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0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906" s="1" t="str">
        <f ca="1">IFERROR(__xludf.DUMMYFUNCTION("""COMPUTED_VALUE"""),"Manager who explains what is expected, sets a goal and helps achieve it")</f>
        <v>Manager who explains what is expected, sets a goal and helps achieve it</v>
      </c>
      <c r="P906" s="1" t="str">
        <f ca="1">IFERROR(__xludf.DUMMYFUNCTION("""COMPUTED_VALUE"""),"Work with 2 to 3 people in my team")</f>
        <v>Work with 2 to 3 people in my team</v>
      </c>
      <c r="Q906" s="1"/>
    </row>
    <row r="907" spans="1:17" ht="13.2" x14ac:dyDescent="0.25">
      <c r="A907" s="2">
        <f ca="1">IFERROR(__xludf.DUMMYFUNCTION("""COMPUTED_VALUE"""),45024.4166787268)</f>
        <v>45024.416678726797</v>
      </c>
      <c r="B907" s="1" t="str">
        <f ca="1">IFERROR(__xludf.DUMMYFUNCTION("""COMPUTED_VALUE"""),"India")</f>
        <v>India</v>
      </c>
      <c r="C907" s="1">
        <f ca="1">IFERROR(__xludf.DUMMYFUNCTION("""COMPUTED_VALUE"""),134109)</f>
        <v>134109</v>
      </c>
      <c r="D907" s="3" t="str">
        <f ca="1">IFERROR(__xludf.DUMMYFUNCTION("""COMPUTED_VALUE"""),"Male")</f>
        <v>Male</v>
      </c>
      <c r="E907" s="1" t="str">
        <f ca="1">IFERROR(__xludf.DUMMYFUNCTION("""COMPUTED_VALUE"""),"People from my circle, but not family members")</f>
        <v>People from my circle, but not family members</v>
      </c>
      <c r="F907" s="1" t="str">
        <f ca="1">IFERROR(__xludf.DUMMYFUNCTION("""COMPUTED_VALUE"""),"No, But if someone could bare the cost I will")</f>
        <v>No, But if someone could bare the cost I will</v>
      </c>
      <c r="G907" s="1" t="str">
        <f ca="1">IFERROR(__xludf.DUMMYFUNCTION("""COMPUTED_VALUE"""),"This will be hard to do, but if it is the right company I would try")</f>
        <v>This will be hard to do, but if it is the right company I would try</v>
      </c>
      <c r="H907" s="1" t="str">
        <f ca="1">IFERROR(__xludf.DUMMYFUNCTION("""COMPUTED_VALUE"""),"No")</f>
        <v>No</v>
      </c>
      <c r="I907" s="1" t="str">
        <f ca="1">IFERROR(__xludf.DUMMYFUNCTION("""COMPUTED_VALUE"""),"Will NOT work for them")</f>
        <v>Will NOT work for them</v>
      </c>
      <c r="J907" s="1">
        <f ca="1">IFERROR(__xludf.DUMMYFUNCTION("""COMPUTED_VALUE"""),7)</f>
        <v>7</v>
      </c>
      <c r="K907" s="1" t="str">
        <f ca="1">IFERROR(__xludf.DUMMYFUNCTION("""COMPUTED_VALUE"""),"Hybrid Working Environment with more than 15 days a month at office")</f>
        <v>Hybrid Working Environment with more than 15 days a month at office</v>
      </c>
      <c r="L907" s="1" t="str">
        <f ca="1">IFERROR(__xludf.DUMMYFUNCTION("""COMPUTED_VALUE"""),"Employer who pushes your limits by enabling an learning environment, and rewards you at the end")</f>
        <v>Employer who pushes your limits by enabling an learning environment, and rewards you at the end</v>
      </c>
      <c r="M90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7"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7" s="1" t="str">
        <f ca="1">IFERROR(__xludf.DUMMYFUNCTION("""COMPUTED_VALUE"""),"Manager who explains what is expected, sets a goal and helps achieve it")</f>
        <v>Manager who explains what is expected, sets a goal and helps achieve it</v>
      </c>
      <c r="P907" s="1" t="str">
        <f ca="1">IFERROR(__xludf.DUMMYFUNCTION("""COMPUTED_VALUE"""),"Work with 5 to 6 people in my team")</f>
        <v>Work with 5 to 6 people in my team</v>
      </c>
      <c r="Q907" s="1"/>
    </row>
    <row r="908" spans="1:17" ht="13.2" x14ac:dyDescent="0.25">
      <c r="A908" s="2">
        <f ca="1">IFERROR(__xludf.DUMMYFUNCTION("""COMPUTED_VALUE"""),45024.4167248379)</f>
        <v>45024.416724837902</v>
      </c>
      <c r="B908" s="1" t="str">
        <f ca="1">IFERROR(__xludf.DUMMYFUNCTION("""COMPUTED_VALUE"""),"India")</f>
        <v>India</v>
      </c>
      <c r="C908" s="1">
        <f ca="1">IFERROR(__xludf.DUMMYFUNCTION("""COMPUTED_VALUE"""),517501)</f>
        <v>517501</v>
      </c>
      <c r="D908" s="3" t="str">
        <f ca="1">IFERROR(__xludf.DUMMYFUNCTION("""COMPUTED_VALUE"""),"Female")</f>
        <v>Female</v>
      </c>
      <c r="E908" s="1" t="str">
        <f ca="1">IFERROR(__xludf.DUMMYFUNCTION("""COMPUTED_VALUE"""),"Influencers who had successful careers")</f>
        <v>Influencers who had successful careers</v>
      </c>
      <c r="F908" s="1" t="str">
        <f ca="1">IFERROR(__xludf.DUMMYFUNCTION("""COMPUTED_VALUE"""),"Yes, I will earn and do that")</f>
        <v>Yes, I will earn and do that</v>
      </c>
      <c r="G908" s="1" t="str">
        <f ca="1">IFERROR(__xludf.DUMMYFUNCTION("""COMPUTED_VALUE"""),"This will be hard to do, but if it is the right company I would try")</f>
        <v>This will be hard to do, but if it is the right company I would try</v>
      </c>
      <c r="H908" s="1" t="str">
        <f ca="1">IFERROR(__xludf.DUMMYFUNCTION("""COMPUTED_VALUE"""),"Yes")</f>
        <v>Yes</v>
      </c>
      <c r="I908" s="1" t="str">
        <f ca="1">IFERROR(__xludf.DUMMYFUNCTION("""COMPUTED_VALUE"""),"Will NOT work for them")</f>
        <v>Will NOT work for them</v>
      </c>
      <c r="J908" s="1">
        <f ca="1">IFERROR(__xludf.DUMMYFUNCTION("""COMPUTED_VALUE"""),3)</f>
        <v>3</v>
      </c>
      <c r="K908" s="1" t="str">
        <f ca="1">IFERROR(__xludf.DUMMYFUNCTION("""COMPUTED_VALUE"""),"Hybrid Working Environment with more than 15 days a month at office")</f>
        <v>Hybrid Working Environment with more than 15 days a month at office</v>
      </c>
      <c r="L908" s="1" t="str">
        <f ca="1">IFERROR(__xludf.DUMMYFUNCTION("""COMPUTED_VALUE"""),"Employer who pushes your limits by enabling an learning environment, and rewards you at the end")</f>
        <v>Employer who pushes your limits by enabling an learning environment, and rewards you at the end</v>
      </c>
      <c r="M9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8"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908" s="1" t="str">
        <f ca="1">IFERROR(__xludf.DUMMYFUNCTION("""COMPUTED_VALUE"""),"Manager who explains what is expected, sets a goal and helps achieve it")</f>
        <v>Manager who explains what is expected, sets a goal and helps achieve it</v>
      </c>
      <c r="P908" s="1" t="str">
        <f ca="1">IFERROR(__xludf.DUMMYFUNCTION("""COMPUTED_VALUE"""),"Work alone, Work with 2 to 3 people in my team, Work with 5 to 6 people in my team")</f>
        <v>Work alone, Work with 2 to 3 people in my team, Work with 5 to 6 people in my team</v>
      </c>
      <c r="Q908" s="1"/>
    </row>
    <row r="909" spans="1:17" ht="13.2" x14ac:dyDescent="0.25">
      <c r="A909" s="2">
        <f ca="1">IFERROR(__xludf.DUMMYFUNCTION("""COMPUTED_VALUE"""),45024.4197551273)</f>
        <v>45024.419755127303</v>
      </c>
      <c r="B909" s="1" t="str">
        <f ca="1">IFERROR(__xludf.DUMMYFUNCTION("""COMPUTED_VALUE"""),"India")</f>
        <v>India</v>
      </c>
      <c r="C909" s="1">
        <f ca="1">IFERROR(__xludf.DUMMYFUNCTION("""COMPUTED_VALUE"""),600036)</f>
        <v>600036</v>
      </c>
      <c r="D909" s="3" t="str">
        <f ca="1">IFERROR(__xludf.DUMMYFUNCTION("""COMPUTED_VALUE"""),"Male")</f>
        <v>Male</v>
      </c>
      <c r="E909" s="1" t="str">
        <f ca="1">IFERROR(__xludf.DUMMYFUNCTION("""COMPUTED_VALUE"""),"People from my circle, but not family members")</f>
        <v>People from my circle, but not family members</v>
      </c>
      <c r="F909" s="1" t="str">
        <f ca="1">IFERROR(__xludf.DUMMYFUNCTION("""COMPUTED_VALUE"""),"No, But if someone could bare the cost I will")</f>
        <v>No, But if someone could bare the cost I will</v>
      </c>
      <c r="G909" s="1" t="str">
        <f ca="1">IFERROR(__xludf.DUMMYFUNCTION("""COMPUTED_VALUE"""),"Will work for 3 years or more")</f>
        <v>Will work for 3 years or more</v>
      </c>
      <c r="H909" s="1" t="str">
        <f ca="1">IFERROR(__xludf.DUMMYFUNCTION("""COMPUTED_VALUE"""),"No")</f>
        <v>No</v>
      </c>
      <c r="I909" s="1" t="str">
        <f ca="1">IFERROR(__xludf.DUMMYFUNCTION("""COMPUTED_VALUE"""),"Will NOT work for them")</f>
        <v>Will NOT work for them</v>
      </c>
      <c r="J909" s="1">
        <f ca="1">IFERROR(__xludf.DUMMYFUNCTION("""COMPUTED_VALUE"""),8)</f>
        <v>8</v>
      </c>
      <c r="K909" s="1" t="str">
        <f ca="1">IFERROR(__xludf.DUMMYFUNCTION("""COMPUTED_VALUE"""),"Hybrid Working Environment with less than 3 days a month at office")</f>
        <v>Hybrid Working Environment with less than 3 days a month at office</v>
      </c>
      <c r="L909" s="1" t="str">
        <f ca="1">IFERROR(__xludf.DUMMYFUNCTION("""COMPUTED_VALUE"""),"Employer who pushes your limits by enabling an learning environment, and rewards you at the end")</f>
        <v>Employer who pushes your limits by enabling an learning environment, and rewards you at the end</v>
      </c>
      <c r="M90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09"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909" s="1" t="str">
        <f ca="1">IFERROR(__xludf.DUMMYFUNCTION("""COMPUTED_VALUE"""),"Manager who explains what is expected, sets a goal and helps achieve it")</f>
        <v>Manager who explains what is expected, sets a goal and helps achieve it</v>
      </c>
      <c r="P909" s="1" t="str">
        <f ca="1">IFERROR(__xludf.DUMMYFUNCTION("""COMPUTED_VALUE"""),"Work with 2 to 3 people in my team")</f>
        <v>Work with 2 to 3 people in my team</v>
      </c>
      <c r="Q909" s="1"/>
    </row>
    <row r="910" spans="1:17" ht="13.2" x14ac:dyDescent="0.25">
      <c r="A910" s="2">
        <f ca="1">IFERROR(__xludf.DUMMYFUNCTION("""COMPUTED_VALUE"""),45024.4299818402)</f>
        <v>45024.4299818402</v>
      </c>
      <c r="B910" s="1" t="str">
        <f ca="1">IFERROR(__xludf.DUMMYFUNCTION("""COMPUTED_VALUE"""),"India")</f>
        <v>India</v>
      </c>
      <c r="C910" s="1">
        <f ca="1">IFERROR(__xludf.DUMMYFUNCTION("""COMPUTED_VALUE"""),751007)</f>
        <v>751007</v>
      </c>
      <c r="D910" s="3" t="str">
        <f ca="1">IFERROR(__xludf.DUMMYFUNCTION("""COMPUTED_VALUE"""),"Male")</f>
        <v>Male</v>
      </c>
      <c r="E910" s="1" t="str">
        <f ca="1">IFERROR(__xludf.DUMMYFUNCTION("""COMPUTED_VALUE"""),"My Parents")</f>
        <v>My Parents</v>
      </c>
      <c r="F910" s="1" t="str">
        <f ca="1">IFERROR(__xludf.DUMMYFUNCTION("""COMPUTED_VALUE"""),"Yes, I will earn and do that")</f>
        <v>Yes, I will earn and do that</v>
      </c>
      <c r="G910" s="1" t="str">
        <f ca="1">IFERROR(__xludf.DUMMYFUNCTION("""COMPUTED_VALUE"""),"This will be hard to do, but if it is the right company I would try")</f>
        <v>This will be hard to do, but if it is the right company I would try</v>
      </c>
      <c r="H910" s="1" t="str">
        <f ca="1">IFERROR(__xludf.DUMMYFUNCTION("""COMPUTED_VALUE"""),"No")</f>
        <v>No</v>
      </c>
      <c r="I910" s="1" t="str">
        <f ca="1">IFERROR(__xludf.DUMMYFUNCTION("""COMPUTED_VALUE"""),"Will NOT work for them")</f>
        <v>Will NOT work for them</v>
      </c>
      <c r="J910" s="1">
        <f ca="1">IFERROR(__xludf.DUMMYFUNCTION("""COMPUTED_VALUE"""),7)</f>
        <v>7</v>
      </c>
      <c r="K910" s="1" t="str">
        <f ca="1">IFERROR(__xludf.DUMMYFUNCTION("""COMPUTED_VALUE"""),"Fully Remote with Options to travel as and when needed")</f>
        <v>Fully Remote with Options to travel as and when needed</v>
      </c>
      <c r="L910" s="1" t="str">
        <f ca="1">IFERROR(__xludf.DUMMYFUNCTION("""COMPUTED_VALUE"""),"Employer who pushes your limits by enabling an learning environment, and rewards you at the end")</f>
        <v>Employer who pushes your limits by enabling an learning environment, and rewards you at the end</v>
      </c>
      <c r="M91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10" s="1" t="str">
        <f ca="1">IFERROR(__xludf.DUMMYFUNCTION("""COMPUTED_VALUE"""),"Manager who clearly describes what she/he needs")</f>
        <v>Manager who clearly describes what she/he needs</v>
      </c>
      <c r="P910" s="1" t="str">
        <f ca="1">IFERROR(__xludf.DUMMYFUNCTION("""COMPUTED_VALUE"""),"Work with 7 to 10 or more people in my team")</f>
        <v>Work with 7 to 10 or more people in my team</v>
      </c>
      <c r="Q910" s="1"/>
    </row>
    <row r="911" spans="1:17" ht="13.2" x14ac:dyDescent="0.25">
      <c r="A911" s="2">
        <f ca="1">IFERROR(__xludf.DUMMYFUNCTION("""COMPUTED_VALUE"""),45024.4395169328)</f>
        <v>45024.439516932798</v>
      </c>
      <c r="B911" s="1" t="str">
        <f ca="1">IFERROR(__xludf.DUMMYFUNCTION("""COMPUTED_VALUE"""),"India")</f>
        <v>India</v>
      </c>
      <c r="C911" s="1">
        <f ca="1">IFERROR(__xludf.DUMMYFUNCTION("""COMPUTED_VALUE"""),700091)</f>
        <v>700091</v>
      </c>
      <c r="D911" s="3" t="str">
        <f ca="1">IFERROR(__xludf.DUMMYFUNCTION("""COMPUTED_VALUE"""),"Female")</f>
        <v>Female</v>
      </c>
      <c r="E911" s="1" t="str">
        <f ca="1">IFERROR(__xludf.DUMMYFUNCTION("""COMPUTED_VALUE"""),"People from my circle, but not family members")</f>
        <v>People from my circle, but not family members</v>
      </c>
      <c r="F911" s="1" t="str">
        <f ca="1">IFERROR(__xludf.DUMMYFUNCTION("""COMPUTED_VALUE"""),"No I would not be pursuing Higher Education outside of India")</f>
        <v>No I would not be pursuing Higher Education outside of India</v>
      </c>
      <c r="G911" s="1" t="str">
        <f ca="1">IFERROR(__xludf.DUMMYFUNCTION("""COMPUTED_VALUE"""),"Will work for 3 years or more")</f>
        <v>Will work for 3 years or more</v>
      </c>
      <c r="H911" s="1" t="str">
        <f ca="1">IFERROR(__xludf.DUMMYFUNCTION("""COMPUTED_VALUE"""),"No")</f>
        <v>No</v>
      </c>
      <c r="I911" s="1" t="str">
        <f ca="1">IFERROR(__xludf.DUMMYFUNCTION("""COMPUTED_VALUE"""),"Will NOT work for them")</f>
        <v>Will NOT work for them</v>
      </c>
      <c r="J911" s="1">
        <f ca="1">IFERROR(__xludf.DUMMYFUNCTION("""COMPUTED_VALUE"""),7)</f>
        <v>7</v>
      </c>
      <c r="K911" s="1" t="str">
        <f ca="1">IFERROR(__xludf.DUMMYFUNCTION("""COMPUTED_VALUE"""),"Hybrid Working Environment with more than 15 days a month at office")</f>
        <v>Hybrid Working Environment with more than 15 days a month at office</v>
      </c>
      <c r="L911" s="1" t="str">
        <f ca="1">IFERROR(__xludf.DUMMYFUNCTION("""COMPUTED_VALUE"""),"Employer who pushes your limits by enabling an learning environment, and rewards you at the end")</f>
        <v>Employer who pushes your limits by enabling an learning environment, and rewards you at the end</v>
      </c>
      <c r="M9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1"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911" s="1" t="str">
        <f ca="1">IFERROR(__xludf.DUMMYFUNCTION("""COMPUTED_VALUE"""),"Manager who explains what is expected, sets a goal and helps achieve it")</f>
        <v>Manager who explains what is expected, sets a goal and helps achieve it</v>
      </c>
      <c r="P911" s="1" t="str">
        <f ca="1">IFERROR(__xludf.DUMMYFUNCTION("""COMPUTED_VALUE"""),"Work with 2 to 3 people in my team, Work with 5 to 6 people in my team")</f>
        <v>Work with 2 to 3 people in my team, Work with 5 to 6 people in my team</v>
      </c>
      <c r="Q911" s="1"/>
    </row>
    <row r="912" spans="1:17" ht="13.2" x14ac:dyDescent="0.25">
      <c r="A912" s="2">
        <f ca="1">IFERROR(__xludf.DUMMYFUNCTION("""COMPUTED_VALUE"""),45024.4396742245)</f>
        <v>45024.439674224501</v>
      </c>
      <c r="B912" s="1" t="str">
        <f ca="1">IFERROR(__xludf.DUMMYFUNCTION("""COMPUTED_VALUE"""),"India")</f>
        <v>India</v>
      </c>
      <c r="C912" s="1">
        <f ca="1">IFERROR(__xludf.DUMMYFUNCTION("""COMPUTED_VALUE"""),600015)</f>
        <v>600015</v>
      </c>
      <c r="D912" s="3" t="str">
        <f ca="1">IFERROR(__xludf.DUMMYFUNCTION("""COMPUTED_VALUE"""),"Male")</f>
        <v>Male</v>
      </c>
      <c r="E912" s="1" t="str">
        <f ca="1">IFERROR(__xludf.DUMMYFUNCTION("""COMPUTED_VALUE"""),"People from my circle, but not family members")</f>
        <v>People from my circle, but not family members</v>
      </c>
      <c r="F912" s="1" t="str">
        <f ca="1">IFERROR(__xludf.DUMMYFUNCTION("""COMPUTED_VALUE"""),"Yes, I will earn and do that")</f>
        <v>Yes, I will earn and do that</v>
      </c>
      <c r="G912" s="1" t="str">
        <f ca="1">IFERROR(__xludf.DUMMYFUNCTION("""COMPUTED_VALUE"""),"This will be hard to do, but if it is the right company I would try")</f>
        <v>This will be hard to do, but if it is the right company I would try</v>
      </c>
      <c r="H912" s="1" t="str">
        <f ca="1">IFERROR(__xludf.DUMMYFUNCTION("""COMPUTED_VALUE"""),"Yes")</f>
        <v>Yes</v>
      </c>
      <c r="I912" s="1" t="str">
        <f ca="1">IFERROR(__xludf.DUMMYFUNCTION("""COMPUTED_VALUE"""),"Will work for them")</f>
        <v>Will work for them</v>
      </c>
      <c r="J912" s="1">
        <f ca="1">IFERROR(__xludf.DUMMYFUNCTION("""COMPUTED_VALUE"""),7)</f>
        <v>7</v>
      </c>
      <c r="K912" s="1" t="str">
        <f ca="1">IFERROR(__xludf.DUMMYFUNCTION("""COMPUTED_VALUE"""),"Hybrid Working Environment with more than 15 days a month at office")</f>
        <v>Hybrid Working Environment with more than 15 days a month at office</v>
      </c>
      <c r="L912" s="1" t="str">
        <f ca="1">IFERROR(__xludf.DUMMYFUNCTION("""COMPUTED_VALUE"""),"Employer who appreciates learning and enables that environment")</f>
        <v>Employer who appreciates learning and enables that environment</v>
      </c>
      <c r="M9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2" s="1" t="str">
        <f ca="1">IFERROR(__xludf.DUMMYFUNCTION("""COMPUTED_VALUE"""),"Business Operations in any organization, Look deeply into Data and generate insights, Work in a BPO setup for some well known client, Entrepreneur or Start Up")</f>
        <v>Business Operations in any organization, Look deeply into Data and generate insights, Work in a BPO setup for some well known client, Entrepreneur or Start Up</v>
      </c>
      <c r="O912" s="1" t="str">
        <f ca="1">IFERROR(__xludf.DUMMYFUNCTION("""COMPUTED_VALUE"""),"Manager who explains what is expected, sets a goal and helps achieve it")</f>
        <v>Manager who explains what is expected, sets a goal and helps achieve it</v>
      </c>
      <c r="P912" s="1" t="str">
        <f ca="1">IFERROR(__xludf.DUMMYFUNCTION("""COMPUTED_VALUE"""),"Work with 5 to 6 people in my team, Work with 7 to 10 or more people in my team")</f>
        <v>Work with 5 to 6 people in my team, Work with 7 to 10 or more people in my team</v>
      </c>
      <c r="Q912" s="1"/>
    </row>
    <row r="913" spans="1:17" ht="13.2" x14ac:dyDescent="0.25">
      <c r="A913" s="2">
        <f ca="1">IFERROR(__xludf.DUMMYFUNCTION("""COMPUTED_VALUE"""),45024.4542251736)</f>
        <v>45024.454225173598</v>
      </c>
      <c r="B913" s="1" t="str">
        <f ca="1">IFERROR(__xludf.DUMMYFUNCTION("""COMPUTED_VALUE"""),"India")</f>
        <v>India</v>
      </c>
      <c r="C913" s="1">
        <f ca="1">IFERROR(__xludf.DUMMYFUNCTION("""COMPUTED_VALUE"""),530051)</f>
        <v>530051</v>
      </c>
      <c r="D913" s="3" t="str">
        <f ca="1">IFERROR(__xludf.DUMMYFUNCTION("""COMPUTED_VALUE"""),"Female")</f>
        <v>Female</v>
      </c>
      <c r="E913" s="1" t="str">
        <f ca="1">IFERROR(__xludf.DUMMYFUNCTION("""COMPUTED_VALUE"""),"People who have changed the world for better")</f>
        <v>People who have changed the world for better</v>
      </c>
      <c r="F913" s="1" t="str">
        <f ca="1">IFERROR(__xludf.DUMMYFUNCTION("""COMPUTED_VALUE"""),"No I would not be pursuing Higher Education outside of India")</f>
        <v>No I would not be pursuing Higher Education outside of India</v>
      </c>
      <c r="G913" s="1" t="str">
        <f ca="1">IFERROR(__xludf.DUMMYFUNCTION("""COMPUTED_VALUE"""),"This will be hard to do, but if it is the right company I would try")</f>
        <v>This will be hard to do, but if it is the right company I would try</v>
      </c>
      <c r="H913" s="1" t="str">
        <f ca="1">IFERROR(__xludf.DUMMYFUNCTION("""COMPUTED_VALUE"""),"No")</f>
        <v>No</v>
      </c>
      <c r="I913" s="1" t="str">
        <f ca="1">IFERROR(__xludf.DUMMYFUNCTION("""COMPUTED_VALUE"""),"Will NOT work for them")</f>
        <v>Will NOT work for them</v>
      </c>
      <c r="J913" s="1">
        <f ca="1">IFERROR(__xludf.DUMMYFUNCTION("""COMPUTED_VALUE"""),9)</f>
        <v>9</v>
      </c>
      <c r="K913" s="1" t="str">
        <f ca="1">IFERROR(__xludf.DUMMYFUNCTION("""COMPUTED_VALUE"""),"Fully Remote with Options to travel as and when needed")</f>
        <v>Fully Remote with Options to travel as and when needed</v>
      </c>
      <c r="L913" s="1" t="str">
        <f ca="1">IFERROR(__xludf.DUMMYFUNCTION("""COMPUTED_VALUE"""),"Employer who pushes your limits by enabling an learning environment, and rewards you at the end")</f>
        <v>Employer who pushes your limits by enabling an learning environment, and rewards you at the end</v>
      </c>
      <c r="M91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13" s="1" t="str">
        <f ca="1">IFERROR(__xludf.DUMMYFUNCTION("""COMPUTED_VALUE"""),"Design and Creative strategy in any company, Teaching in any of the institutes/colleges/online or offline, Look deeply into Data and generate insights, Become a content Creator in some platform")</f>
        <v>Design and Creative strategy in any company, Teaching in any of the institutes/colleges/online or offline, Look deeply into Data and generate insights, Become a content Creator in some platform</v>
      </c>
      <c r="O913" s="1" t="str">
        <f ca="1">IFERROR(__xludf.DUMMYFUNCTION("""COMPUTED_VALUE"""),"Manager who clearly describes what she/he needs")</f>
        <v>Manager who clearly describes what she/he needs</v>
      </c>
      <c r="P913" s="1" t="str">
        <f ca="1">IFERROR(__xludf.DUMMYFUNCTION("""COMPUTED_VALUE"""),"Work with 2 to 3 people in my team, Work with 5 to 6 people in my team, Work with more than 10 people in my team")</f>
        <v>Work with 2 to 3 people in my team, Work with 5 to 6 people in my team, Work with more than 10 people in my team</v>
      </c>
      <c r="Q913" s="1"/>
    </row>
    <row r="914" spans="1:17" ht="13.2" x14ac:dyDescent="0.25">
      <c r="A914" s="2">
        <f ca="1">IFERROR(__xludf.DUMMYFUNCTION("""COMPUTED_VALUE"""),45024.467157824)</f>
        <v>45024.467157824001</v>
      </c>
      <c r="B914" s="1" t="str">
        <f ca="1">IFERROR(__xludf.DUMMYFUNCTION("""COMPUTED_VALUE"""),"India")</f>
        <v>India</v>
      </c>
      <c r="C914" s="1">
        <f ca="1">IFERROR(__xludf.DUMMYFUNCTION("""COMPUTED_VALUE"""),600095)</f>
        <v>600095</v>
      </c>
      <c r="D914" s="3" t="str">
        <f ca="1">IFERROR(__xludf.DUMMYFUNCTION("""COMPUTED_VALUE"""),"Male")</f>
        <v>Male</v>
      </c>
      <c r="E914" s="1" t="str">
        <f ca="1">IFERROR(__xludf.DUMMYFUNCTION("""COMPUTED_VALUE"""),"People who have changed the world for better")</f>
        <v>People who have changed the world for better</v>
      </c>
      <c r="F914" s="1" t="str">
        <f ca="1">IFERROR(__xludf.DUMMYFUNCTION("""COMPUTED_VALUE"""),"No I would not be pursuing Higher Education outside of India")</f>
        <v>No I would not be pursuing Higher Education outside of India</v>
      </c>
      <c r="G914" s="1" t="str">
        <f ca="1">IFERROR(__xludf.DUMMYFUNCTION("""COMPUTED_VALUE"""),"Will work for 3 years or more")</f>
        <v>Will work for 3 years or more</v>
      </c>
      <c r="H914" s="1" t="str">
        <f ca="1">IFERROR(__xludf.DUMMYFUNCTION("""COMPUTED_VALUE"""),"No")</f>
        <v>No</v>
      </c>
      <c r="I914" s="1" t="str">
        <f ca="1">IFERROR(__xludf.DUMMYFUNCTION("""COMPUTED_VALUE"""),"Will NOT work for them")</f>
        <v>Will NOT work for them</v>
      </c>
      <c r="J914" s="1">
        <f ca="1">IFERROR(__xludf.DUMMYFUNCTION("""COMPUTED_VALUE"""),7)</f>
        <v>7</v>
      </c>
      <c r="K914" s="1" t="str">
        <f ca="1">IFERROR(__xludf.DUMMYFUNCTION("""COMPUTED_VALUE"""),"Every Day Office Environment")</f>
        <v>Every Day Office Environment</v>
      </c>
      <c r="L914" s="1" t="str">
        <f ca="1">IFERROR(__xludf.DUMMYFUNCTION("""COMPUTED_VALUE"""),"Employer who appreciates learning and enables that environment")</f>
        <v>Employer who appreciates learning and enables that environment</v>
      </c>
      <c r="M9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14"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914" s="1" t="str">
        <f ca="1">IFERROR(__xludf.DUMMYFUNCTION("""COMPUTED_VALUE"""),"Manager who clearly describes what she/he needs")</f>
        <v>Manager who clearly describes what she/he needs</v>
      </c>
      <c r="P91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914" s="1"/>
    </row>
    <row r="915" spans="1:17" ht="13.2" x14ac:dyDescent="0.25">
      <c r="A915" s="2">
        <f ca="1">IFERROR(__xludf.DUMMYFUNCTION("""COMPUTED_VALUE"""),45024.4690353935)</f>
        <v>45024.4690353935</v>
      </c>
      <c r="B915" s="1" t="str">
        <f ca="1">IFERROR(__xludf.DUMMYFUNCTION("""COMPUTED_VALUE"""),"India")</f>
        <v>India</v>
      </c>
      <c r="C915" s="1">
        <f ca="1">IFERROR(__xludf.DUMMYFUNCTION("""COMPUTED_VALUE"""),442902)</f>
        <v>442902</v>
      </c>
      <c r="D915" s="3" t="str">
        <f ca="1">IFERROR(__xludf.DUMMYFUNCTION("""COMPUTED_VALUE"""),"Female")</f>
        <v>Female</v>
      </c>
      <c r="E915" s="1" t="str">
        <f ca="1">IFERROR(__xludf.DUMMYFUNCTION("""COMPUTED_VALUE"""),"People who have changed the world for better")</f>
        <v>People who have changed the world for better</v>
      </c>
      <c r="F915" s="1" t="str">
        <f ca="1">IFERROR(__xludf.DUMMYFUNCTION("""COMPUTED_VALUE"""),"No, But if someone could bare the cost I will")</f>
        <v>No, But if someone could bare the cost I will</v>
      </c>
      <c r="G915" s="1" t="str">
        <f ca="1">IFERROR(__xludf.DUMMYFUNCTION("""COMPUTED_VALUE"""),"This will be hard to do, but if it is the right company I would try")</f>
        <v>This will be hard to do, but if it is the right company I would try</v>
      </c>
      <c r="H915" s="1" t="str">
        <f ca="1">IFERROR(__xludf.DUMMYFUNCTION("""COMPUTED_VALUE"""),"Yes")</f>
        <v>Yes</v>
      </c>
      <c r="I915" s="1" t="str">
        <f ca="1">IFERROR(__xludf.DUMMYFUNCTION("""COMPUTED_VALUE"""),"Will NOT work for them")</f>
        <v>Will NOT work for them</v>
      </c>
      <c r="J915" s="1">
        <f ca="1">IFERROR(__xludf.DUMMYFUNCTION("""COMPUTED_VALUE"""),10)</f>
        <v>10</v>
      </c>
      <c r="K915" s="1" t="str">
        <f ca="1">IFERROR(__xludf.DUMMYFUNCTION("""COMPUTED_VALUE"""),"Every Day Office Environment")</f>
        <v>Every Day Office Environment</v>
      </c>
      <c r="L915" s="1" t="str">
        <f ca="1">IFERROR(__xludf.DUMMYFUNCTION("""COMPUTED_VALUE"""),"Employer who appreciates learning and enables that environment")</f>
        <v>Employer who appreciates learning and enables that environment</v>
      </c>
      <c r="M91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15" s="1" t="str">
        <f ca="1">IFERROR(__xludf.DUMMYFUNCTION("""COMPUTED_VALUE"""),"Design and Creative strategy in any company, Business Operations in any organization, I Want to sell things/Sales, An Artificial Intelligence Specialist / Talking to Robots")</f>
        <v>Design and Creative strategy in any company, Business Operations in any organization, I Want to sell things/Sales, An Artificial Intelligence Specialist / Talking to Robots</v>
      </c>
      <c r="O915" s="1" t="str">
        <f ca="1">IFERROR(__xludf.DUMMYFUNCTION("""COMPUTED_VALUE"""),"Manager who sets goal and helps me achieve it")</f>
        <v>Manager who sets goal and helps me achieve it</v>
      </c>
      <c r="P915" s="1" t="str">
        <f ca="1">IFERROR(__xludf.DUMMYFUNCTION("""COMPUTED_VALUE"""),"Work with 2 to 3 people in my team")</f>
        <v>Work with 2 to 3 people in my team</v>
      </c>
      <c r="Q915" s="1"/>
    </row>
    <row r="916" spans="1:17" ht="13.2" x14ac:dyDescent="0.25">
      <c r="A916" s="2">
        <f ca="1">IFERROR(__xludf.DUMMYFUNCTION("""COMPUTED_VALUE"""),45024.4843937963)</f>
        <v>45024.484393796301</v>
      </c>
      <c r="B916" s="1" t="str">
        <f ca="1">IFERROR(__xludf.DUMMYFUNCTION("""COMPUTED_VALUE"""),"India")</f>
        <v>India</v>
      </c>
      <c r="C916" s="1">
        <f ca="1">IFERROR(__xludf.DUMMYFUNCTION("""COMPUTED_VALUE"""),500060)</f>
        <v>500060</v>
      </c>
      <c r="D916" s="3" t="str">
        <f ca="1">IFERROR(__xludf.DUMMYFUNCTION("""COMPUTED_VALUE"""),"Male")</f>
        <v>Male</v>
      </c>
      <c r="E916" s="1" t="str">
        <f ca="1">IFERROR(__xludf.DUMMYFUNCTION("""COMPUTED_VALUE"""),"People who have changed the world for better")</f>
        <v>People who have changed the world for better</v>
      </c>
      <c r="F916" s="1" t="str">
        <f ca="1">IFERROR(__xludf.DUMMYFUNCTION("""COMPUTED_VALUE"""),"No, But if someone could bare the cost I will")</f>
        <v>No, But if someone could bare the cost I will</v>
      </c>
      <c r="G916" s="1" t="str">
        <f ca="1">IFERROR(__xludf.DUMMYFUNCTION("""COMPUTED_VALUE"""),"This will be hard to do, but if it is the right company I would try")</f>
        <v>This will be hard to do, but if it is the right company I would try</v>
      </c>
      <c r="H916" s="1" t="str">
        <f ca="1">IFERROR(__xludf.DUMMYFUNCTION("""COMPUTED_VALUE"""),"No")</f>
        <v>No</v>
      </c>
      <c r="I916" s="1" t="str">
        <f ca="1">IFERROR(__xludf.DUMMYFUNCTION("""COMPUTED_VALUE"""),"Will NOT work for them")</f>
        <v>Will NOT work for them</v>
      </c>
      <c r="J916" s="1">
        <f ca="1">IFERROR(__xludf.DUMMYFUNCTION("""COMPUTED_VALUE"""),4)</f>
        <v>4</v>
      </c>
      <c r="K916" s="1" t="str">
        <f ca="1">IFERROR(__xludf.DUMMYFUNCTION("""COMPUTED_VALUE"""),"Hybrid Working Environment with more than 15 days a month at office")</f>
        <v>Hybrid Working Environment with more than 15 days a month at office</v>
      </c>
      <c r="L916" s="1" t="str">
        <f ca="1">IFERROR(__xludf.DUMMYFUNCTION("""COMPUTED_VALUE"""),"Employer who pushes your limits by enabling an learning environment, and rewards you at the end")</f>
        <v>Employer who pushes your limits by enabling an learning environment, and rewards you at the end</v>
      </c>
      <c r="M91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16"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16" s="1" t="str">
        <f ca="1">IFERROR(__xludf.DUMMYFUNCTION("""COMPUTED_VALUE"""),"Manager who explains what is expected, sets a goal and helps achieve it")</f>
        <v>Manager who explains what is expected, sets a goal and helps achieve it</v>
      </c>
      <c r="P916" s="1" t="str">
        <f ca="1">IFERROR(__xludf.DUMMYFUNCTION("""COMPUTED_VALUE"""),"Work with 5 to 6 people in my team")</f>
        <v>Work with 5 to 6 people in my team</v>
      </c>
      <c r="Q916" s="1"/>
    </row>
    <row r="917" spans="1:17" ht="13.2" x14ac:dyDescent="0.25">
      <c r="A917" s="2">
        <f ca="1">IFERROR(__xludf.DUMMYFUNCTION("""COMPUTED_VALUE"""),45024.4872833564)</f>
        <v>45024.4872833564</v>
      </c>
      <c r="B917" s="1" t="str">
        <f ca="1">IFERROR(__xludf.DUMMYFUNCTION("""COMPUTED_VALUE"""),"India")</f>
        <v>India</v>
      </c>
      <c r="C917" s="1">
        <f ca="1">IFERROR(__xludf.DUMMYFUNCTION("""COMPUTED_VALUE"""),522202)</f>
        <v>522202</v>
      </c>
      <c r="D917" s="3" t="str">
        <f ca="1">IFERROR(__xludf.DUMMYFUNCTION("""COMPUTED_VALUE"""),"Male")</f>
        <v>Male</v>
      </c>
      <c r="E917" s="1" t="str">
        <f ca="1">IFERROR(__xludf.DUMMYFUNCTION("""COMPUTED_VALUE"""),"My Parents")</f>
        <v>My Parents</v>
      </c>
      <c r="F917" s="1" t="str">
        <f ca="1">IFERROR(__xludf.DUMMYFUNCTION("""COMPUTED_VALUE"""),"Yes, I will earn and do that")</f>
        <v>Yes, I will earn and do that</v>
      </c>
      <c r="G917" s="1" t="str">
        <f ca="1">IFERROR(__xludf.DUMMYFUNCTION("""COMPUTED_VALUE"""),"This will be hard to do, but if it is the right company I would try")</f>
        <v>This will be hard to do, but if it is the right company I would try</v>
      </c>
      <c r="H917" s="1" t="str">
        <f ca="1">IFERROR(__xludf.DUMMYFUNCTION("""COMPUTED_VALUE"""),"No")</f>
        <v>No</v>
      </c>
      <c r="I917" s="1" t="str">
        <f ca="1">IFERROR(__xludf.DUMMYFUNCTION("""COMPUTED_VALUE"""),"Will NOT work for them")</f>
        <v>Will NOT work for them</v>
      </c>
      <c r="J917" s="1">
        <f ca="1">IFERROR(__xludf.DUMMYFUNCTION("""COMPUTED_VALUE"""),5)</f>
        <v>5</v>
      </c>
      <c r="K917" s="1" t="str">
        <f ca="1">IFERROR(__xludf.DUMMYFUNCTION("""COMPUTED_VALUE"""),"Hybrid Working Environment with more than 15 days a month at office")</f>
        <v>Hybrid Working Environment with more than 15 days a month at office</v>
      </c>
      <c r="L917" s="1" t="str">
        <f ca="1">IFERROR(__xludf.DUMMYFUNCTION("""COMPUTED_VALUE"""),"Employer who pushes your limits by enabling an learning environment, and rewards you at the end")</f>
        <v>Employer who pushes your limits by enabling an learning environment, and rewards you at the end</v>
      </c>
      <c r="M9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1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917" s="1" t="str">
        <f ca="1">IFERROR(__xludf.DUMMYFUNCTION("""COMPUTED_VALUE"""),"Manager who sets goal and helps me achieve it")</f>
        <v>Manager who sets goal and helps me achieve it</v>
      </c>
      <c r="P917" s="1" t="str">
        <f ca="1">IFERROR(__xludf.DUMMYFUNCTION("""COMPUTED_VALUE"""),"Work with 2 to 3 people in my team, Work with 5 to 6 people in my team")</f>
        <v>Work with 2 to 3 people in my team, Work with 5 to 6 people in my team</v>
      </c>
      <c r="Q917" s="1"/>
    </row>
    <row r="918" spans="1:17" ht="13.2" x14ac:dyDescent="0.25">
      <c r="A918" s="2">
        <f ca="1">IFERROR(__xludf.DUMMYFUNCTION("""COMPUTED_VALUE"""),45024.4931761458)</f>
        <v>45024.493176145799</v>
      </c>
      <c r="B918" s="1" t="str">
        <f ca="1">IFERROR(__xludf.DUMMYFUNCTION("""COMPUTED_VALUE"""),"India")</f>
        <v>India</v>
      </c>
      <c r="C918" s="1">
        <f ca="1">IFERROR(__xludf.DUMMYFUNCTION("""COMPUTED_VALUE"""),110058)</f>
        <v>110058</v>
      </c>
      <c r="D918" s="3" t="str">
        <f ca="1">IFERROR(__xludf.DUMMYFUNCTION("""COMPUTED_VALUE"""),"Male")</f>
        <v>Male</v>
      </c>
      <c r="E918" s="1" t="str">
        <f ca="1">IFERROR(__xludf.DUMMYFUNCTION("""COMPUTED_VALUE"""),"My Parents")</f>
        <v>My Parents</v>
      </c>
      <c r="F918" s="1" t="str">
        <f ca="1">IFERROR(__xludf.DUMMYFUNCTION("""COMPUTED_VALUE"""),"Yes, I will earn and do that")</f>
        <v>Yes, I will earn and do that</v>
      </c>
      <c r="G918" s="1" t="str">
        <f ca="1">IFERROR(__xludf.DUMMYFUNCTION("""COMPUTED_VALUE"""),"Will work for 3 years or more")</f>
        <v>Will work for 3 years or more</v>
      </c>
      <c r="H918" s="1" t="str">
        <f ca="1">IFERROR(__xludf.DUMMYFUNCTION("""COMPUTED_VALUE"""),"No")</f>
        <v>No</v>
      </c>
      <c r="I918" s="1" t="str">
        <f ca="1">IFERROR(__xludf.DUMMYFUNCTION("""COMPUTED_VALUE"""),"Will NOT work for them")</f>
        <v>Will NOT work for them</v>
      </c>
      <c r="J918" s="1">
        <f ca="1">IFERROR(__xludf.DUMMYFUNCTION("""COMPUTED_VALUE"""),5)</f>
        <v>5</v>
      </c>
      <c r="K918" s="1" t="str">
        <f ca="1">IFERROR(__xludf.DUMMYFUNCTION("""COMPUTED_VALUE"""),"Hybrid Working Environment with less than 3 days a month at office")</f>
        <v>Hybrid Working Environment with less than 3 days a month at office</v>
      </c>
      <c r="L918" s="1" t="str">
        <f ca="1">IFERROR(__xludf.DUMMYFUNCTION("""COMPUTED_VALUE"""),"Employer who pushes your limits by enabling an learning environment, and rewards you at the end")</f>
        <v>Employer who pushes your limits by enabling an learning environment, and rewards you at the end</v>
      </c>
      <c r="M91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8"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918" s="1" t="str">
        <f ca="1">IFERROR(__xludf.DUMMYFUNCTION("""COMPUTED_VALUE"""),"Manager who explains what is expected, sets a goal and helps achieve it")</f>
        <v>Manager who explains what is expected, sets a goal and helps achieve it</v>
      </c>
      <c r="P918" s="1" t="str">
        <f ca="1">IFERROR(__xludf.DUMMYFUNCTION("""COMPUTED_VALUE"""),"Work with 5 to 6 people in my team")</f>
        <v>Work with 5 to 6 people in my team</v>
      </c>
      <c r="Q918" s="1"/>
    </row>
    <row r="919" spans="1:17" ht="13.2" x14ac:dyDescent="0.25">
      <c r="A919" s="2">
        <f ca="1">IFERROR(__xludf.DUMMYFUNCTION("""COMPUTED_VALUE"""),45024.5010953472)</f>
        <v>45024.501095347201</v>
      </c>
      <c r="B919" s="1" t="str">
        <f ca="1">IFERROR(__xludf.DUMMYFUNCTION("""COMPUTED_VALUE"""),"India")</f>
        <v>India</v>
      </c>
      <c r="C919" s="1">
        <f ca="1">IFERROR(__xludf.DUMMYFUNCTION("""COMPUTED_VALUE"""),110089)</f>
        <v>110089</v>
      </c>
      <c r="D919" s="3" t="str">
        <f ca="1">IFERROR(__xludf.DUMMYFUNCTION("""COMPUTED_VALUE"""),"Female")</f>
        <v>Female</v>
      </c>
      <c r="E919" s="1" t="str">
        <f ca="1">IFERROR(__xludf.DUMMYFUNCTION("""COMPUTED_VALUE"""),"My Parents")</f>
        <v>My Parents</v>
      </c>
      <c r="F919" s="1" t="str">
        <f ca="1">IFERROR(__xludf.DUMMYFUNCTION("""COMPUTED_VALUE"""),"No I would not be pursuing Higher Education outside of India")</f>
        <v>No I would not be pursuing Higher Education outside of India</v>
      </c>
      <c r="G919" s="1" t="str">
        <f ca="1">IFERROR(__xludf.DUMMYFUNCTION("""COMPUTED_VALUE"""),"Will work for 3 years or more")</f>
        <v>Will work for 3 years or more</v>
      </c>
      <c r="H919" s="1" t="str">
        <f ca="1">IFERROR(__xludf.DUMMYFUNCTION("""COMPUTED_VALUE"""),"No")</f>
        <v>No</v>
      </c>
      <c r="I919" s="1" t="str">
        <f ca="1">IFERROR(__xludf.DUMMYFUNCTION("""COMPUTED_VALUE"""),"Will NOT work for them")</f>
        <v>Will NOT work for them</v>
      </c>
      <c r="J919" s="1">
        <f ca="1">IFERROR(__xludf.DUMMYFUNCTION("""COMPUTED_VALUE"""),9)</f>
        <v>9</v>
      </c>
      <c r="K919" s="1" t="str">
        <f ca="1">IFERROR(__xludf.DUMMYFUNCTION("""COMPUTED_VALUE"""),"Every Day Office Environment")</f>
        <v>Every Day Office Environment</v>
      </c>
      <c r="L919" s="1" t="str">
        <f ca="1">IFERROR(__xludf.DUMMYFUNCTION("""COMPUTED_VALUE"""),"Employer who pushes your limits by enabling an learning environment, and rewards you at the end")</f>
        <v>Employer who pushes your limits by enabling an learning environment, and rewards you at the end</v>
      </c>
      <c r="M91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1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919" s="1" t="str">
        <f ca="1">IFERROR(__xludf.DUMMYFUNCTION("""COMPUTED_VALUE"""),"Manager who explains what is expected, sets a goal and helps achieve it")</f>
        <v>Manager who explains what is expected, sets a goal and helps achieve it</v>
      </c>
      <c r="P919" s="1" t="str">
        <f ca="1">IFERROR(__xludf.DUMMYFUNCTION("""COMPUTED_VALUE"""),"Work alone, Work with 2 to 3 people in my team")</f>
        <v>Work alone, Work with 2 to 3 people in my team</v>
      </c>
      <c r="Q919" s="1"/>
    </row>
    <row r="920" spans="1:17" ht="13.2" x14ac:dyDescent="0.25">
      <c r="A920" s="2">
        <f ca="1">IFERROR(__xludf.DUMMYFUNCTION("""COMPUTED_VALUE"""),45024.5076423958)</f>
        <v>45024.507642395802</v>
      </c>
      <c r="B920" s="1" t="str">
        <f ca="1">IFERROR(__xludf.DUMMYFUNCTION("""COMPUTED_VALUE"""),"India")</f>
        <v>India</v>
      </c>
      <c r="C920" s="1">
        <f ca="1">IFERROR(__xludf.DUMMYFUNCTION("""COMPUTED_VALUE"""),600117)</f>
        <v>600117</v>
      </c>
      <c r="D920" s="3" t="str">
        <f ca="1">IFERROR(__xludf.DUMMYFUNCTION("""COMPUTED_VALUE"""),"Male")</f>
        <v>Male</v>
      </c>
      <c r="E920" s="1" t="str">
        <f ca="1">IFERROR(__xludf.DUMMYFUNCTION("""COMPUTED_VALUE"""),"Influencers who had successful careers")</f>
        <v>Influencers who had successful careers</v>
      </c>
      <c r="F920" s="1" t="str">
        <f ca="1">IFERROR(__xludf.DUMMYFUNCTION("""COMPUTED_VALUE"""),"Yes, I will earn and do that")</f>
        <v>Yes, I will earn and do that</v>
      </c>
      <c r="G920" s="1" t="str">
        <f ca="1">IFERROR(__xludf.DUMMYFUNCTION("""COMPUTED_VALUE"""),"This will be hard to do, but if it is the right company I would try")</f>
        <v>This will be hard to do, but if it is the right company I would try</v>
      </c>
      <c r="H920" s="1" t="str">
        <f ca="1">IFERROR(__xludf.DUMMYFUNCTION("""COMPUTED_VALUE"""),"No")</f>
        <v>No</v>
      </c>
      <c r="I920" s="1" t="str">
        <f ca="1">IFERROR(__xludf.DUMMYFUNCTION("""COMPUTED_VALUE"""),"Will NOT work for them")</f>
        <v>Will NOT work for them</v>
      </c>
      <c r="J920" s="1">
        <f ca="1">IFERROR(__xludf.DUMMYFUNCTION("""COMPUTED_VALUE"""),3)</f>
        <v>3</v>
      </c>
      <c r="K920" s="1" t="str">
        <f ca="1">IFERROR(__xludf.DUMMYFUNCTION("""COMPUTED_VALUE"""),"Hybrid Working Environment with less than 3 days a month at office")</f>
        <v>Hybrid Working Environment with less than 3 days a month at office</v>
      </c>
      <c r="L920" s="1" t="str">
        <f ca="1">IFERROR(__xludf.DUMMYFUNCTION("""COMPUTED_VALUE"""),"Employer who rewards learning and enables that environment")</f>
        <v>Employer who rewards learning and enables that environment</v>
      </c>
      <c r="M9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2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920" s="1" t="str">
        <f ca="1">IFERROR(__xludf.DUMMYFUNCTION("""COMPUTED_VALUE"""),"Manager who sets goal and helps me achieve it")</f>
        <v>Manager who sets goal and helps me achieve it</v>
      </c>
      <c r="P920" s="1" t="str">
        <f ca="1">IFERROR(__xludf.DUMMYFUNCTION("""COMPUTED_VALUE"""),"Work with 2 to 3 people in my team")</f>
        <v>Work with 2 to 3 people in my team</v>
      </c>
      <c r="Q920" s="1"/>
    </row>
    <row r="921" spans="1:17" ht="13.2" x14ac:dyDescent="0.25">
      <c r="A921" s="2">
        <f ca="1">IFERROR(__xludf.DUMMYFUNCTION("""COMPUTED_VALUE"""),45024.5107562037)</f>
        <v>45024.510756203701</v>
      </c>
      <c r="B921" s="1" t="str">
        <f ca="1">IFERROR(__xludf.DUMMYFUNCTION("""COMPUTED_VALUE"""),"India")</f>
        <v>India</v>
      </c>
      <c r="C921" s="1">
        <f ca="1">IFERROR(__xludf.DUMMYFUNCTION("""COMPUTED_VALUE"""),600042)</f>
        <v>600042</v>
      </c>
      <c r="D921" s="3" t="str">
        <f ca="1">IFERROR(__xludf.DUMMYFUNCTION("""COMPUTED_VALUE"""),"Male")</f>
        <v>Male</v>
      </c>
      <c r="E921" s="1" t="str">
        <f ca="1">IFERROR(__xludf.DUMMYFUNCTION("""COMPUTED_VALUE"""),"My Parents")</f>
        <v>My Parents</v>
      </c>
      <c r="F921" s="1" t="str">
        <f ca="1">IFERROR(__xludf.DUMMYFUNCTION("""COMPUTED_VALUE"""),"Yes, I will earn and do that")</f>
        <v>Yes, I will earn and do that</v>
      </c>
      <c r="G921" s="1" t="str">
        <f ca="1">IFERROR(__xludf.DUMMYFUNCTION("""COMPUTED_VALUE"""),"This will be hard to do, but if it is the right company I would try")</f>
        <v>This will be hard to do, but if it is the right company I would try</v>
      </c>
      <c r="H921" s="1" t="str">
        <f ca="1">IFERROR(__xludf.DUMMYFUNCTION("""COMPUTED_VALUE"""),"No")</f>
        <v>No</v>
      </c>
      <c r="I921" s="1" t="str">
        <f ca="1">IFERROR(__xludf.DUMMYFUNCTION("""COMPUTED_VALUE"""),"Will NOT work for them")</f>
        <v>Will NOT work for them</v>
      </c>
      <c r="J921" s="1">
        <f ca="1">IFERROR(__xludf.DUMMYFUNCTION("""COMPUTED_VALUE"""),6)</f>
        <v>6</v>
      </c>
      <c r="K921" s="1" t="str">
        <f ca="1">IFERROR(__xludf.DUMMYFUNCTION("""COMPUTED_VALUE"""),"Every Day Office Environment")</f>
        <v>Every Day Office Environment</v>
      </c>
      <c r="L921" s="1" t="str">
        <f ca="1">IFERROR(__xludf.DUMMYFUNCTION("""COMPUTED_VALUE"""),"Employer who pushes your limits by enabling an learning environment, and rewards you at the end")</f>
        <v>Employer who pushes your limits by enabling an learning environment, and rewards you at the end</v>
      </c>
      <c r="M921" s="1" t="str">
        <f ca="1">IFERROR(__xludf.DUMMYFUNCTION("""COMPUTED_VALUE"""),"Instructor or Expert Learning Programs, Learning by observing others, Manager Teaching you")</f>
        <v>Instructor or Expert Learning Programs, Learning by observing others, Manager Teaching you</v>
      </c>
      <c r="N92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921" s="1" t="str">
        <f ca="1">IFERROR(__xludf.DUMMYFUNCTION("""COMPUTED_VALUE"""),"Manager who sets goal and helps me achieve it")</f>
        <v>Manager who sets goal and helps me achieve it</v>
      </c>
      <c r="P921" s="1" t="str">
        <f ca="1">IFERROR(__xludf.DUMMYFUNCTION("""COMPUTED_VALUE"""),"Work with 2 to 3 people in my team")</f>
        <v>Work with 2 to 3 people in my team</v>
      </c>
      <c r="Q921" s="1"/>
    </row>
    <row r="922" spans="1:17" ht="13.2" x14ac:dyDescent="0.25">
      <c r="A922" s="2">
        <f ca="1">IFERROR(__xludf.DUMMYFUNCTION("""COMPUTED_VALUE"""),45024.5170838425)</f>
        <v>45024.517083842497</v>
      </c>
      <c r="B922" s="1" t="str">
        <f ca="1">IFERROR(__xludf.DUMMYFUNCTION("""COMPUTED_VALUE"""),"India")</f>
        <v>India</v>
      </c>
      <c r="C922" s="1">
        <f ca="1">IFERROR(__xludf.DUMMYFUNCTION("""COMPUTED_VALUE"""),753010)</f>
        <v>753010</v>
      </c>
      <c r="D922" s="3" t="str">
        <f ca="1">IFERROR(__xludf.DUMMYFUNCTION("""COMPUTED_VALUE"""),"Male")</f>
        <v>Male</v>
      </c>
      <c r="E922" s="1" t="str">
        <f ca="1">IFERROR(__xludf.DUMMYFUNCTION("""COMPUTED_VALUE"""),"Influencers who had successful careers")</f>
        <v>Influencers who had successful careers</v>
      </c>
      <c r="F922" s="1" t="str">
        <f ca="1">IFERROR(__xludf.DUMMYFUNCTION("""COMPUTED_VALUE"""),"No I would not be pursuing Higher Education outside of India")</f>
        <v>No I would not be pursuing Higher Education outside of India</v>
      </c>
      <c r="G922" s="1" t="str">
        <f ca="1">IFERROR(__xludf.DUMMYFUNCTION("""COMPUTED_VALUE"""),"This will be hard to do, but if it is the right company I would try")</f>
        <v>This will be hard to do, but if it is the right company I would try</v>
      </c>
      <c r="H922" s="1" t="str">
        <f ca="1">IFERROR(__xludf.DUMMYFUNCTION("""COMPUTED_VALUE"""),"No")</f>
        <v>No</v>
      </c>
      <c r="I922" s="1" t="str">
        <f ca="1">IFERROR(__xludf.DUMMYFUNCTION("""COMPUTED_VALUE"""),"Will NOT work for them")</f>
        <v>Will NOT work for them</v>
      </c>
      <c r="J922" s="1">
        <f ca="1">IFERROR(__xludf.DUMMYFUNCTION("""COMPUTED_VALUE"""),2)</f>
        <v>2</v>
      </c>
      <c r="K922" s="1" t="str">
        <f ca="1">IFERROR(__xludf.DUMMYFUNCTION("""COMPUTED_VALUE"""),"Hybrid Working Environment with more than 15 days a month at office")</f>
        <v>Hybrid Working Environment with more than 15 days a month at office</v>
      </c>
      <c r="L922" s="1" t="str">
        <f ca="1">IFERROR(__xludf.DUMMYFUNCTION("""COMPUTED_VALUE"""),"Employer who pushes your limits by enabling an learning environment, and rewards you at the end")</f>
        <v>Employer who pushes your limits by enabling an learning environment, and rewards you at the end</v>
      </c>
      <c r="M9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2"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22" s="1" t="str">
        <f ca="1">IFERROR(__xludf.DUMMYFUNCTION("""COMPUTED_VALUE"""),"Manager who sets targets and expects me to achieve it")</f>
        <v>Manager who sets targets and expects me to achieve it</v>
      </c>
      <c r="P922" s="1" t="str">
        <f ca="1">IFERROR(__xludf.DUMMYFUNCTION("""COMPUTED_VALUE"""),"Work with 2 to 3 people in my team")</f>
        <v>Work with 2 to 3 people in my team</v>
      </c>
      <c r="Q922" s="1"/>
    </row>
    <row r="923" spans="1:17" ht="13.2" x14ac:dyDescent="0.25">
      <c r="A923" s="2">
        <f ca="1">IFERROR(__xludf.DUMMYFUNCTION("""COMPUTED_VALUE"""),45024.5243302777)</f>
        <v>45024.524330277702</v>
      </c>
      <c r="B923" s="1" t="str">
        <f ca="1">IFERROR(__xludf.DUMMYFUNCTION("""COMPUTED_VALUE"""),"India")</f>
        <v>India</v>
      </c>
      <c r="C923" s="1">
        <f ca="1">IFERROR(__xludf.DUMMYFUNCTION("""COMPUTED_VALUE"""),600100)</f>
        <v>600100</v>
      </c>
      <c r="D923" s="3" t="str">
        <f ca="1">IFERROR(__xludf.DUMMYFUNCTION("""COMPUTED_VALUE"""),"Male")</f>
        <v>Male</v>
      </c>
      <c r="E923" s="1" t="str">
        <f ca="1">IFERROR(__xludf.DUMMYFUNCTION("""COMPUTED_VALUE"""),"Influencers who had successful careers")</f>
        <v>Influencers who had successful careers</v>
      </c>
      <c r="F923" s="1" t="str">
        <f ca="1">IFERROR(__xludf.DUMMYFUNCTION("""COMPUTED_VALUE"""),"No, But if someone could bare the cost I will")</f>
        <v>No, But if someone could bare the cost I will</v>
      </c>
      <c r="G923" s="1" t="str">
        <f ca="1">IFERROR(__xludf.DUMMYFUNCTION("""COMPUTED_VALUE"""),"This will be hard to do, but if it is the right company I would try")</f>
        <v>This will be hard to do, but if it is the right company I would try</v>
      </c>
      <c r="H923" s="1" t="str">
        <f ca="1">IFERROR(__xludf.DUMMYFUNCTION("""COMPUTED_VALUE"""),"No")</f>
        <v>No</v>
      </c>
      <c r="I923" s="1" t="str">
        <f ca="1">IFERROR(__xludf.DUMMYFUNCTION("""COMPUTED_VALUE"""),"Will work for them")</f>
        <v>Will work for them</v>
      </c>
      <c r="J923" s="1">
        <f ca="1">IFERROR(__xludf.DUMMYFUNCTION("""COMPUTED_VALUE"""),4)</f>
        <v>4</v>
      </c>
      <c r="K923" s="1" t="str">
        <f ca="1">IFERROR(__xludf.DUMMYFUNCTION("""COMPUTED_VALUE"""),"Fully Remote with Options to travel as and when needed")</f>
        <v>Fully Remote with Options to travel as and when needed</v>
      </c>
      <c r="L923" s="1" t="str">
        <f ca="1">IFERROR(__xludf.DUMMYFUNCTION("""COMPUTED_VALUE"""),"Employer who appreciates learning and enables that environment")</f>
        <v>Employer who appreciates learning and enables that environment</v>
      </c>
      <c r="M923" s="1" t="str">
        <f ca="1">IFERROR(__xludf.DUMMYFUNCTION("""COMPUTED_VALUE"""),"Self Paced Learning Portals of the Company, Instructor or Expert Learning Programs, Manager Teaching you")</f>
        <v>Self Paced Learning Portals of the Company, Instructor or Expert Learning Programs, Manager Teaching you</v>
      </c>
      <c r="N923" s="1" t="str">
        <f ca="1">IFERROR(__xludf.DUMMYFUNCTION("""COMPUTED_VALUE"""),"Design and Creative strategy in any company, Build and develop a Team, Work as a freelancer and do my thing my way, Manufacturing / Oil and Gas/ Construction / Hard Physical Work related")</f>
        <v>Design and Creative strategy in any company, Build and develop a Team, Work as a freelancer and do my thing my way, Manufacturing / Oil and Gas/ Construction / Hard Physical Work related</v>
      </c>
      <c r="O923" s="1" t="str">
        <f ca="1">IFERROR(__xludf.DUMMYFUNCTION("""COMPUTED_VALUE"""),"Manager who explains what is expected, sets a goal and helps achieve it")</f>
        <v>Manager who explains what is expected, sets a goal and helps achieve it</v>
      </c>
      <c r="P923" s="1" t="str">
        <f ca="1">IFERROR(__xludf.DUMMYFUNCTION("""COMPUTED_VALUE"""),"Work with 2 to 3 people in my team")</f>
        <v>Work with 2 to 3 people in my team</v>
      </c>
      <c r="Q923" s="1"/>
    </row>
    <row r="924" spans="1:17" ht="13.2" x14ac:dyDescent="0.25">
      <c r="A924" s="2">
        <f ca="1">IFERROR(__xludf.DUMMYFUNCTION("""COMPUTED_VALUE"""),45024.5300592476)</f>
        <v>45024.530059247598</v>
      </c>
      <c r="B924" s="1" t="str">
        <f ca="1">IFERROR(__xludf.DUMMYFUNCTION("""COMPUTED_VALUE"""),"India")</f>
        <v>India</v>
      </c>
      <c r="C924" s="1">
        <f ca="1">IFERROR(__xludf.DUMMYFUNCTION("""COMPUTED_VALUE"""),560034)</f>
        <v>560034</v>
      </c>
      <c r="D924" s="3" t="str">
        <f ca="1">IFERROR(__xludf.DUMMYFUNCTION("""COMPUTED_VALUE"""),"Male")</f>
        <v>Male</v>
      </c>
      <c r="E924" s="1" t="str">
        <f ca="1">IFERROR(__xludf.DUMMYFUNCTION("""COMPUTED_VALUE"""),"People who have changed the world for better")</f>
        <v>People who have changed the world for better</v>
      </c>
      <c r="F924" s="1" t="str">
        <f ca="1">IFERROR(__xludf.DUMMYFUNCTION("""COMPUTED_VALUE"""),"No, But if someone could bare the cost I will")</f>
        <v>No, But if someone could bare the cost I will</v>
      </c>
      <c r="G924" s="1" t="str">
        <f ca="1">IFERROR(__xludf.DUMMYFUNCTION("""COMPUTED_VALUE"""),"This will be hard to do, but if it is the right company I would try")</f>
        <v>This will be hard to do, but if it is the right company I would try</v>
      </c>
      <c r="H924" s="1" t="str">
        <f ca="1">IFERROR(__xludf.DUMMYFUNCTION("""COMPUTED_VALUE"""),"No")</f>
        <v>No</v>
      </c>
      <c r="I924" s="1" t="str">
        <f ca="1">IFERROR(__xludf.DUMMYFUNCTION("""COMPUTED_VALUE"""),"Will NOT work for them")</f>
        <v>Will NOT work for them</v>
      </c>
      <c r="J924" s="1">
        <f ca="1">IFERROR(__xludf.DUMMYFUNCTION("""COMPUTED_VALUE"""),7)</f>
        <v>7</v>
      </c>
      <c r="K924" s="1" t="str">
        <f ca="1">IFERROR(__xludf.DUMMYFUNCTION("""COMPUTED_VALUE"""),"Hybrid Working Environment with more than 15 days a month at office")</f>
        <v>Hybrid Working Environment with more than 15 days a month at office</v>
      </c>
      <c r="L924" s="1" t="str">
        <f ca="1">IFERROR(__xludf.DUMMYFUNCTION("""COMPUTED_VALUE"""),"Employer who pushes your limits by enabling an learning environment, and rewards you at the end")</f>
        <v>Employer who pushes your limits by enabling an learning environment, and rewards you at the end</v>
      </c>
      <c r="M92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2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924" s="1" t="str">
        <f ca="1">IFERROR(__xludf.DUMMYFUNCTION("""COMPUTED_VALUE"""),"Manager who explains what is expected, sets a goal and helps achieve it")</f>
        <v>Manager who explains what is expected, sets a goal and helps achieve it</v>
      </c>
      <c r="P924" s="1" t="str">
        <f ca="1">IFERROR(__xludf.DUMMYFUNCTION("""COMPUTED_VALUE"""),"Work with 2 to 3 people in my team")</f>
        <v>Work with 2 to 3 people in my team</v>
      </c>
      <c r="Q924" s="1"/>
    </row>
    <row r="925" spans="1:17" ht="13.2" x14ac:dyDescent="0.25">
      <c r="A925" s="2">
        <f ca="1">IFERROR(__xludf.DUMMYFUNCTION("""COMPUTED_VALUE"""),45024.5444329398)</f>
        <v>45024.544432939801</v>
      </c>
      <c r="B925" s="1" t="str">
        <f ca="1">IFERROR(__xludf.DUMMYFUNCTION("""COMPUTED_VALUE"""),"India")</f>
        <v>India</v>
      </c>
      <c r="C925" s="1">
        <f ca="1">IFERROR(__xludf.DUMMYFUNCTION("""COMPUTED_VALUE"""),410203)</f>
        <v>410203</v>
      </c>
      <c r="D925" s="3" t="str">
        <f ca="1">IFERROR(__xludf.DUMMYFUNCTION("""COMPUTED_VALUE"""),"Male")</f>
        <v>Male</v>
      </c>
      <c r="E925" s="1" t="str">
        <f ca="1">IFERROR(__xludf.DUMMYFUNCTION("""COMPUTED_VALUE"""),"Social Media like LinkedIn")</f>
        <v>Social Media like LinkedIn</v>
      </c>
      <c r="F925" s="1" t="str">
        <f ca="1">IFERROR(__xludf.DUMMYFUNCTION("""COMPUTED_VALUE"""),"Yes, I will earn and do that")</f>
        <v>Yes, I will earn and do that</v>
      </c>
      <c r="G925" s="1" t="str">
        <f ca="1">IFERROR(__xludf.DUMMYFUNCTION("""COMPUTED_VALUE"""),"Will work for 3 years or more")</f>
        <v>Will work for 3 years or more</v>
      </c>
      <c r="H925" s="1" t="str">
        <f ca="1">IFERROR(__xludf.DUMMYFUNCTION("""COMPUTED_VALUE"""),"No")</f>
        <v>No</v>
      </c>
      <c r="I925" s="1" t="str">
        <f ca="1">IFERROR(__xludf.DUMMYFUNCTION("""COMPUTED_VALUE"""),"Will NOT work for them")</f>
        <v>Will NOT work for them</v>
      </c>
      <c r="J925" s="1">
        <f ca="1">IFERROR(__xludf.DUMMYFUNCTION("""COMPUTED_VALUE"""),5)</f>
        <v>5</v>
      </c>
      <c r="K925" s="1" t="str">
        <f ca="1">IFERROR(__xludf.DUMMYFUNCTION("""COMPUTED_VALUE"""),"Fully Remote with Options to travel as and when needed")</f>
        <v>Fully Remote with Options to travel as and when needed</v>
      </c>
      <c r="L925" s="1" t="str">
        <f ca="1">IFERROR(__xludf.DUMMYFUNCTION("""COMPUTED_VALUE"""),"Employer who pushes your limits by enabling an learning environment, and rewards you at the end")</f>
        <v>Employer who pushes your limits by enabling an learning environment, and rewards you at the end</v>
      </c>
      <c r="M92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2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25" s="1" t="str">
        <f ca="1">IFERROR(__xludf.DUMMYFUNCTION("""COMPUTED_VALUE"""),"Manager who explains what is expected, sets a goal and helps achieve it")</f>
        <v>Manager who explains what is expected, sets a goal and helps achieve it</v>
      </c>
      <c r="P925" s="1" t="str">
        <f ca="1">IFERROR(__xludf.DUMMYFUNCTION("""COMPUTED_VALUE"""),"Work with 5 to 6 people in my team")</f>
        <v>Work with 5 to 6 people in my team</v>
      </c>
      <c r="Q925" s="1"/>
    </row>
    <row r="926" spans="1:17" ht="13.2" x14ac:dyDescent="0.25">
      <c r="A926" s="2">
        <f ca="1">IFERROR(__xludf.DUMMYFUNCTION("""COMPUTED_VALUE"""),45024.5541282291)</f>
        <v>45024.554128229101</v>
      </c>
      <c r="B926" s="1" t="str">
        <f ca="1">IFERROR(__xludf.DUMMYFUNCTION("""COMPUTED_VALUE"""),"India")</f>
        <v>India</v>
      </c>
      <c r="C926" s="1">
        <f ca="1">IFERROR(__xludf.DUMMYFUNCTION("""COMPUTED_VALUE"""),152025)</f>
        <v>152025</v>
      </c>
      <c r="D926" s="3" t="str">
        <f ca="1">IFERROR(__xludf.DUMMYFUNCTION("""COMPUTED_VALUE"""),"Female")</f>
        <v>Female</v>
      </c>
      <c r="E926" s="1" t="str">
        <f ca="1">IFERROR(__xludf.DUMMYFUNCTION("""COMPUTED_VALUE"""),"People from my circle, but not family members")</f>
        <v>People from my circle, but not family members</v>
      </c>
      <c r="F926" s="1" t="str">
        <f ca="1">IFERROR(__xludf.DUMMYFUNCTION("""COMPUTED_VALUE"""),"Yes, I will earn and do that")</f>
        <v>Yes, I will earn and do that</v>
      </c>
      <c r="G926" s="1" t="str">
        <f ca="1">IFERROR(__xludf.DUMMYFUNCTION("""COMPUTED_VALUE"""),"This will be hard to do, but if it is the right company I would try")</f>
        <v>This will be hard to do, but if it is the right company I would try</v>
      </c>
      <c r="H926" s="1" t="str">
        <f ca="1">IFERROR(__xludf.DUMMYFUNCTION("""COMPUTED_VALUE"""),"No")</f>
        <v>No</v>
      </c>
      <c r="I926" s="1" t="str">
        <f ca="1">IFERROR(__xludf.DUMMYFUNCTION("""COMPUTED_VALUE"""),"Will NOT work for them")</f>
        <v>Will NOT work for them</v>
      </c>
      <c r="J926" s="1">
        <f ca="1">IFERROR(__xludf.DUMMYFUNCTION("""COMPUTED_VALUE"""),3)</f>
        <v>3</v>
      </c>
      <c r="K926" s="1" t="str">
        <f ca="1">IFERROR(__xludf.DUMMYFUNCTION("""COMPUTED_VALUE"""),"Fully Remote with Options to travel as and when needed")</f>
        <v>Fully Remote with Options to travel as and when needed</v>
      </c>
      <c r="L926" s="1" t="str">
        <f ca="1">IFERROR(__xludf.DUMMYFUNCTION("""COMPUTED_VALUE"""),"Employer who pushes your limits by enabling an learning environment, and rewards you at the end")</f>
        <v>Employer who pushes your limits by enabling an learning environment, and rewards you at the end</v>
      </c>
      <c r="M9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26" s="1" t="str">
        <f ca="1">IFERROR(__xludf.DUMMYFUNCTION("""COMPUTED_VALUE"""),"Manager who explains what is expected, sets a goal and helps achieve it")</f>
        <v>Manager who explains what is expected, sets a goal and helps achieve it</v>
      </c>
      <c r="P926" s="1" t="str">
        <f ca="1">IFERROR(__xludf.DUMMYFUNCTION("""COMPUTED_VALUE"""),"Work with 7 to 10 or more people in my team")</f>
        <v>Work with 7 to 10 or more people in my team</v>
      </c>
      <c r="Q926" s="1"/>
    </row>
    <row r="927" spans="1:17" ht="13.2" x14ac:dyDescent="0.25">
      <c r="A927" s="2">
        <f ca="1">IFERROR(__xludf.DUMMYFUNCTION("""COMPUTED_VALUE"""),45024.5552264814)</f>
        <v>45024.555226481403</v>
      </c>
      <c r="B927" s="1" t="str">
        <f ca="1">IFERROR(__xludf.DUMMYFUNCTION("""COMPUTED_VALUE"""),"India")</f>
        <v>India</v>
      </c>
      <c r="C927" s="1">
        <f ca="1">IFERROR(__xludf.DUMMYFUNCTION("""COMPUTED_VALUE"""),400018)</f>
        <v>400018</v>
      </c>
      <c r="D927" s="3" t="str">
        <f ca="1">IFERROR(__xludf.DUMMYFUNCTION("""COMPUTED_VALUE"""),"Male")</f>
        <v>Male</v>
      </c>
      <c r="E927" s="1" t="str">
        <f ca="1">IFERROR(__xludf.DUMMYFUNCTION("""COMPUTED_VALUE"""),"People from my circle, but not family members")</f>
        <v>People from my circle, but not family members</v>
      </c>
      <c r="F927" s="1" t="str">
        <f ca="1">IFERROR(__xludf.DUMMYFUNCTION("""COMPUTED_VALUE"""),"No I would not be pursuing Higher Education outside of India")</f>
        <v>No I would not be pursuing Higher Education outside of India</v>
      </c>
      <c r="G927" s="1" t="str">
        <f ca="1">IFERROR(__xludf.DUMMYFUNCTION("""COMPUTED_VALUE"""),"Will work for 3 years or more")</f>
        <v>Will work for 3 years or more</v>
      </c>
      <c r="H927" s="1" t="str">
        <f ca="1">IFERROR(__xludf.DUMMYFUNCTION("""COMPUTED_VALUE"""),"Yes")</f>
        <v>Yes</v>
      </c>
      <c r="I927" s="1" t="str">
        <f ca="1">IFERROR(__xludf.DUMMYFUNCTION("""COMPUTED_VALUE"""),"Will NOT work for them")</f>
        <v>Will NOT work for them</v>
      </c>
      <c r="J927" s="1">
        <f ca="1">IFERROR(__xludf.DUMMYFUNCTION("""COMPUTED_VALUE"""),6)</f>
        <v>6</v>
      </c>
      <c r="K927" s="1" t="str">
        <f ca="1">IFERROR(__xludf.DUMMYFUNCTION("""COMPUTED_VALUE"""),"Fully Remote with Options to travel as and when needed")</f>
        <v>Fully Remote with Options to travel as and when needed</v>
      </c>
      <c r="L927" s="1" t="str">
        <f ca="1">IFERROR(__xludf.DUMMYFUNCTION("""COMPUTED_VALUE"""),"Employer who pushes your limits by enabling an learning environment, and rewards you at the end")</f>
        <v>Employer who pushes your limits by enabling an learning environment, and rewards you at the end</v>
      </c>
      <c r="M9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7" s="1" t="str">
        <f ca="1">IFERROR(__xludf.DUMMYFUNCTION("""COMPUTED_VALUE"""),"Design and Creative strategy in any company, Manage and drive End-to-End Projects or Products, Look deeply into Data and generate insights, Manufacturing / Oil and Gas/ Construction / Hard Physical Work related")</f>
        <v>Design and Creative strategy in any company, Manage and drive End-to-End Projects or Products, Look deeply into Data and generate insights, Manufacturing / Oil and Gas/ Construction / Hard Physical Work related</v>
      </c>
      <c r="O927" s="1" t="str">
        <f ca="1">IFERROR(__xludf.DUMMYFUNCTION("""COMPUTED_VALUE"""),"Manager who explains what is expected, sets a goal and helps achieve it")</f>
        <v>Manager who explains what is expected, sets a goal and helps achieve it</v>
      </c>
      <c r="P92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927" s="1"/>
    </row>
    <row r="928" spans="1:17" ht="13.2" x14ac:dyDescent="0.25">
      <c r="A928" s="2">
        <f ca="1">IFERROR(__xludf.DUMMYFUNCTION("""COMPUTED_VALUE"""),45024.5768576157)</f>
        <v>45024.576857615699</v>
      </c>
      <c r="B928" s="1" t="str">
        <f ca="1">IFERROR(__xludf.DUMMYFUNCTION("""COMPUTED_VALUE"""),"India")</f>
        <v>India</v>
      </c>
      <c r="C928" s="1">
        <f ca="1">IFERROR(__xludf.DUMMYFUNCTION("""COMPUTED_VALUE"""),560050)</f>
        <v>560050</v>
      </c>
      <c r="D928" s="3" t="str">
        <f ca="1">IFERROR(__xludf.DUMMYFUNCTION("""COMPUTED_VALUE"""),"Male")</f>
        <v>Male</v>
      </c>
      <c r="E928" s="1" t="str">
        <f ca="1">IFERROR(__xludf.DUMMYFUNCTION("""COMPUTED_VALUE"""),"People from my circle, but not family members")</f>
        <v>People from my circle, but not family members</v>
      </c>
      <c r="F928" s="1" t="str">
        <f ca="1">IFERROR(__xludf.DUMMYFUNCTION("""COMPUTED_VALUE"""),"Yes, I will earn and do that")</f>
        <v>Yes, I will earn and do that</v>
      </c>
      <c r="G928" s="1" t="str">
        <f ca="1">IFERROR(__xludf.DUMMYFUNCTION("""COMPUTED_VALUE"""),"This will be hard to do, but if it is the right company I would try")</f>
        <v>This will be hard to do, but if it is the right company I would try</v>
      </c>
      <c r="H928" s="1" t="str">
        <f ca="1">IFERROR(__xludf.DUMMYFUNCTION("""COMPUTED_VALUE"""),"No")</f>
        <v>No</v>
      </c>
      <c r="I928" s="1" t="str">
        <f ca="1">IFERROR(__xludf.DUMMYFUNCTION("""COMPUTED_VALUE"""),"Will NOT work for them")</f>
        <v>Will NOT work for them</v>
      </c>
      <c r="J928" s="1">
        <f ca="1">IFERROR(__xludf.DUMMYFUNCTION("""COMPUTED_VALUE"""),4)</f>
        <v>4</v>
      </c>
      <c r="K928" s="1" t="str">
        <f ca="1">IFERROR(__xludf.DUMMYFUNCTION("""COMPUTED_VALUE"""),"Every Day Office Environment")</f>
        <v>Every Day Office Environment</v>
      </c>
      <c r="L928" s="1" t="str">
        <f ca="1">IFERROR(__xludf.DUMMYFUNCTION("""COMPUTED_VALUE"""),"Employer who pushes your limits by enabling an learning environment, and rewards you at the end")</f>
        <v>Employer who pushes your limits by enabling an learning environment, and rewards you at the end</v>
      </c>
      <c r="M928" s="1" t="str">
        <f ca="1">IFERROR(__xludf.DUMMYFUNCTION("""COMPUTED_VALUE"""),"Self Paced Learning Portals of the Company, Learning by observing others, Manager Teaching you")</f>
        <v>Self Paced Learning Portals of the Company, Learning by observing others, Manager Teaching you</v>
      </c>
      <c r="N928"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928" s="1" t="str">
        <f ca="1">IFERROR(__xludf.DUMMYFUNCTION("""COMPUTED_VALUE"""),"Manager who sets targets and expects me to achieve it")</f>
        <v>Manager who sets targets and expects me to achieve it</v>
      </c>
      <c r="P928" s="1" t="str">
        <f ca="1">IFERROR(__xludf.DUMMYFUNCTION("""COMPUTED_VALUE"""),"Work with 5 to 6 people in my team")</f>
        <v>Work with 5 to 6 people in my team</v>
      </c>
      <c r="Q928" s="1"/>
    </row>
    <row r="929" spans="1:17" ht="13.2" x14ac:dyDescent="0.25">
      <c r="A929" s="2">
        <f ca="1">IFERROR(__xludf.DUMMYFUNCTION("""COMPUTED_VALUE"""),45024.6023193865)</f>
        <v>45024.602319386497</v>
      </c>
      <c r="B929" s="1" t="str">
        <f ca="1">IFERROR(__xludf.DUMMYFUNCTION("""COMPUTED_VALUE"""),"India")</f>
        <v>India</v>
      </c>
      <c r="C929" s="1">
        <f ca="1">IFERROR(__xludf.DUMMYFUNCTION("""COMPUTED_VALUE"""),583104)</f>
        <v>583104</v>
      </c>
      <c r="D929" s="3" t="str">
        <f ca="1">IFERROR(__xludf.DUMMYFUNCTION("""COMPUTED_VALUE"""),"Male")</f>
        <v>Male</v>
      </c>
      <c r="E929" s="1" t="str">
        <f ca="1">IFERROR(__xludf.DUMMYFUNCTION("""COMPUTED_VALUE"""),"My Parents")</f>
        <v>My Parents</v>
      </c>
      <c r="F929" s="1" t="str">
        <f ca="1">IFERROR(__xludf.DUMMYFUNCTION("""COMPUTED_VALUE"""),"No, But if someone could bare the cost I will")</f>
        <v>No, But if someone could bare the cost I will</v>
      </c>
      <c r="G929" s="1" t="str">
        <f ca="1">IFERROR(__xludf.DUMMYFUNCTION("""COMPUTED_VALUE"""),"Will work for 3 years or more")</f>
        <v>Will work for 3 years or more</v>
      </c>
      <c r="H929" s="1" t="str">
        <f ca="1">IFERROR(__xludf.DUMMYFUNCTION("""COMPUTED_VALUE"""),"No")</f>
        <v>No</v>
      </c>
      <c r="I929" s="1" t="str">
        <f ca="1">IFERROR(__xludf.DUMMYFUNCTION("""COMPUTED_VALUE"""),"Will NOT work for them")</f>
        <v>Will NOT work for them</v>
      </c>
      <c r="J929" s="1">
        <f ca="1">IFERROR(__xludf.DUMMYFUNCTION("""COMPUTED_VALUE"""),8)</f>
        <v>8</v>
      </c>
      <c r="K929" s="1" t="str">
        <f ca="1">IFERROR(__xludf.DUMMYFUNCTION("""COMPUTED_VALUE"""),"Fully Remote with Options to travel as and when needed")</f>
        <v>Fully Remote with Options to travel as and when needed</v>
      </c>
      <c r="L929" s="1" t="str">
        <f ca="1">IFERROR(__xludf.DUMMYFUNCTION("""COMPUTED_VALUE"""),"Employer who pushes your limits by enabling an learning environment, and rewards you at the end")</f>
        <v>Employer who pushes your limits by enabling an learning environment, and rewards you at the end</v>
      </c>
      <c r="M92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2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929" s="1" t="str">
        <f ca="1">IFERROR(__xludf.DUMMYFUNCTION("""COMPUTED_VALUE"""),"Manager who explains what is expected, sets a goal and helps achieve it")</f>
        <v>Manager who explains what is expected, sets a goal and helps achieve it</v>
      </c>
      <c r="P929" s="1" t="str">
        <f ca="1">IFERROR(__xludf.DUMMYFUNCTION("""COMPUTED_VALUE"""),"Work with 5 to 6 people in my team")</f>
        <v>Work with 5 to 6 people in my team</v>
      </c>
      <c r="Q929" s="1"/>
    </row>
    <row r="930" spans="1:17" ht="13.2" x14ac:dyDescent="0.25">
      <c r="A930" s="2">
        <f ca="1">IFERROR(__xludf.DUMMYFUNCTION("""COMPUTED_VALUE"""),45024.6183990625)</f>
        <v>45024.6183990625</v>
      </c>
      <c r="B930" s="1" t="str">
        <f ca="1">IFERROR(__xludf.DUMMYFUNCTION("""COMPUTED_VALUE"""),"Others")</f>
        <v>Others</v>
      </c>
      <c r="C930" s="1">
        <f ca="1">IFERROR(__xludf.DUMMYFUNCTION("""COMPUTED_VALUE"""),92)</f>
        <v>92</v>
      </c>
      <c r="D930" s="3" t="str">
        <f ca="1">IFERROR(__xludf.DUMMYFUNCTION("""COMPUTED_VALUE"""),"Male")</f>
        <v>Male</v>
      </c>
      <c r="E930" s="1" t="str">
        <f ca="1">IFERROR(__xludf.DUMMYFUNCTION("""COMPUTED_VALUE"""),"People who have changed the world for better")</f>
        <v>People who have changed the world for better</v>
      </c>
      <c r="F930" s="1" t="str">
        <f ca="1">IFERROR(__xludf.DUMMYFUNCTION("""COMPUTED_VALUE"""),"Yes, I will earn and do that")</f>
        <v>Yes, I will earn and do that</v>
      </c>
      <c r="G930" s="1" t="str">
        <f ca="1">IFERROR(__xludf.DUMMYFUNCTION("""COMPUTED_VALUE"""),"No way")</f>
        <v>No way</v>
      </c>
      <c r="H930" s="1" t="str">
        <f ca="1">IFERROR(__xludf.DUMMYFUNCTION("""COMPUTED_VALUE"""),"No")</f>
        <v>No</v>
      </c>
      <c r="I930" s="1" t="str">
        <f ca="1">IFERROR(__xludf.DUMMYFUNCTION("""COMPUTED_VALUE"""),"Will NOT work for them")</f>
        <v>Will NOT work for them</v>
      </c>
      <c r="J930" s="1">
        <f ca="1">IFERROR(__xludf.DUMMYFUNCTION("""COMPUTED_VALUE"""),2)</f>
        <v>2</v>
      </c>
      <c r="K930" s="1" t="str">
        <f ca="1">IFERROR(__xludf.DUMMYFUNCTION("""COMPUTED_VALUE"""),"Fully Remote with Options to travel as and when needed")</f>
        <v>Fully Remote with Options to travel as and when needed</v>
      </c>
      <c r="L930" s="1" t="str">
        <f ca="1">IFERROR(__xludf.DUMMYFUNCTION("""COMPUTED_VALUE"""),"Employer who rewards learning and enables that environment")</f>
        <v>Employer who rewards learning and enables that environment</v>
      </c>
      <c r="M93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30"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930" s="1" t="str">
        <f ca="1">IFERROR(__xludf.DUMMYFUNCTION("""COMPUTED_VALUE"""),"Manager who sets targets and expects me to achieve it")</f>
        <v>Manager who sets targets and expects me to achieve it</v>
      </c>
      <c r="P930" s="1" t="str">
        <f ca="1">IFERROR(__xludf.DUMMYFUNCTION("""COMPUTED_VALUE"""),"Work with 2 to 3 people in my team")</f>
        <v>Work with 2 to 3 people in my team</v>
      </c>
      <c r="Q930" s="1"/>
    </row>
    <row r="931" spans="1:17" ht="13.2" x14ac:dyDescent="0.25">
      <c r="A931" s="2">
        <f ca="1">IFERROR(__xludf.DUMMYFUNCTION("""COMPUTED_VALUE"""),45024.6195251041)</f>
        <v>45024.619525104099</v>
      </c>
      <c r="B931" s="1" t="str">
        <f ca="1">IFERROR(__xludf.DUMMYFUNCTION("""COMPUTED_VALUE"""),"India")</f>
        <v>India</v>
      </c>
      <c r="C931" s="1">
        <f ca="1">IFERROR(__xludf.DUMMYFUNCTION("""COMPUTED_VALUE"""),571201)</f>
        <v>571201</v>
      </c>
      <c r="D931" s="3" t="str">
        <f ca="1">IFERROR(__xludf.DUMMYFUNCTION("""COMPUTED_VALUE"""),"Male")</f>
        <v>Male</v>
      </c>
      <c r="E931" s="1" t="str">
        <f ca="1">IFERROR(__xludf.DUMMYFUNCTION("""COMPUTED_VALUE"""),"People who have changed the world for better")</f>
        <v>People who have changed the world for better</v>
      </c>
      <c r="F931" s="1" t="str">
        <f ca="1">IFERROR(__xludf.DUMMYFUNCTION("""COMPUTED_VALUE"""),"Yes, I will earn and do that")</f>
        <v>Yes, I will earn and do that</v>
      </c>
      <c r="G931" s="1" t="str">
        <f ca="1">IFERROR(__xludf.DUMMYFUNCTION("""COMPUTED_VALUE"""),"Will work for 3 years or more")</f>
        <v>Will work for 3 years or more</v>
      </c>
      <c r="H931" s="1" t="str">
        <f ca="1">IFERROR(__xludf.DUMMYFUNCTION("""COMPUTED_VALUE"""),"No")</f>
        <v>No</v>
      </c>
      <c r="I931" s="1" t="str">
        <f ca="1">IFERROR(__xludf.DUMMYFUNCTION("""COMPUTED_VALUE"""),"Will work for them")</f>
        <v>Will work for them</v>
      </c>
      <c r="J931" s="1">
        <f ca="1">IFERROR(__xludf.DUMMYFUNCTION("""COMPUTED_VALUE"""),1)</f>
        <v>1</v>
      </c>
      <c r="K931" s="1" t="str">
        <f ca="1">IFERROR(__xludf.DUMMYFUNCTION("""COMPUTED_VALUE"""),"Every Day Office Environment")</f>
        <v>Every Day Office Environment</v>
      </c>
      <c r="L931" s="1" t="str">
        <f ca="1">IFERROR(__xludf.DUMMYFUNCTION("""COMPUTED_VALUE"""),"Employer who pushes your limits by enabling an learning environment, and rewards you at the end")</f>
        <v>Employer who pushes your limits by enabling an learning environment, and rewards you at the end</v>
      </c>
      <c r="M93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31" s="1" t="str">
        <f ca="1">IFERROR(__xludf.DUMMYFUNCTION("""COMPUTED_VALUE"""),"Build and develop a Team, Entrepreneur or Start Up, An Artificial Intelligence Specialist / Talking to Robots, Manufacturing / Oil and Gas/ Construction / Hard Physical Work related")</f>
        <v>Build and develop a Team, Entrepreneur or Start Up, An Artificial Intelligence Specialist / Talking to Robots, Manufacturing / Oil and Gas/ Construction / Hard Physical Work related</v>
      </c>
      <c r="O931" s="1" t="str">
        <f ca="1">IFERROR(__xludf.DUMMYFUNCTION("""COMPUTED_VALUE"""),"Manager who explains what is expected, sets a goal and helps achieve it")</f>
        <v>Manager who explains what is expected, sets a goal and helps achieve it</v>
      </c>
      <c r="P931" s="1" t="str">
        <f ca="1">IFERROR(__xludf.DUMMYFUNCTION("""COMPUTED_VALUE"""),"Work with more than 10 people in my team")</f>
        <v>Work with more than 10 people in my team</v>
      </c>
      <c r="Q931" s="1"/>
    </row>
    <row r="932" spans="1:17" ht="13.2" x14ac:dyDescent="0.25">
      <c r="A932" s="2">
        <f ca="1">IFERROR(__xludf.DUMMYFUNCTION("""COMPUTED_VALUE"""),45024.6298096412)</f>
        <v>45024.629809641199</v>
      </c>
      <c r="B932" s="1" t="str">
        <f ca="1">IFERROR(__xludf.DUMMYFUNCTION("""COMPUTED_VALUE"""),"India")</f>
        <v>India</v>
      </c>
      <c r="C932" s="1">
        <f ca="1">IFERROR(__xludf.DUMMYFUNCTION("""COMPUTED_VALUE"""),641007)</f>
        <v>641007</v>
      </c>
      <c r="D932" s="3" t="str">
        <f ca="1">IFERROR(__xludf.DUMMYFUNCTION("""COMPUTED_VALUE"""),"Female")</f>
        <v>Female</v>
      </c>
      <c r="E932" s="1" t="str">
        <f ca="1">IFERROR(__xludf.DUMMYFUNCTION("""COMPUTED_VALUE"""),"Influencers who had successful careers")</f>
        <v>Influencers who had successful careers</v>
      </c>
      <c r="F932" s="1" t="str">
        <f ca="1">IFERROR(__xludf.DUMMYFUNCTION("""COMPUTED_VALUE"""),"No, But if someone could bare the cost I will")</f>
        <v>No, But if someone could bare the cost I will</v>
      </c>
      <c r="G932" s="1" t="str">
        <f ca="1">IFERROR(__xludf.DUMMYFUNCTION("""COMPUTED_VALUE"""),"This will be hard to do, but if it is the right company I would try")</f>
        <v>This will be hard to do, but if it is the right company I would try</v>
      </c>
      <c r="H932" s="1" t="str">
        <f ca="1">IFERROR(__xludf.DUMMYFUNCTION("""COMPUTED_VALUE"""),"Yes")</f>
        <v>Yes</v>
      </c>
      <c r="I932" s="1" t="str">
        <f ca="1">IFERROR(__xludf.DUMMYFUNCTION("""COMPUTED_VALUE"""),"Will work for them")</f>
        <v>Will work for them</v>
      </c>
      <c r="J932" s="1">
        <f ca="1">IFERROR(__xludf.DUMMYFUNCTION("""COMPUTED_VALUE"""),5)</f>
        <v>5</v>
      </c>
      <c r="K932" s="1" t="str">
        <f ca="1">IFERROR(__xludf.DUMMYFUNCTION("""COMPUTED_VALUE"""),"Hybrid Working Environment with more than 15 days a month at office")</f>
        <v>Hybrid Working Environment with more than 15 days a month at office</v>
      </c>
      <c r="L932" s="1" t="str">
        <f ca="1">IFERROR(__xludf.DUMMYFUNCTION("""COMPUTED_VALUE"""),"Employer who rewards learning and enables that environment")</f>
        <v>Employer who rewards learning and enables that environment</v>
      </c>
      <c r="M9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32"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932" s="1" t="str">
        <f ca="1">IFERROR(__xludf.DUMMYFUNCTION("""COMPUTED_VALUE"""),"Manager who explains what is expected, sets a goal and helps achieve it")</f>
        <v>Manager who explains what is expected, sets a goal and helps achieve it</v>
      </c>
      <c r="P932" s="1" t="str">
        <f ca="1">IFERROR(__xludf.DUMMYFUNCTION("""COMPUTED_VALUE"""),"Work with 5 to 6 people in my team")</f>
        <v>Work with 5 to 6 people in my team</v>
      </c>
      <c r="Q932" s="1"/>
    </row>
    <row r="933" spans="1:17" ht="13.2" x14ac:dyDescent="0.25">
      <c r="A933" s="2">
        <f ca="1">IFERROR(__xludf.DUMMYFUNCTION("""COMPUTED_VALUE"""),45024.66310978)</f>
        <v>45024.663109779998</v>
      </c>
      <c r="B933" s="1" t="str">
        <f ca="1">IFERROR(__xludf.DUMMYFUNCTION("""COMPUTED_VALUE"""),"India")</f>
        <v>India</v>
      </c>
      <c r="C933" s="1">
        <f ca="1">IFERROR(__xludf.DUMMYFUNCTION("""COMPUTED_VALUE"""),121002)</f>
        <v>121002</v>
      </c>
      <c r="D933" s="3" t="str">
        <f ca="1">IFERROR(__xludf.DUMMYFUNCTION("""COMPUTED_VALUE"""),"Male")</f>
        <v>Male</v>
      </c>
      <c r="E933" s="1" t="str">
        <f ca="1">IFERROR(__xludf.DUMMYFUNCTION("""COMPUTED_VALUE"""),"People who have changed the world for better")</f>
        <v>People who have changed the world for better</v>
      </c>
      <c r="F933" s="1" t="str">
        <f ca="1">IFERROR(__xludf.DUMMYFUNCTION("""COMPUTED_VALUE"""),"Yes, I will earn and do that")</f>
        <v>Yes, I will earn and do that</v>
      </c>
      <c r="G933" s="1" t="str">
        <f ca="1">IFERROR(__xludf.DUMMYFUNCTION("""COMPUTED_VALUE"""),"This will be hard to do, but if it is the right company I would try")</f>
        <v>This will be hard to do, but if it is the right company I would try</v>
      </c>
      <c r="H933" s="1" t="str">
        <f ca="1">IFERROR(__xludf.DUMMYFUNCTION("""COMPUTED_VALUE"""),"Yes")</f>
        <v>Yes</v>
      </c>
      <c r="I933" s="1" t="str">
        <f ca="1">IFERROR(__xludf.DUMMYFUNCTION("""COMPUTED_VALUE"""),"Will work for them")</f>
        <v>Will work for them</v>
      </c>
      <c r="J933" s="1">
        <f ca="1">IFERROR(__xludf.DUMMYFUNCTION("""COMPUTED_VALUE"""),8)</f>
        <v>8</v>
      </c>
      <c r="K933" s="1" t="str">
        <f ca="1">IFERROR(__xludf.DUMMYFUNCTION("""COMPUTED_VALUE"""),"Hybrid Working Environment with less than 3 days a month at office")</f>
        <v>Hybrid Working Environment with less than 3 days a month at office</v>
      </c>
      <c r="L933" s="1" t="str">
        <f ca="1">IFERROR(__xludf.DUMMYFUNCTION("""COMPUTED_VALUE"""),"Employer who pushes your limits by enabling an learning environment, and rewards you at the end")</f>
        <v>Employer who pushes your limits by enabling an learning environment, and rewards you at the end</v>
      </c>
      <c r="M93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933" s="1" t="str">
        <f ca="1">IFERROR(__xludf.DUMMYFUNCTION("""COMPUTED_VALUE"""),"Manager who explains what is expected, sets a goal and helps achieve it")</f>
        <v>Manager who explains what is expected, sets a goal and helps achieve it</v>
      </c>
      <c r="P933"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933" s="1"/>
    </row>
    <row r="934" spans="1:17" ht="13.2" x14ac:dyDescent="0.25">
      <c r="A934" s="2">
        <f ca="1">IFERROR(__xludf.DUMMYFUNCTION("""COMPUTED_VALUE"""),45024.7097935763)</f>
        <v>45024.709793576301</v>
      </c>
      <c r="B934" s="1" t="str">
        <f ca="1">IFERROR(__xludf.DUMMYFUNCTION("""COMPUTED_VALUE"""),"India")</f>
        <v>India</v>
      </c>
      <c r="C934" s="1">
        <f ca="1">IFERROR(__xludf.DUMMYFUNCTION("""COMPUTED_VALUE"""),600100)</f>
        <v>600100</v>
      </c>
      <c r="D934" s="3" t="str">
        <f ca="1">IFERROR(__xludf.DUMMYFUNCTION("""COMPUTED_VALUE"""),"Male")</f>
        <v>Male</v>
      </c>
      <c r="E934" s="1" t="str">
        <f ca="1">IFERROR(__xludf.DUMMYFUNCTION("""COMPUTED_VALUE"""),"Influencers who had successful careers")</f>
        <v>Influencers who had successful careers</v>
      </c>
      <c r="F934" s="1" t="str">
        <f ca="1">IFERROR(__xludf.DUMMYFUNCTION("""COMPUTED_VALUE"""),"No, But if someone could bare the cost I will")</f>
        <v>No, But if someone could bare the cost I will</v>
      </c>
      <c r="G934" s="1" t="str">
        <f ca="1">IFERROR(__xludf.DUMMYFUNCTION("""COMPUTED_VALUE"""),"This will be hard to do, but if it is the right company I would try")</f>
        <v>This will be hard to do, but if it is the right company I would try</v>
      </c>
      <c r="H934" s="1" t="str">
        <f ca="1">IFERROR(__xludf.DUMMYFUNCTION("""COMPUTED_VALUE"""),"Yes")</f>
        <v>Yes</v>
      </c>
      <c r="I934" s="1" t="str">
        <f ca="1">IFERROR(__xludf.DUMMYFUNCTION("""COMPUTED_VALUE"""),"Will NOT work for them")</f>
        <v>Will NOT work for them</v>
      </c>
      <c r="J934" s="1">
        <f ca="1">IFERROR(__xludf.DUMMYFUNCTION("""COMPUTED_VALUE"""),4)</f>
        <v>4</v>
      </c>
      <c r="K934" s="1" t="str">
        <f ca="1">IFERROR(__xludf.DUMMYFUNCTION("""COMPUTED_VALUE"""),"Hybrid Working Environment with more than 15 days a month at office")</f>
        <v>Hybrid Working Environment with more than 15 days a month at office</v>
      </c>
      <c r="L934" s="1" t="str">
        <f ca="1">IFERROR(__xludf.DUMMYFUNCTION("""COMPUTED_VALUE"""),"Employer who rewards learning and enables that environment")</f>
        <v>Employer who rewards learning and enables that environment</v>
      </c>
      <c r="M93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34"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934" s="1" t="str">
        <f ca="1">IFERROR(__xludf.DUMMYFUNCTION("""COMPUTED_VALUE"""),"Manager who explains what is expected, sets a goal and helps achieve it")</f>
        <v>Manager who explains what is expected, sets a goal and helps achieve it</v>
      </c>
      <c r="P934" s="1" t="str">
        <f ca="1">IFERROR(__xludf.DUMMYFUNCTION("""COMPUTED_VALUE"""),"Work with 5 to 6 people in my team")</f>
        <v>Work with 5 to 6 people in my team</v>
      </c>
      <c r="Q934" s="1"/>
    </row>
    <row r="935" spans="1:17" ht="13.2" x14ac:dyDescent="0.25">
      <c r="A935" s="2">
        <f ca="1">IFERROR(__xludf.DUMMYFUNCTION("""COMPUTED_VALUE"""),45024.7281678125)</f>
        <v>45024.7281678125</v>
      </c>
      <c r="B935" s="1" t="str">
        <f ca="1">IFERROR(__xludf.DUMMYFUNCTION("""COMPUTED_VALUE"""),"India")</f>
        <v>India</v>
      </c>
      <c r="C935" s="1">
        <f ca="1">IFERROR(__xludf.DUMMYFUNCTION("""COMPUTED_VALUE"""),600100)</f>
        <v>600100</v>
      </c>
      <c r="D935" s="3" t="str">
        <f ca="1">IFERROR(__xludf.DUMMYFUNCTION("""COMPUTED_VALUE"""),"Female")</f>
        <v>Female</v>
      </c>
      <c r="E935" s="1" t="str">
        <f ca="1">IFERROR(__xludf.DUMMYFUNCTION("""COMPUTED_VALUE"""),"Social Media like LinkedIn")</f>
        <v>Social Media like LinkedIn</v>
      </c>
      <c r="F935" s="1" t="str">
        <f ca="1">IFERROR(__xludf.DUMMYFUNCTION("""COMPUTED_VALUE"""),"No I would not be pursuing Higher Education outside of India")</f>
        <v>No I would not be pursuing Higher Education outside of India</v>
      </c>
      <c r="G935" s="1" t="str">
        <f ca="1">IFERROR(__xludf.DUMMYFUNCTION("""COMPUTED_VALUE"""),"This will be hard to do, but if it is the right company I would try")</f>
        <v>This will be hard to do, but if it is the right company I would try</v>
      </c>
      <c r="H935" s="1" t="str">
        <f ca="1">IFERROR(__xludf.DUMMYFUNCTION("""COMPUTED_VALUE"""),"No")</f>
        <v>No</v>
      </c>
      <c r="I935" s="1" t="str">
        <f ca="1">IFERROR(__xludf.DUMMYFUNCTION("""COMPUTED_VALUE"""),"Will work for them")</f>
        <v>Will work for them</v>
      </c>
      <c r="J935" s="1">
        <f ca="1">IFERROR(__xludf.DUMMYFUNCTION("""COMPUTED_VALUE"""),2)</f>
        <v>2</v>
      </c>
      <c r="K935" s="1" t="str">
        <f ca="1">IFERROR(__xludf.DUMMYFUNCTION("""COMPUTED_VALUE"""),"Hybrid Working Environment with more than 15 days a month at office")</f>
        <v>Hybrid Working Environment with more than 15 days a month at office</v>
      </c>
      <c r="L935" s="1" t="str">
        <f ca="1">IFERROR(__xludf.DUMMYFUNCTION("""COMPUTED_VALUE"""),"Employer who appreciates learning and enables that environment")</f>
        <v>Employer who appreciates learning and enables that environment</v>
      </c>
      <c r="M93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3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935" s="1" t="str">
        <f ca="1">IFERROR(__xludf.DUMMYFUNCTION("""COMPUTED_VALUE"""),"Manager who sets goal and helps me achieve it")</f>
        <v>Manager who sets goal and helps me achieve it</v>
      </c>
      <c r="P935" s="1" t="str">
        <f ca="1">IFERROR(__xludf.DUMMYFUNCTION("""COMPUTED_VALUE"""),"Work with 5 to 6 people in my team")</f>
        <v>Work with 5 to 6 people in my team</v>
      </c>
      <c r="Q935" s="1"/>
    </row>
    <row r="936" spans="1:17" ht="13.2" x14ac:dyDescent="0.25">
      <c r="A936" s="2">
        <f ca="1">IFERROR(__xludf.DUMMYFUNCTION("""COMPUTED_VALUE"""),45024.7285129166)</f>
        <v>45024.728512916598</v>
      </c>
      <c r="B936" s="1" t="str">
        <f ca="1">IFERROR(__xludf.DUMMYFUNCTION("""COMPUTED_VALUE"""),"UAE")</f>
        <v>UAE</v>
      </c>
      <c r="C936" s="1" t="str">
        <f ca="1">IFERROR(__xludf.DUMMYFUNCTION("""COMPUTED_VALUE"""),"00000")</f>
        <v>00000</v>
      </c>
      <c r="D936" s="3" t="str">
        <f ca="1">IFERROR(__xludf.DUMMYFUNCTION("""COMPUTED_VALUE"""),"Female")</f>
        <v>Female</v>
      </c>
      <c r="E936" s="1" t="str">
        <f ca="1">IFERROR(__xludf.DUMMYFUNCTION("""COMPUTED_VALUE"""),"People who have changed the world for better")</f>
        <v>People who have changed the world for better</v>
      </c>
      <c r="F936" s="1" t="str">
        <f ca="1">IFERROR(__xludf.DUMMYFUNCTION("""COMPUTED_VALUE"""),"Yes, I will earn and do that")</f>
        <v>Yes, I will earn and do that</v>
      </c>
      <c r="G936" s="1" t="str">
        <f ca="1">IFERROR(__xludf.DUMMYFUNCTION("""COMPUTED_VALUE"""),"This will be hard to do, but if it is the right company I would try")</f>
        <v>This will be hard to do, but if it is the right company I would try</v>
      </c>
      <c r="H936" s="1" t="str">
        <f ca="1">IFERROR(__xludf.DUMMYFUNCTION("""COMPUTED_VALUE"""),"No")</f>
        <v>No</v>
      </c>
      <c r="I936" s="1" t="str">
        <f ca="1">IFERROR(__xludf.DUMMYFUNCTION("""COMPUTED_VALUE"""),"Will NOT work for them")</f>
        <v>Will NOT work for them</v>
      </c>
      <c r="J936" s="1">
        <f ca="1">IFERROR(__xludf.DUMMYFUNCTION("""COMPUTED_VALUE"""),5)</f>
        <v>5</v>
      </c>
      <c r="K936" s="1" t="str">
        <f ca="1">IFERROR(__xludf.DUMMYFUNCTION("""COMPUTED_VALUE"""),"Every Day Office Environment")</f>
        <v>Every Day Office Environment</v>
      </c>
      <c r="L936" s="1" t="str">
        <f ca="1">IFERROR(__xludf.DUMMYFUNCTION("""COMPUTED_VALUE"""),"Employer who appreciates learning and enables that environment")</f>
        <v>Employer who appreciates learning and enables that environment</v>
      </c>
      <c r="M936" s="1" t="str">
        <f ca="1">IFERROR(__xludf.DUMMYFUNCTION("""COMPUTED_VALUE"""),"Self Paced Learning Portals of the Company, Learning by observing others, Manager Teaching you")</f>
        <v>Self Paced Learning Portals of the Company, Learning by observing others, Manager Teaching you</v>
      </c>
      <c r="N93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936" s="1" t="str">
        <f ca="1">IFERROR(__xludf.DUMMYFUNCTION("""COMPUTED_VALUE"""),"Manager who sets targets and expects me to achieve it")</f>
        <v>Manager who sets targets and expects me to achieve it</v>
      </c>
      <c r="P936" s="1" t="str">
        <f ca="1">IFERROR(__xludf.DUMMYFUNCTION("""COMPUTED_VALUE"""),"Work with more than 10 people in my team")</f>
        <v>Work with more than 10 people in my team</v>
      </c>
      <c r="Q936" s="1"/>
    </row>
    <row r="937" spans="1:17" ht="13.2" x14ac:dyDescent="0.25">
      <c r="A937" s="2">
        <f ca="1">IFERROR(__xludf.DUMMYFUNCTION("""COMPUTED_VALUE"""),45024.7464570023)</f>
        <v>45024.7464570023</v>
      </c>
      <c r="B937" s="1" t="str">
        <f ca="1">IFERROR(__xludf.DUMMYFUNCTION("""COMPUTED_VALUE"""),"India")</f>
        <v>India</v>
      </c>
      <c r="C937" s="1">
        <f ca="1">IFERROR(__xludf.DUMMYFUNCTION("""COMPUTED_VALUE"""),623525)</f>
        <v>623525</v>
      </c>
      <c r="D937" s="3" t="str">
        <f ca="1">IFERROR(__xludf.DUMMYFUNCTION("""COMPUTED_VALUE"""),"Female")</f>
        <v>Female</v>
      </c>
      <c r="E937" s="1" t="str">
        <f ca="1">IFERROR(__xludf.DUMMYFUNCTION("""COMPUTED_VALUE"""),"My Parents")</f>
        <v>My Parents</v>
      </c>
      <c r="F937" s="1" t="str">
        <f ca="1">IFERROR(__xludf.DUMMYFUNCTION("""COMPUTED_VALUE"""),"Yes, I will earn and do that")</f>
        <v>Yes, I will earn and do that</v>
      </c>
      <c r="G937" s="1" t="str">
        <f ca="1">IFERROR(__xludf.DUMMYFUNCTION("""COMPUTED_VALUE"""),"Will work for 3 years or more")</f>
        <v>Will work for 3 years or more</v>
      </c>
      <c r="H937" s="1" t="str">
        <f ca="1">IFERROR(__xludf.DUMMYFUNCTION("""COMPUTED_VALUE"""),"No")</f>
        <v>No</v>
      </c>
      <c r="I937" s="1" t="str">
        <f ca="1">IFERROR(__xludf.DUMMYFUNCTION("""COMPUTED_VALUE"""),"Will NOT work for them")</f>
        <v>Will NOT work for them</v>
      </c>
      <c r="J937" s="1">
        <f ca="1">IFERROR(__xludf.DUMMYFUNCTION("""COMPUTED_VALUE"""),3)</f>
        <v>3</v>
      </c>
      <c r="K937" s="1" t="str">
        <f ca="1">IFERROR(__xludf.DUMMYFUNCTION("""COMPUTED_VALUE"""),"Every Day Office Environment")</f>
        <v>Every Day Office Environment</v>
      </c>
      <c r="L937" s="1" t="str">
        <f ca="1">IFERROR(__xludf.DUMMYFUNCTION("""COMPUTED_VALUE"""),"Employer who appreciates learning and enables that environment")</f>
        <v>Employer who appreciates learning and enables that environment</v>
      </c>
      <c r="M937" s="1" t="str">
        <f ca="1">IFERROR(__xludf.DUMMYFUNCTION("""COMPUTED_VALUE"""),"Self Paced Learning Portals of the Company, Learning by observing others, Manager Teaching you")</f>
        <v>Self Paced Learning Portals of the Company, Learning by observing others, Manager Teaching you</v>
      </c>
      <c r="N937"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937" s="1" t="str">
        <f ca="1">IFERROR(__xludf.DUMMYFUNCTION("""COMPUTED_VALUE"""),"Manager who sets targets and expects me to achieve it")</f>
        <v>Manager who sets targets and expects me to achieve it</v>
      </c>
      <c r="P937" s="1" t="str">
        <f ca="1">IFERROR(__xludf.DUMMYFUNCTION("""COMPUTED_VALUE"""),"Work alone")</f>
        <v>Work alone</v>
      </c>
      <c r="Q937" s="1"/>
    </row>
    <row r="938" spans="1:17" ht="13.2" x14ac:dyDescent="0.25">
      <c r="A938" s="2">
        <f ca="1">IFERROR(__xludf.DUMMYFUNCTION("""COMPUTED_VALUE"""),45024.7473972569)</f>
        <v>45024.747397256899</v>
      </c>
      <c r="B938" s="1" t="str">
        <f ca="1">IFERROR(__xludf.DUMMYFUNCTION("""COMPUTED_VALUE"""),"India")</f>
        <v>India</v>
      </c>
      <c r="C938" s="1">
        <f ca="1">IFERROR(__xludf.DUMMYFUNCTION("""COMPUTED_VALUE"""),623525)</f>
        <v>623525</v>
      </c>
      <c r="D938" s="3" t="str">
        <f ca="1">IFERROR(__xludf.DUMMYFUNCTION("""COMPUTED_VALUE"""),"Female")</f>
        <v>Female</v>
      </c>
      <c r="E938" s="1" t="str">
        <f ca="1">IFERROR(__xludf.DUMMYFUNCTION("""COMPUTED_VALUE"""),"Influencers who had successful careers")</f>
        <v>Influencers who had successful careers</v>
      </c>
      <c r="F938" s="1" t="str">
        <f ca="1">IFERROR(__xludf.DUMMYFUNCTION("""COMPUTED_VALUE"""),"No, But if someone could bare the cost I will")</f>
        <v>No, But if someone could bare the cost I will</v>
      </c>
      <c r="G938" s="1" t="str">
        <f ca="1">IFERROR(__xludf.DUMMYFUNCTION("""COMPUTED_VALUE"""),"This will be hard to do, but if it is the right company I would try")</f>
        <v>This will be hard to do, but if it is the right company I would try</v>
      </c>
      <c r="H938" s="1" t="str">
        <f ca="1">IFERROR(__xludf.DUMMYFUNCTION("""COMPUTED_VALUE"""),"No")</f>
        <v>No</v>
      </c>
      <c r="I938" s="1" t="str">
        <f ca="1">IFERROR(__xludf.DUMMYFUNCTION("""COMPUTED_VALUE"""),"Will NOT work for them")</f>
        <v>Will NOT work for them</v>
      </c>
      <c r="J938" s="1">
        <f ca="1">IFERROR(__xludf.DUMMYFUNCTION("""COMPUTED_VALUE"""),6)</f>
        <v>6</v>
      </c>
      <c r="K938" s="1" t="str">
        <f ca="1">IFERROR(__xludf.DUMMYFUNCTION("""COMPUTED_VALUE"""),"Every Day Office Environment")</f>
        <v>Every Day Office Environment</v>
      </c>
      <c r="L938" s="1" t="str">
        <f ca="1">IFERROR(__xludf.DUMMYFUNCTION("""COMPUTED_VALUE"""),"Employer who rewards learning and enables that environment")</f>
        <v>Employer who rewards learning and enables that environment</v>
      </c>
      <c r="M93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3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938" s="1" t="str">
        <f ca="1">IFERROR(__xludf.DUMMYFUNCTION("""COMPUTED_VALUE"""),"Manager who sets goal and helps me achieve it")</f>
        <v>Manager who sets goal and helps me achieve it</v>
      </c>
      <c r="P938" s="1" t="str">
        <f ca="1">IFERROR(__xludf.DUMMYFUNCTION("""COMPUTED_VALUE"""),"Work with 2 to 3 people in my team")</f>
        <v>Work with 2 to 3 people in my team</v>
      </c>
      <c r="Q938" s="1"/>
    </row>
    <row r="939" spans="1:17" ht="13.2" x14ac:dyDescent="0.25">
      <c r="A939" s="2">
        <f ca="1">IFERROR(__xludf.DUMMYFUNCTION("""COMPUTED_VALUE"""),45024.756598831)</f>
        <v>45024.756598831002</v>
      </c>
      <c r="B939" s="1" t="str">
        <f ca="1">IFERROR(__xludf.DUMMYFUNCTION("""COMPUTED_VALUE"""),"India")</f>
        <v>India</v>
      </c>
      <c r="C939" s="1">
        <f ca="1">IFERROR(__xludf.DUMMYFUNCTION("""COMPUTED_VALUE"""),231001)</f>
        <v>231001</v>
      </c>
      <c r="D939" s="3" t="str">
        <f ca="1">IFERROR(__xludf.DUMMYFUNCTION("""COMPUTED_VALUE"""),"Male")</f>
        <v>Male</v>
      </c>
      <c r="E939" s="1" t="str">
        <f ca="1">IFERROR(__xludf.DUMMYFUNCTION("""COMPUTED_VALUE"""),"Influencers who had successful careers")</f>
        <v>Influencers who had successful careers</v>
      </c>
      <c r="F939" s="1" t="str">
        <f ca="1">IFERROR(__xludf.DUMMYFUNCTION("""COMPUTED_VALUE"""),"No I would not be pursuing Higher Education outside of India")</f>
        <v>No I would not be pursuing Higher Education outside of India</v>
      </c>
      <c r="G939" s="1" t="str">
        <f ca="1">IFERROR(__xludf.DUMMYFUNCTION("""COMPUTED_VALUE"""),"This will be hard to do, but if it is the right company I would try")</f>
        <v>This will be hard to do, but if it is the right company I would try</v>
      </c>
      <c r="H939" s="1" t="str">
        <f ca="1">IFERROR(__xludf.DUMMYFUNCTION("""COMPUTED_VALUE"""),"No")</f>
        <v>No</v>
      </c>
      <c r="I939" s="1" t="str">
        <f ca="1">IFERROR(__xludf.DUMMYFUNCTION("""COMPUTED_VALUE"""),"Will NOT work for them")</f>
        <v>Will NOT work for them</v>
      </c>
      <c r="J939" s="1">
        <f ca="1">IFERROR(__xludf.DUMMYFUNCTION("""COMPUTED_VALUE"""),7)</f>
        <v>7</v>
      </c>
      <c r="K939" s="1" t="str">
        <f ca="1">IFERROR(__xludf.DUMMYFUNCTION("""COMPUTED_VALUE"""),"Fully Remote with No option to visit offices")</f>
        <v>Fully Remote with No option to visit offices</v>
      </c>
      <c r="L939" s="1" t="str">
        <f ca="1">IFERROR(__xludf.DUMMYFUNCTION("""COMPUTED_VALUE"""),"Employer who appreciates learning and enables that environment")</f>
        <v>Employer who appreciates learning and enables that environment</v>
      </c>
      <c r="M93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3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39" s="1" t="str">
        <f ca="1">IFERROR(__xludf.DUMMYFUNCTION("""COMPUTED_VALUE"""),"Manager who sets goal and helps me achieve it")</f>
        <v>Manager who sets goal and helps me achieve it</v>
      </c>
      <c r="P939" s="1" t="str">
        <f ca="1">IFERROR(__xludf.DUMMYFUNCTION("""COMPUTED_VALUE"""),"Work with 7 to 10 or more people in my team")</f>
        <v>Work with 7 to 10 or more people in my team</v>
      </c>
      <c r="Q939" s="1"/>
    </row>
    <row r="940" spans="1:17" ht="13.2" x14ac:dyDescent="0.25">
      <c r="A940" s="2">
        <f ca="1">IFERROR(__xludf.DUMMYFUNCTION("""COMPUTED_VALUE"""),45024.7609117129)</f>
        <v>45024.760911712903</v>
      </c>
      <c r="B940" s="1" t="str">
        <f ca="1">IFERROR(__xludf.DUMMYFUNCTION("""COMPUTED_VALUE"""),"India")</f>
        <v>India</v>
      </c>
      <c r="C940" s="1">
        <f ca="1">IFERROR(__xludf.DUMMYFUNCTION("""COMPUTED_VALUE"""),313001)</f>
        <v>313001</v>
      </c>
      <c r="D940" s="3" t="str">
        <f ca="1">IFERROR(__xludf.DUMMYFUNCTION("""COMPUTED_VALUE"""),"Female")</f>
        <v>Female</v>
      </c>
      <c r="E940" s="1" t="str">
        <f ca="1">IFERROR(__xludf.DUMMYFUNCTION("""COMPUTED_VALUE"""),"People who have changed the world for better")</f>
        <v>People who have changed the world for better</v>
      </c>
      <c r="F940" s="1" t="str">
        <f ca="1">IFERROR(__xludf.DUMMYFUNCTION("""COMPUTED_VALUE"""),"No I would not be pursuing Higher Education outside of India")</f>
        <v>No I would not be pursuing Higher Education outside of India</v>
      </c>
      <c r="G940" s="1" t="str">
        <f ca="1">IFERROR(__xludf.DUMMYFUNCTION("""COMPUTED_VALUE"""),"Will work for 3 years or more")</f>
        <v>Will work for 3 years or more</v>
      </c>
      <c r="H940" s="1" t="str">
        <f ca="1">IFERROR(__xludf.DUMMYFUNCTION("""COMPUTED_VALUE"""),"No")</f>
        <v>No</v>
      </c>
      <c r="I940" s="1" t="str">
        <f ca="1">IFERROR(__xludf.DUMMYFUNCTION("""COMPUTED_VALUE"""),"Will NOT work for them")</f>
        <v>Will NOT work for them</v>
      </c>
      <c r="J940" s="1">
        <f ca="1">IFERROR(__xludf.DUMMYFUNCTION("""COMPUTED_VALUE"""),1)</f>
        <v>1</v>
      </c>
      <c r="K940" s="1" t="str">
        <f ca="1">IFERROR(__xludf.DUMMYFUNCTION("""COMPUTED_VALUE"""),"Every Day Office Environment")</f>
        <v>Every Day Office Environment</v>
      </c>
      <c r="L940" s="1" t="str">
        <f ca="1">IFERROR(__xludf.DUMMYFUNCTION("""COMPUTED_VALUE"""),"Employer who pushes your limits by enabling an learning environment, and rewards you at the end")</f>
        <v>Employer who pushes your limits by enabling an learning environment, and rewards you at the end</v>
      </c>
      <c r="M94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40" s="1" t="str">
        <f ca="1">IFERROR(__xludf.DUMMYFUNCTION("""COMPUTED_VALUE"""),"Teaching in any of the institutes/colleges/online or offline, Look deeply into Data and generate insights, Entrepreneur or Start Up, I Want to sell things/Sales")</f>
        <v>Teaching in any of the institutes/colleges/online or offline, Look deeply into Data and generate insights, Entrepreneur or Start Up, I Want to sell things/Sales</v>
      </c>
      <c r="O940" s="1" t="str">
        <f ca="1">IFERROR(__xludf.DUMMYFUNCTION("""COMPUTED_VALUE"""),"Manager who explains what is expected, sets a goal and helps achieve it")</f>
        <v>Manager who explains what is expected, sets a goal and helps achieve it</v>
      </c>
      <c r="P940" s="1" t="str">
        <f ca="1">IFERROR(__xludf.DUMMYFUNCTION("""COMPUTED_VALUE"""),"Work with 5 to 6 people in my team, Work with more than 10 people in my team")</f>
        <v>Work with 5 to 6 people in my team, Work with more than 10 people in my team</v>
      </c>
      <c r="Q940" s="1"/>
    </row>
    <row r="941" spans="1:17" ht="13.2" x14ac:dyDescent="0.25">
      <c r="A941" s="2">
        <f ca="1">IFERROR(__xludf.DUMMYFUNCTION("""COMPUTED_VALUE"""),45024.7921819444)</f>
        <v>45024.792181944402</v>
      </c>
      <c r="B941" s="1" t="str">
        <f ca="1">IFERROR(__xludf.DUMMYFUNCTION("""COMPUTED_VALUE"""),"India")</f>
        <v>India</v>
      </c>
      <c r="C941" s="1">
        <f ca="1">IFERROR(__xludf.DUMMYFUNCTION("""COMPUTED_VALUE"""),628901)</f>
        <v>628901</v>
      </c>
      <c r="D941" s="3" t="str">
        <f ca="1">IFERROR(__xludf.DUMMYFUNCTION("""COMPUTED_VALUE"""),"Female")</f>
        <v>Female</v>
      </c>
      <c r="E941" s="1" t="str">
        <f ca="1">IFERROR(__xludf.DUMMYFUNCTION("""COMPUTED_VALUE"""),"My Parents")</f>
        <v>My Parents</v>
      </c>
      <c r="F941" s="1" t="str">
        <f ca="1">IFERROR(__xludf.DUMMYFUNCTION("""COMPUTED_VALUE"""),"Yes, I will earn and do that")</f>
        <v>Yes, I will earn and do that</v>
      </c>
      <c r="G941" s="1" t="str">
        <f ca="1">IFERROR(__xludf.DUMMYFUNCTION("""COMPUTED_VALUE"""),"This will be hard to do, but if it is the right company I would try")</f>
        <v>This will be hard to do, but if it is the right company I would try</v>
      </c>
      <c r="H941" s="1" t="str">
        <f ca="1">IFERROR(__xludf.DUMMYFUNCTION("""COMPUTED_VALUE"""),"Yes")</f>
        <v>Yes</v>
      </c>
      <c r="I941" s="1" t="str">
        <f ca="1">IFERROR(__xludf.DUMMYFUNCTION("""COMPUTED_VALUE"""),"Will work for them")</f>
        <v>Will work for them</v>
      </c>
      <c r="J941" s="1">
        <f ca="1">IFERROR(__xludf.DUMMYFUNCTION("""COMPUTED_VALUE"""),5)</f>
        <v>5</v>
      </c>
      <c r="K941" s="1" t="str">
        <f ca="1">IFERROR(__xludf.DUMMYFUNCTION("""COMPUTED_VALUE"""),"Hybrid Working Environment with less than 3 days a month at office")</f>
        <v>Hybrid Working Environment with less than 3 days a month at office</v>
      </c>
      <c r="L941" s="1" t="str">
        <f ca="1">IFERROR(__xludf.DUMMYFUNCTION("""COMPUTED_VALUE"""),"Employer who rewards learning and enables that environment")</f>
        <v>Employer who rewards learning and enables that environment</v>
      </c>
      <c r="M941"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41" s="1" t="str">
        <f ca="1">IFERROR(__xludf.DUMMYFUNCTION("""COMPUTED_VALUE"""),"Business Operations in any organization, Work in a BPO setup for some well known client, Become a content Creator in some platform, Entrepreneur or Start Up")</f>
        <v>Business Operations in any organization, Work in a BPO setup for some well known client, Become a content Creator in some platform, Entrepreneur or Start Up</v>
      </c>
      <c r="O941" s="1" t="str">
        <f ca="1">IFERROR(__xludf.DUMMYFUNCTION("""COMPUTED_VALUE"""),"Manager who clearly describes what she/he needs")</f>
        <v>Manager who clearly describes what she/he needs</v>
      </c>
      <c r="P941" s="1" t="str">
        <f ca="1">IFERROR(__xludf.DUMMYFUNCTION("""COMPUTED_VALUE"""),"Work with 2 to 3 people in my team")</f>
        <v>Work with 2 to 3 people in my team</v>
      </c>
      <c r="Q941" s="1"/>
    </row>
    <row r="942" spans="1:17" ht="13.2" x14ac:dyDescent="0.25">
      <c r="A942" s="2">
        <f ca="1">IFERROR(__xludf.DUMMYFUNCTION("""COMPUTED_VALUE"""),45024.8427196412)</f>
        <v>45024.842719641201</v>
      </c>
      <c r="B942" s="1" t="str">
        <f ca="1">IFERROR(__xludf.DUMMYFUNCTION("""COMPUTED_VALUE"""),"India")</f>
        <v>India</v>
      </c>
      <c r="C942" s="1">
        <f ca="1">IFERROR(__xludf.DUMMYFUNCTION("""COMPUTED_VALUE"""),600117)</f>
        <v>600117</v>
      </c>
      <c r="D942" s="3" t="str">
        <f ca="1">IFERROR(__xludf.DUMMYFUNCTION("""COMPUTED_VALUE"""),"Male")</f>
        <v>Male</v>
      </c>
      <c r="E942" s="1" t="str">
        <f ca="1">IFERROR(__xludf.DUMMYFUNCTION("""COMPUTED_VALUE"""),"People who have changed the world for better")</f>
        <v>People who have changed the world for better</v>
      </c>
      <c r="F942" s="1" t="str">
        <f ca="1">IFERROR(__xludf.DUMMYFUNCTION("""COMPUTED_VALUE"""),"Yes, I will earn and do that")</f>
        <v>Yes, I will earn and do that</v>
      </c>
      <c r="G942" s="1" t="str">
        <f ca="1">IFERROR(__xludf.DUMMYFUNCTION("""COMPUTED_VALUE"""),"Will work for 3 years or more")</f>
        <v>Will work for 3 years or more</v>
      </c>
      <c r="H942" s="1" t="str">
        <f ca="1">IFERROR(__xludf.DUMMYFUNCTION("""COMPUTED_VALUE"""),"No")</f>
        <v>No</v>
      </c>
      <c r="I942" s="1" t="str">
        <f ca="1">IFERROR(__xludf.DUMMYFUNCTION("""COMPUTED_VALUE"""),"Will NOT work for them")</f>
        <v>Will NOT work for them</v>
      </c>
      <c r="J942" s="1">
        <f ca="1">IFERROR(__xludf.DUMMYFUNCTION("""COMPUTED_VALUE"""),5)</f>
        <v>5</v>
      </c>
      <c r="K942" s="1" t="str">
        <f ca="1">IFERROR(__xludf.DUMMYFUNCTION("""COMPUTED_VALUE"""),"Hybrid Working Environment with less than 3 days a month at office")</f>
        <v>Hybrid Working Environment with less than 3 days a month at office</v>
      </c>
      <c r="L942" s="1" t="str">
        <f ca="1">IFERROR(__xludf.DUMMYFUNCTION("""COMPUTED_VALUE"""),"Employer who rewards learning and enables that environment")</f>
        <v>Employer who rewards learning and enables that environment</v>
      </c>
      <c r="M9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4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42" s="1" t="str">
        <f ca="1">IFERROR(__xludf.DUMMYFUNCTION("""COMPUTED_VALUE"""),"Manager who explains what is expected, sets a goal and helps achieve it")</f>
        <v>Manager who explains what is expected, sets a goal and helps achieve it</v>
      </c>
      <c r="P942" s="1" t="str">
        <f ca="1">IFERROR(__xludf.DUMMYFUNCTION("""COMPUTED_VALUE"""),"Work with 2 to 3 people in my team")</f>
        <v>Work with 2 to 3 people in my team</v>
      </c>
      <c r="Q942" s="1"/>
    </row>
    <row r="943" spans="1:17" ht="13.2" x14ac:dyDescent="0.25">
      <c r="A943" s="2">
        <f ca="1">IFERROR(__xludf.DUMMYFUNCTION("""COMPUTED_VALUE"""),45024.8658265277)</f>
        <v>45024.865826527697</v>
      </c>
      <c r="B943" s="1" t="str">
        <f ca="1">IFERROR(__xludf.DUMMYFUNCTION("""COMPUTED_VALUE"""),"India")</f>
        <v>India</v>
      </c>
      <c r="C943" s="1">
        <f ca="1">IFERROR(__xludf.DUMMYFUNCTION("""COMPUTED_VALUE"""),623525)</f>
        <v>623525</v>
      </c>
      <c r="D943" s="3" t="str">
        <f ca="1">IFERROR(__xludf.DUMMYFUNCTION("""COMPUTED_VALUE"""),"Male")</f>
        <v>Male</v>
      </c>
      <c r="E943" s="1" t="str">
        <f ca="1">IFERROR(__xludf.DUMMYFUNCTION("""COMPUTED_VALUE"""),"Influencers who had successful careers")</f>
        <v>Influencers who had successful careers</v>
      </c>
      <c r="F943" s="1" t="str">
        <f ca="1">IFERROR(__xludf.DUMMYFUNCTION("""COMPUTED_VALUE"""),"No, But if someone could bare the cost I will")</f>
        <v>No, But if someone could bare the cost I will</v>
      </c>
      <c r="G943" s="1" t="str">
        <f ca="1">IFERROR(__xludf.DUMMYFUNCTION("""COMPUTED_VALUE"""),"No way")</f>
        <v>No way</v>
      </c>
      <c r="H943" s="1" t="str">
        <f ca="1">IFERROR(__xludf.DUMMYFUNCTION("""COMPUTED_VALUE"""),"Yes")</f>
        <v>Yes</v>
      </c>
      <c r="I943" s="1" t="str">
        <f ca="1">IFERROR(__xludf.DUMMYFUNCTION("""COMPUTED_VALUE"""),"Will work for them")</f>
        <v>Will work for them</v>
      </c>
      <c r="J943" s="1">
        <f ca="1">IFERROR(__xludf.DUMMYFUNCTION("""COMPUTED_VALUE"""),3)</f>
        <v>3</v>
      </c>
      <c r="K943" s="1" t="str">
        <f ca="1">IFERROR(__xludf.DUMMYFUNCTION("""COMPUTED_VALUE"""),"Every Day Office Environment")</f>
        <v>Every Day Office Environment</v>
      </c>
      <c r="L943" s="1" t="str">
        <f ca="1">IFERROR(__xludf.DUMMYFUNCTION("""COMPUTED_VALUE"""),"Employer who pushes your limits by enabling an learning environment, and rewards you at the end")</f>
        <v>Employer who pushes your limits by enabling an learning environment, and rewards you at the end</v>
      </c>
      <c r="M9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4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943" s="1" t="str">
        <f ca="1">IFERROR(__xludf.DUMMYFUNCTION("""COMPUTED_VALUE"""),"Manager who sets targets and expects me to achieve it")</f>
        <v>Manager who sets targets and expects me to achieve it</v>
      </c>
      <c r="P943" s="1" t="str">
        <f ca="1">IFERROR(__xludf.DUMMYFUNCTION("""COMPUTED_VALUE"""),"Work alone")</f>
        <v>Work alone</v>
      </c>
      <c r="Q943" s="1"/>
    </row>
    <row r="944" spans="1:17" ht="13.2" x14ac:dyDescent="0.25">
      <c r="A944" s="2">
        <f ca="1">IFERROR(__xludf.DUMMYFUNCTION("""COMPUTED_VALUE"""),45024.8762669907)</f>
        <v>45024.876266990701</v>
      </c>
      <c r="B944" s="1" t="str">
        <f ca="1">IFERROR(__xludf.DUMMYFUNCTION("""COMPUTED_VALUE"""),"India")</f>
        <v>India</v>
      </c>
      <c r="C944" s="1">
        <f ca="1">IFERROR(__xludf.DUMMYFUNCTION("""COMPUTED_VALUE"""),382002)</f>
        <v>382002</v>
      </c>
      <c r="D944" s="3" t="str">
        <f ca="1">IFERROR(__xludf.DUMMYFUNCTION("""COMPUTED_VALUE"""),"Male")</f>
        <v>Male</v>
      </c>
      <c r="E944" s="1" t="str">
        <f ca="1">IFERROR(__xludf.DUMMYFUNCTION("""COMPUTED_VALUE"""),"People from my circle, but not family members")</f>
        <v>People from my circle, but not family members</v>
      </c>
      <c r="F944" s="1" t="str">
        <f ca="1">IFERROR(__xludf.DUMMYFUNCTION("""COMPUTED_VALUE"""),"No, But if someone could bare the cost I will")</f>
        <v>No, But if someone could bare the cost I will</v>
      </c>
      <c r="G944" s="1" t="str">
        <f ca="1">IFERROR(__xludf.DUMMYFUNCTION("""COMPUTED_VALUE"""),"Will work for 3 years or more")</f>
        <v>Will work for 3 years or more</v>
      </c>
      <c r="H944" s="1" t="str">
        <f ca="1">IFERROR(__xludf.DUMMYFUNCTION("""COMPUTED_VALUE"""),"Yes")</f>
        <v>Yes</v>
      </c>
      <c r="I944" s="1" t="str">
        <f ca="1">IFERROR(__xludf.DUMMYFUNCTION("""COMPUTED_VALUE"""),"Will NOT work for them")</f>
        <v>Will NOT work for them</v>
      </c>
      <c r="J944" s="1">
        <f ca="1">IFERROR(__xludf.DUMMYFUNCTION("""COMPUTED_VALUE"""),7)</f>
        <v>7</v>
      </c>
      <c r="K944" s="1" t="str">
        <f ca="1">IFERROR(__xludf.DUMMYFUNCTION("""COMPUTED_VALUE"""),"Hybrid Working Environment with more than 15 days a month at office")</f>
        <v>Hybrid Working Environment with more than 15 days a month at office</v>
      </c>
      <c r="L944" s="1" t="str">
        <f ca="1">IFERROR(__xludf.DUMMYFUNCTION("""COMPUTED_VALUE"""),"Employer who pushes your limits by enabling an learning environment, and rewards you at the end")</f>
        <v>Employer who pushes your limits by enabling an learning environment, and rewards you at the end</v>
      </c>
      <c r="M9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4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44" s="1" t="str">
        <f ca="1">IFERROR(__xludf.DUMMYFUNCTION("""COMPUTED_VALUE"""),"Manager who sets goal and helps me achieve it")</f>
        <v>Manager who sets goal and helps me achieve it</v>
      </c>
      <c r="P944" s="1" t="str">
        <f ca="1">IFERROR(__xludf.DUMMYFUNCTION("""COMPUTED_VALUE"""),"Work alone")</f>
        <v>Work alone</v>
      </c>
      <c r="Q944" s="1"/>
    </row>
    <row r="945" spans="1:17" ht="13.2" x14ac:dyDescent="0.25">
      <c r="A945" s="2">
        <f ca="1">IFERROR(__xludf.DUMMYFUNCTION("""COMPUTED_VALUE"""),45024.8781753819)</f>
        <v>45024.878175381898</v>
      </c>
      <c r="B945" s="1" t="str">
        <f ca="1">IFERROR(__xludf.DUMMYFUNCTION("""COMPUTED_VALUE"""),"Canada")</f>
        <v>Canada</v>
      </c>
      <c r="C945" s="1" t="str">
        <f ca="1">IFERROR(__xludf.DUMMYFUNCTION("""COMPUTED_VALUE"""),"K0AK4P")</f>
        <v>K0AK4P</v>
      </c>
      <c r="D945" s="3" t="str">
        <f ca="1">IFERROR(__xludf.DUMMYFUNCTION("""COMPUTED_VALUE"""),"Female")</f>
        <v>Female</v>
      </c>
      <c r="E945" s="1" t="str">
        <f ca="1">IFERROR(__xludf.DUMMYFUNCTION("""COMPUTED_VALUE"""),"People who have changed the world for better")</f>
        <v>People who have changed the world for better</v>
      </c>
      <c r="F945" s="1" t="str">
        <f ca="1">IFERROR(__xludf.DUMMYFUNCTION("""COMPUTED_VALUE"""),"Yes, I will earn and do that")</f>
        <v>Yes, I will earn and do that</v>
      </c>
      <c r="G945" s="1" t="str">
        <f ca="1">IFERROR(__xludf.DUMMYFUNCTION("""COMPUTED_VALUE"""),"Will work for 3 years or more")</f>
        <v>Will work for 3 years or more</v>
      </c>
      <c r="H945" s="1" t="str">
        <f ca="1">IFERROR(__xludf.DUMMYFUNCTION("""COMPUTED_VALUE"""),"Yes")</f>
        <v>Yes</v>
      </c>
      <c r="I945" s="1" t="str">
        <f ca="1">IFERROR(__xludf.DUMMYFUNCTION("""COMPUTED_VALUE"""),"Will NOT work for them")</f>
        <v>Will NOT work for them</v>
      </c>
      <c r="J945" s="1">
        <f ca="1">IFERROR(__xludf.DUMMYFUNCTION("""COMPUTED_VALUE"""),9)</f>
        <v>9</v>
      </c>
      <c r="K945" s="1" t="str">
        <f ca="1">IFERROR(__xludf.DUMMYFUNCTION("""COMPUTED_VALUE"""),"Fully Remote with No option to visit offices")</f>
        <v>Fully Remote with No option to visit offices</v>
      </c>
      <c r="L945" s="1" t="str">
        <f ca="1">IFERROR(__xludf.DUMMYFUNCTION("""COMPUTED_VALUE"""),"Employer who pushes your limits by enabling an learning environment, and rewards you at the end")</f>
        <v>Employer who pushes your limits by enabling an learning environment, and rewards you at the end</v>
      </c>
      <c r="M945"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45"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945" s="1" t="str">
        <f ca="1">IFERROR(__xludf.DUMMYFUNCTION("""COMPUTED_VALUE"""),"Manager who explains what is expected, sets a goal and helps achieve it")</f>
        <v>Manager who explains what is expected, sets a goal and helps achieve it</v>
      </c>
      <c r="P945" s="1" t="str">
        <f ca="1">IFERROR(__xludf.DUMMYFUNCTION("""COMPUTED_VALUE"""),"Work alone")</f>
        <v>Work alone</v>
      </c>
      <c r="Q945" s="1"/>
    </row>
    <row r="946" spans="1:17" ht="13.2" x14ac:dyDescent="0.25">
      <c r="A946" s="2">
        <f ca="1">IFERROR(__xludf.DUMMYFUNCTION("""COMPUTED_VALUE"""),45024.9619937037)</f>
        <v>45024.961993703699</v>
      </c>
      <c r="B946" s="1" t="str">
        <f ca="1">IFERROR(__xludf.DUMMYFUNCTION("""COMPUTED_VALUE"""),"India")</f>
        <v>India</v>
      </c>
      <c r="C946" s="1" t="str">
        <f ca="1">IFERROR(__xludf.DUMMYFUNCTION("""COMPUTED_VALUE"""),"-")</f>
        <v>-</v>
      </c>
      <c r="D946" s="3" t="str">
        <f ca="1">IFERROR(__xludf.DUMMYFUNCTION("""COMPUTED_VALUE"""),"Female")</f>
        <v>Female</v>
      </c>
      <c r="E946" s="1" t="str">
        <f ca="1">IFERROR(__xludf.DUMMYFUNCTION("""COMPUTED_VALUE"""),"Influencers who had successful careers")</f>
        <v>Influencers who had successful careers</v>
      </c>
      <c r="F946" s="1" t="str">
        <f ca="1">IFERROR(__xludf.DUMMYFUNCTION("""COMPUTED_VALUE"""),"No I would not be pursuing Higher Education outside of India")</f>
        <v>No I would not be pursuing Higher Education outside of India</v>
      </c>
      <c r="G946" s="1" t="str">
        <f ca="1">IFERROR(__xludf.DUMMYFUNCTION("""COMPUTED_VALUE"""),"This will be hard to do, but if it is the right company I would try")</f>
        <v>This will be hard to do, but if it is the right company I would try</v>
      </c>
      <c r="H946" s="1" t="str">
        <f ca="1">IFERROR(__xludf.DUMMYFUNCTION("""COMPUTED_VALUE"""),"No")</f>
        <v>No</v>
      </c>
      <c r="I946" s="1" t="str">
        <f ca="1">IFERROR(__xludf.DUMMYFUNCTION("""COMPUTED_VALUE"""),"Will NOT work for them")</f>
        <v>Will NOT work for them</v>
      </c>
      <c r="J946" s="1">
        <f ca="1">IFERROR(__xludf.DUMMYFUNCTION("""COMPUTED_VALUE"""),5)</f>
        <v>5</v>
      </c>
      <c r="K946" s="1" t="str">
        <f ca="1">IFERROR(__xludf.DUMMYFUNCTION("""COMPUTED_VALUE"""),"Hybrid Working Environment with more than 15 days a month at office")</f>
        <v>Hybrid Working Environment with more than 15 days a month at office</v>
      </c>
      <c r="L946" s="1" t="str">
        <f ca="1">IFERROR(__xludf.DUMMYFUNCTION("""COMPUTED_VALUE"""),"Employer who pushes your limits by enabling an learning environment, and rewards you at the end")</f>
        <v>Employer who pushes your limits by enabling an learning environment, and rewards you at the end</v>
      </c>
      <c r="M946" s="1" t="str">
        <f ca="1">IFERROR(__xludf.DUMMYFUNCTION("""COMPUTED_VALUE"""),"Instructor or Expert Learning Programs, Learning by observing others, Manager Teaching you")</f>
        <v>Instructor or Expert Learning Programs, Learning by observing others, Manager Teaching you</v>
      </c>
      <c r="N946"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946" s="1" t="str">
        <f ca="1">IFERROR(__xludf.DUMMYFUNCTION("""COMPUTED_VALUE"""),"Manager who explains what is expected, sets a goal and helps achieve it")</f>
        <v>Manager who explains what is expected, sets a goal and helps achieve it</v>
      </c>
      <c r="P946" s="1" t="str">
        <f ca="1">IFERROR(__xludf.DUMMYFUNCTION("""COMPUTED_VALUE"""),"Work with 2 to 3 people in my team")</f>
        <v>Work with 2 to 3 people in my team</v>
      </c>
      <c r="Q946" s="1"/>
    </row>
    <row r="947" spans="1:17" ht="13.2" x14ac:dyDescent="0.25">
      <c r="A947" s="2">
        <f ca="1">IFERROR(__xludf.DUMMYFUNCTION("""COMPUTED_VALUE"""),45025.1121121759)</f>
        <v>45025.112112175899</v>
      </c>
      <c r="B947" s="1" t="str">
        <f ca="1">IFERROR(__xludf.DUMMYFUNCTION("""COMPUTED_VALUE"""),"India")</f>
        <v>India</v>
      </c>
      <c r="C947" s="1">
        <f ca="1">IFERROR(__xludf.DUMMYFUNCTION("""COMPUTED_VALUE"""),431001)</f>
        <v>431001</v>
      </c>
      <c r="D947" s="3" t="str">
        <f ca="1">IFERROR(__xludf.DUMMYFUNCTION("""COMPUTED_VALUE"""),"Male")</f>
        <v>Male</v>
      </c>
      <c r="E947" s="1" t="str">
        <f ca="1">IFERROR(__xludf.DUMMYFUNCTION("""COMPUTED_VALUE"""),"Influencers who had successful careers")</f>
        <v>Influencers who had successful careers</v>
      </c>
      <c r="F947" s="1" t="str">
        <f ca="1">IFERROR(__xludf.DUMMYFUNCTION("""COMPUTED_VALUE"""),"Yes, I will earn and do that")</f>
        <v>Yes, I will earn and do that</v>
      </c>
      <c r="G947" s="1" t="str">
        <f ca="1">IFERROR(__xludf.DUMMYFUNCTION("""COMPUTED_VALUE"""),"This will be hard to do, but if it is the right company I would try")</f>
        <v>This will be hard to do, but if it is the right company I would try</v>
      </c>
      <c r="H947" s="1" t="str">
        <f ca="1">IFERROR(__xludf.DUMMYFUNCTION("""COMPUTED_VALUE"""),"Yes")</f>
        <v>Yes</v>
      </c>
      <c r="I947" s="1" t="str">
        <f ca="1">IFERROR(__xludf.DUMMYFUNCTION("""COMPUTED_VALUE"""),"Will NOT work for them")</f>
        <v>Will NOT work for them</v>
      </c>
      <c r="J947" s="1">
        <f ca="1">IFERROR(__xludf.DUMMYFUNCTION("""COMPUTED_VALUE"""),5)</f>
        <v>5</v>
      </c>
      <c r="K947" s="1" t="str">
        <f ca="1">IFERROR(__xludf.DUMMYFUNCTION("""COMPUTED_VALUE"""),"Fully Remote with Options to travel as and when needed")</f>
        <v>Fully Remote with Options to travel as and when needed</v>
      </c>
      <c r="L947" s="1" t="str">
        <f ca="1">IFERROR(__xludf.DUMMYFUNCTION("""COMPUTED_VALUE"""),"Employer who pushes your limits by enabling an learning environment, and rewards you at the end")</f>
        <v>Employer who pushes your limits by enabling an learning environment, and rewards you at the end</v>
      </c>
      <c r="M94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4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47" s="1" t="str">
        <f ca="1">IFERROR(__xludf.DUMMYFUNCTION("""COMPUTED_VALUE"""),"Manager who explains what is expected, sets a goal and helps achieve it")</f>
        <v>Manager who explains what is expected, sets a goal and helps achieve it</v>
      </c>
      <c r="P947" s="1" t="str">
        <f ca="1">IFERROR(__xludf.DUMMYFUNCTION("""COMPUTED_VALUE"""),"Work with 5 to 6 people in my team")</f>
        <v>Work with 5 to 6 people in my team</v>
      </c>
      <c r="Q947" s="1"/>
    </row>
    <row r="948" spans="1:17" ht="13.2" x14ac:dyDescent="0.25">
      <c r="A948" s="2">
        <f ca="1">IFERROR(__xludf.DUMMYFUNCTION("""COMPUTED_VALUE"""),45025.3156197569)</f>
        <v>45025.315619756897</v>
      </c>
      <c r="B948" s="1" t="str">
        <f ca="1">IFERROR(__xludf.DUMMYFUNCTION("""COMPUTED_VALUE"""),"India")</f>
        <v>India</v>
      </c>
      <c r="C948" s="1">
        <f ca="1">IFERROR(__xludf.DUMMYFUNCTION("""COMPUTED_VALUE"""),505327)</f>
        <v>505327</v>
      </c>
      <c r="D948" s="3" t="str">
        <f ca="1">IFERROR(__xludf.DUMMYFUNCTION("""COMPUTED_VALUE"""),"Male")</f>
        <v>Male</v>
      </c>
      <c r="E948" s="1" t="str">
        <f ca="1">IFERROR(__xludf.DUMMYFUNCTION("""COMPUTED_VALUE"""),"People who have changed the world for better")</f>
        <v>People who have changed the world for better</v>
      </c>
      <c r="F948" s="1" t="str">
        <f ca="1">IFERROR(__xludf.DUMMYFUNCTION("""COMPUTED_VALUE"""),"Yes, I will earn and do that")</f>
        <v>Yes, I will earn and do that</v>
      </c>
      <c r="G948" s="1" t="str">
        <f ca="1">IFERROR(__xludf.DUMMYFUNCTION("""COMPUTED_VALUE"""),"This will be hard to do, but if it is the right company I would try")</f>
        <v>This will be hard to do, but if it is the right company I would try</v>
      </c>
      <c r="H948" s="1" t="str">
        <f ca="1">IFERROR(__xludf.DUMMYFUNCTION("""COMPUTED_VALUE"""),"No")</f>
        <v>No</v>
      </c>
      <c r="I948" s="1" t="str">
        <f ca="1">IFERROR(__xludf.DUMMYFUNCTION("""COMPUTED_VALUE"""),"Will NOT work for them")</f>
        <v>Will NOT work for them</v>
      </c>
      <c r="J948" s="1">
        <f ca="1">IFERROR(__xludf.DUMMYFUNCTION("""COMPUTED_VALUE"""),8)</f>
        <v>8</v>
      </c>
      <c r="K948" s="1" t="str">
        <f ca="1">IFERROR(__xludf.DUMMYFUNCTION("""COMPUTED_VALUE"""),"Hybrid Working Environment with more than 15 days a month at office")</f>
        <v>Hybrid Working Environment with more than 15 days a month at office</v>
      </c>
      <c r="L948" s="1" t="str">
        <f ca="1">IFERROR(__xludf.DUMMYFUNCTION("""COMPUTED_VALUE"""),"Employer who pushes your limits by enabling an learning environment, and rewards you at the end")</f>
        <v>Employer who pushes your limits by enabling an learning environment, and rewards you at the end</v>
      </c>
      <c r="M94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4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48" s="1" t="str">
        <f ca="1">IFERROR(__xludf.DUMMYFUNCTION("""COMPUTED_VALUE"""),"Manager who explains what is expected, sets a goal and helps achieve it")</f>
        <v>Manager who explains what is expected, sets a goal and helps achieve it</v>
      </c>
      <c r="P948" s="1" t="str">
        <f ca="1">IFERROR(__xludf.DUMMYFUNCTION("""COMPUTED_VALUE"""),"Work with 5 to 6 people in my team")</f>
        <v>Work with 5 to 6 people in my team</v>
      </c>
      <c r="Q948" s="1"/>
    </row>
    <row r="949" spans="1:17" ht="13.2" x14ac:dyDescent="0.25">
      <c r="A949" s="2">
        <f ca="1">IFERROR(__xludf.DUMMYFUNCTION("""COMPUTED_VALUE"""),45025.4050530671)</f>
        <v>45025.405053067101</v>
      </c>
      <c r="B949" s="1" t="str">
        <f ca="1">IFERROR(__xludf.DUMMYFUNCTION("""COMPUTED_VALUE"""),"India")</f>
        <v>India</v>
      </c>
      <c r="C949" s="1">
        <f ca="1">IFERROR(__xludf.DUMMYFUNCTION("""COMPUTED_VALUE"""),410505)</f>
        <v>410505</v>
      </c>
      <c r="D949" s="3" t="str">
        <f ca="1">IFERROR(__xludf.DUMMYFUNCTION("""COMPUTED_VALUE"""),"Male")</f>
        <v>Male</v>
      </c>
      <c r="E949" s="1" t="str">
        <f ca="1">IFERROR(__xludf.DUMMYFUNCTION("""COMPUTED_VALUE"""),"Influencers who had successful careers")</f>
        <v>Influencers who had successful careers</v>
      </c>
      <c r="F949" s="1" t="str">
        <f ca="1">IFERROR(__xludf.DUMMYFUNCTION("""COMPUTED_VALUE"""),"No I would not be pursuing Higher Education outside of India")</f>
        <v>No I would not be pursuing Higher Education outside of India</v>
      </c>
      <c r="G949" s="1" t="str">
        <f ca="1">IFERROR(__xludf.DUMMYFUNCTION("""COMPUTED_VALUE"""),"Will work for 3 years or more")</f>
        <v>Will work for 3 years or more</v>
      </c>
      <c r="H949" s="1" t="str">
        <f ca="1">IFERROR(__xludf.DUMMYFUNCTION("""COMPUTED_VALUE"""),"Yes")</f>
        <v>Yes</v>
      </c>
      <c r="I949" s="1" t="str">
        <f ca="1">IFERROR(__xludf.DUMMYFUNCTION("""COMPUTED_VALUE"""),"Will NOT work for them")</f>
        <v>Will NOT work for them</v>
      </c>
      <c r="J949" s="1">
        <f ca="1">IFERROR(__xludf.DUMMYFUNCTION("""COMPUTED_VALUE"""),6)</f>
        <v>6</v>
      </c>
      <c r="K949" s="1" t="str">
        <f ca="1">IFERROR(__xludf.DUMMYFUNCTION("""COMPUTED_VALUE"""),"Hybrid Working Environment with less than 3 days a month at office")</f>
        <v>Hybrid Working Environment with less than 3 days a month at office</v>
      </c>
      <c r="L949" s="1" t="str">
        <f ca="1">IFERROR(__xludf.DUMMYFUNCTION("""COMPUTED_VALUE"""),"Employer who pushes your limits by enabling an learning environment, and rewards you at the end")</f>
        <v>Employer who pushes your limits by enabling an learning environment, and rewards you at the end</v>
      </c>
      <c r="M94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49"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949" s="1" t="str">
        <f ca="1">IFERROR(__xludf.DUMMYFUNCTION("""COMPUTED_VALUE"""),"Manager who explains what is expected, sets a goal and helps achieve it")</f>
        <v>Manager who explains what is expected, sets a goal and helps achieve it</v>
      </c>
      <c r="P949" s="1" t="str">
        <f ca="1">IFERROR(__xludf.DUMMYFUNCTION("""COMPUTED_VALUE"""),"Work with 5 to 6 people in my team")</f>
        <v>Work with 5 to 6 people in my team</v>
      </c>
      <c r="Q949" s="1"/>
    </row>
    <row r="950" spans="1:17" ht="13.2" x14ac:dyDescent="0.25">
      <c r="A950" s="2">
        <f ca="1">IFERROR(__xludf.DUMMYFUNCTION("""COMPUTED_VALUE"""),45025.4718439351)</f>
        <v>45025.471843935098</v>
      </c>
      <c r="B950" s="1" t="str">
        <f ca="1">IFERROR(__xludf.DUMMYFUNCTION("""COMPUTED_VALUE"""),"India")</f>
        <v>India</v>
      </c>
      <c r="C950" s="1">
        <f ca="1">IFERROR(__xludf.DUMMYFUNCTION("""COMPUTED_VALUE"""),575013)</f>
        <v>575013</v>
      </c>
      <c r="D950" s="3" t="str">
        <f ca="1">IFERROR(__xludf.DUMMYFUNCTION("""COMPUTED_VALUE"""),"Female")</f>
        <v>Female</v>
      </c>
      <c r="E950" s="1" t="str">
        <f ca="1">IFERROR(__xludf.DUMMYFUNCTION("""COMPUTED_VALUE"""),"Social Media like LinkedIn")</f>
        <v>Social Media like LinkedIn</v>
      </c>
      <c r="F950" s="1" t="str">
        <f ca="1">IFERROR(__xludf.DUMMYFUNCTION("""COMPUTED_VALUE"""),"Yes, I will earn and do that")</f>
        <v>Yes, I will earn and do that</v>
      </c>
      <c r="G950" s="1" t="str">
        <f ca="1">IFERROR(__xludf.DUMMYFUNCTION("""COMPUTED_VALUE"""),"This will be hard to do, but if it is the right company I would try")</f>
        <v>This will be hard to do, but if it is the right company I would try</v>
      </c>
      <c r="H950" s="1" t="str">
        <f ca="1">IFERROR(__xludf.DUMMYFUNCTION("""COMPUTED_VALUE"""),"No")</f>
        <v>No</v>
      </c>
      <c r="I950" s="1" t="str">
        <f ca="1">IFERROR(__xludf.DUMMYFUNCTION("""COMPUTED_VALUE"""),"Will NOT work for them")</f>
        <v>Will NOT work for them</v>
      </c>
      <c r="J950" s="1">
        <f ca="1">IFERROR(__xludf.DUMMYFUNCTION("""COMPUTED_VALUE"""),2)</f>
        <v>2</v>
      </c>
      <c r="K950" s="1" t="str">
        <f ca="1">IFERROR(__xludf.DUMMYFUNCTION("""COMPUTED_VALUE"""),"Fully Remote with Options to travel as and when needed")</f>
        <v>Fully Remote with Options to travel as and when needed</v>
      </c>
      <c r="L950" s="1" t="str">
        <f ca="1">IFERROR(__xludf.DUMMYFUNCTION("""COMPUTED_VALUE"""),"Employer who pushes your limits by enabling an learning environment, and rewards you at the end")</f>
        <v>Employer who pushes your limits by enabling an learning environment, and rewards you at the end</v>
      </c>
      <c r="M9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5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50" s="1" t="str">
        <f ca="1">IFERROR(__xludf.DUMMYFUNCTION("""COMPUTED_VALUE"""),"Manager who explains what is expected, sets a goal and helps achieve it")</f>
        <v>Manager who explains what is expected, sets a goal and helps achieve it</v>
      </c>
      <c r="P950" s="1" t="str">
        <f ca="1">IFERROR(__xludf.DUMMYFUNCTION("""COMPUTED_VALUE"""),"Work with 2 to 3 people in my team, Work with 5 to 6 people in my team")</f>
        <v>Work with 2 to 3 people in my team, Work with 5 to 6 people in my team</v>
      </c>
      <c r="Q950" s="1"/>
    </row>
    <row r="951" spans="1:17" ht="13.2" x14ac:dyDescent="0.25">
      <c r="A951" s="2">
        <f ca="1">IFERROR(__xludf.DUMMYFUNCTION("""COMPUTED_VALUE"""),45025.590613368)</f>
        <v>45025.590613367996</v>
      </c>
      <c r="B951" s="1" t="str">
        <f ca="1">IFERROR(__xludf.DUMMYFUNCTION("""COMPUTED_VALUE"""),"India")</f>
        <v>India</v>
      </c>
      <c r="C951" s="1">
        <f ca="1">IFERROR(__xludf.DUMMYFUNCTION("""COMPUTED_VALUE"""),442902)</f>
        <v>442902</v>
      </c>
      <c r="D951" s="3" t="str">
        <f ca="1">IFERROR(__xludf.DUMMYFUNCTION("""COMPUTED_VALUE"""),"Male")</f>
        <v>Male</v>
      </c>
      <c r="E951" s="1" t="str">
        <f ca="1">IFERROR(__xludf.DUMMYFUNCTION("""COMPUTED_VALUE"""),"My Parents")</f>
        <v>My Parents</v>
      </c>
      <c r="F951" s="1" t="str">
        <f ca="1">IFERROR(__xludf.DUMMYFUNCTION("""COMPUTED_VALUE"""),"Yes, I will earn and do that")</f>
        <v>Yes, I will earn and do that</v>
      </c>
      <c r="G951" s="1" t="str">
        <f ca="1">IFERROR(__xludf.DUMMYFUNCTION("""COMPUTED_VALUE"""),"No way")</f>
        <v>No way</v>
      </c>
      <c r="H951" s="1" t="str">
        <f ca="1">IFERROR(__xludf.DUMMYFUNCTION("""COMPUTED_VALUE"""),"No")</f>
        <v>No</v>
      </c>
      <c r="I951" s="1" t="str">
        <f ca="1">IFERROR(__xludf.DUMMYFUNCTION("""COMPUTED_VALUE"""),"Will NOT work for them")</f>
        <v>Will NOT work for them</v>
      </c>
      <c r="J951" s="1">
        <f ca="1">IFERROR(__xludf.DUMMYFUNCTION("""COMPUTED_VALUE"""),1)</f>
        <v>1</v>
      </c>
      <c r="K951" s="1" t="str">
        <f ca="1">IFERROR(__xludf.DUMMYFUNCTION("""COMPUTED_VALUE"""),"Fully Remote with Options to travel as and when needed")</f>
        <v>Fully Remote with Options to travel as and when needed</v>
      </c>
      <c r="L951" s="1" t="str">
        <f ca="1">IFERROR(__xludf.DUMMYFUNCTION("""COMPUTED_VALUE"""),"Employer who appreciates learning and enables that environment")</f>
        <v>Employer who appreciates learning and enables that environment</v>
      </c>
      <c r="M95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51"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951" s="1" t="str">
        <f ca="1">IFERROR(__xludf.DUMMYFUNCTION("""COMPUTED_VALUE"""),"Manager who sets unrealistic targets")</f>
        <v>Manager who sets unrealistic targets</v>
      </c>
      <c r="P951" s="1" t="str">
        <f ca="1">IFERROR(__xludf.DUMMYFUNCTION("""COMPUTED_VALUE"""),"Work with 2 to 3 people in my team, Work with 5 to 6 people in my team")</f>
        <v>Work with 2 to 3 people in my team, Work with 5 to 6 people in my team</v>
      </c>
      <c r="Q951" s="1"/>
    </row>
    <row r="952" spans="1:17" ht="13.2" x14ac:dyDescent="0.25">
      <c r="A952" s="2">
        <f ca="1">IFERROR(__xludf.DUMMYFUNCTION("""COMPUTED_VALUE"""),45025.5943978935)</f>
        <v>45025.594397893503</v>
      </c>
      <c r="B952" s="1" t="str">
        <f ca="1">IFERROR(__xludf.DUMMYFUNCTION("""COMPUTED_VALUE"""),"India")</f>
        <v>India</v>
      </c>
      <c r="C952" s="1">
        <f ca="1">IFERROR(__xludf.DUMMYFUNCTION("""COMPUTED_VALUE"""),442902)</f>
        <v>442902</v>
      </c>
      <c r="D952" s="3" t="str">
        <f ca="1">IFERROR(__xludf.DUMMYFUNCTION("""COMPUTED_VALUE"""),"Female")</f>
        <v>Female</v>
      </c>
      <c r="E952" s="1" t="str">
        <f ca="1">IFERROR(__xludf.DUMMYFUNCTION("""COMPUTED_VALUE"""),"Influencers who had successful careers")</f>
        <v>Influencers who had successful careers</v>
      </c>
      <c r="F952" s="1" t="str">
        <f ca="1">IFERROR(__xludf.DUMMYFUNCTION("""COMPUTED_VALUE"""),"No, But if someone could bare the cost I will")</f>
        <v>No, But if someone could bare the cost I will</v>
      </c>
      <c r="G952" s="1" t="str">
        <f ca="1">IFERROR(__xludf.DUMMYFUNCTION("""COMPUTED_VALUE"""),"This will be hard to do, but if it is the right company I would try")</f>
        <v>This will be hard to do, but if it is the right company I would try</v>
      </c>
      <c r="H952" s="1" t="str">
        <f ca="1">IFERROR(__xludf.DUMMYFUNCTION("""COMPUTED_VALUE"""),"Yes")</f>
        <v>Yes</v>
      </c>
      <c r="I952" s="1" t="str">
        <f ca="1">IFERROR(__xludf.DUMMYFUNCTION("""COMPUTED_VALUE"""),"Will work for them")</f>
        <v>Will work for them</v>
      </c>
      <c r="J952" s="1">
        <f ca="1">IFERROR(__xludf.DUMMYFUNCTION("""COMPUTED_VALUE"""),8)</f>
        <v>8</v>
      </c>
      <c r="K952" s="1" t="str">
        <f ca="1">IFERROR(__xludf.DUMMYFUNCTION("""COMPUTED_VALUE"""),"Fully Remote with Options to travel as and when needed")</f>
        <v>Fully Remote with Options to travel as and when needed</v>
      </c>
      <c r="L952" s="1" t="str">
        <f ca="1">IFERROR(__xludf.DUMMYFUNCTION("""COMPUTED_VALUE"""),"Employer who pushes your limits and doesn't enables learning environment and never rewards you")</f>
        <v>Employer who pushes your limits and doesn't enables learning environment and never rewards you</v>
      </c>
      <c r="M95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952" s="1" t="str">
        <f ca="1">IFERROR(__xludf.DUMMYFUNCTION("""COMPUTED_VALUE"""),"Build and develop a Team, Design and Develop amazing software, Look deeply into Data and generate insights, Work in a BPO setup for some well known client")</f>
        <v>Build and develop a Team, Design and Develop amazing software, Look deeply into Data and generate insights, Work in a BPO setup for some well known client</v>
      </c>
      <c r="O952" s="1" t="str">
        <f ca="1">IFERROR(__xludf.DUMMYFUNCTION("""COMPUTED_VALUE"""),"Manager who explains what is expected, sets a goal and helps achieve it")</f>
        <v>Manager who explains what is expected, sets a goal and helps achieve it</v>
      </c>
      <c r="P952" s="1" t="str">
        <f ca="1">IFERROR(__xludf.DUMMYFUNCTION("""COMPUTED_VALUE"""),"Work with 5 to 6 people in my team")</f>
        <v>Work with 5 to 6 people in my team</v>
      </c>
      <c r="Q952" s="1"/>
    </row>
    <row r="953" spans="1:17" ht="13.2" x14ac:dyDescent="0.25">
      <c r="A953" s="2">
        <f ca="1">IFERROR(__xludf.DUMMYFUNCTION("""COMPUTED_VALUE"""),45025.6355417939)</f>
        <v>45025.635541793898</v>
      </c>
      <c r="B953" s="1" t="str">
        <f ca="1">IFERROR(__xludf.DUMMYFUNCTION("""COMPUTED_VALUE"""),"India")</f>
        <v>India</v>
      </c>
      <c r="C953" s="1">
        <f ca="1">IFERROR(__xludf.DUMMYFUNCTION("""COMPUTED_VALUE"""),411902)</f>
        <v>411902</v>
      </c>
      <c r="D953" s="3" t="str">
        <f ca="1">IFERROR(__xludf.DUMMYFUNCTION("""COMPUTED_VALUE"""),"Male")</f>
        <v>Male</v>
      </c>
      <c r="E953" s="1" t="str">
        <f ca="1">IFERROR(__xludf.DUMMYFUNCTION("""COMPUTED_VALUE"""),"Influencers who had successful careers")</f>
        <v>Influencers who had successful careers</v>
      </c>
      <c r="F953" s="1" t="str">
        <f ca="1">IFERROR(__xludf.DUMMYFUNCTION("""COMPUTED_VALUE"""),"No I would not be pursuing Higher Education outside of India")</f>
        <v>No I would not be pursuing Higher Education outside of India</v>
      </c>
      <c r="G953" s="1" t="str">
        <f ca="1">IFERROR(__xludf.DUMMYFUNCTION("""COMPUTED_VALUE"""),"No way")</f>
        <v>No way</v>
      </c>
      <c r="H953" s="1" t="str">
        <f ca="1">IFERROR(__xludf.DUMMYFUNCTION("""COMPUTED_VALUE"""),"Yes")</f>
        <v>Yes</v>
      </c>
      <c r="I953" s="1" t="str">
        <f ca="1">IFERROR(__xludf.DUMMYFUNCTION("""COMPUTED_VALUE"""),"Will work for them")</f>
        <v>Will work for them</v>
      </c>
      <c r="J953" s="1">
        <f ca="1">IFERROR(__xludf.DUMMYFUNCTION("""COMPUTED_VALUE"""),5)</f>
        <v>5</v>
      </c>
      <c r="K953" s="1" t="str">
        <f ca="1">IFERROR(__xludf.DUMMYFUNCTION("""COMPUTED_VALUE"""),"Hybrid Working Environment with more than 15 days a month at office")</f>
        <v>Hybrid Working Environment with more than 15 days a month at office</v>
      </c>
      <c r="L953" s="1" t="str">
        <f ca="1">IFERROR(__xludf.DUMMYFUNCTION("""COMPUTED_VALUE"""),"Employer who pushes your limits by enabling an learning environment, and rewards you at the end")</f>
        <v>Employer who pushes your limits by enabling an learning environment, and rewards you at the end</v>
      </c>
      <c r="M9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5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953" s="1" t="str">
        <f ca="1">IFERROR(__xludf.DUMMYFUNCTION("""COMPUTED_VALUE"""),"Manager who sets goal and helps me achieve it")</f>
        <v>Manager who sets goal and helps me achieve it</v>
      </c>
      <c r="P953" s="1" t="str">
        <f ca="1">IFERROR(__xludf.DUMMYFUNCTION("""COMPUTED_VALUE"""),"Work with 5 to 6 people in my team")</f>
        <v>Work with 5 to 6 people in my team</v>
      </c>
      <c r="Q953" s="1"/>
    </row>
    <row r="954" spans="1:17" ht="13.2" x14ac:dyDescent="0.25">
      <c r="A954" s="2">
        <f ca="1">IFERROR(__xludf.DUMMYFUNCTION("""COMPUTED_VALUE"""),45025.6914381134)</f>
        <v>45025.691438113397</v>
      </c>
      <c r="B954" s="1" t="str">
        <f ca="1">IFERROR(__xludf.DUMMYFUNCTION("""COMPUTED_VALUE"""),"India")</f>
        <v>India</v>
      </c>
      <c r="C954" s="1">
        <f ca="1">IFERROR(__xludf.DUMMYFUNCTION("""COMPUTED_VALUE"""),224001)</f>
        <v>224001</v>
      </c>
      <c r="D954" s="3" t="str">
        <f ca="1">IFERROR(__xludf.DUMMYFUNCTION("""COMPUTED_VALUE"""),"Male")</f>
        <v>Male</v>
      </c>
      <c r="E954" s="1" t="str">
        <f ca="1">IFERROR(__xludf.DUMMYFUNCTION("""COMPUTED_VALUE"""),"My Parents")</f>
        <v>My Parents</v>
      </c>
      <c r="F954" s="1" t="str">
        <f ca="1">IFERROR(__xludf.DUMMYFUNCTION("""COMPUTED_VALUE"""),"Yes, I will earn and do that")</f>
        <v>Yes, I will earn and do that</v>
      </c>
      <c r="G954" s="1" t="str">
        <f ca="1">IFERROR(__xludf.DUMMYFUNCTION("""COMPUTED_VALUE"""),"Will work for 3 years or more")</f>
        <v>Will work for 3 years or more</v>
      </c>
      <c r="H954" s="1" t="str">
        <f ca="1">IFERROR(__xludf.DUMMYFUNCTION("""COMPUTED_VALUE"""),"Yes")</f>
        <v>Yes</v>
      </c>
      <c r="I954" s="1" t="str">
        <f ca="1">IFERROR(__xludf.DUMMYFUNCTION("""COMPUTED_VALUE"""),"Will work for them")</f>
        <v>Will work for them</v>
      </c>
      <c r="J954" s="1">
        <f ca="1">IFERROR(__xludf.DUMMYFUNCTION("""COMPUTED_VALUE"""),5)</f>
        <v>5</v>
      </c>
      <c r="K954" s="1" t="str">
        <f ca="1">IFERROR(__xludf.DUMMYFUNCTION("""COMPUTED_VALUE"""),"Fully Remote with Options to travel as and when needed")</f>
        <v>Fully Remote with Options to travel as and when needed</v>
      </c>
      <c r="L954" s="1" t="str">
        <f ca="1">IFERROR(__xludf.DUMMYFUNCTION("""COMPUTED_VALUE"""),"Employer who pushes your limits by enabling an learning environment, and rewards you at the end")</f>
        <v>Employer who pushes your limits by enabling an learning environment, and rewards you at the end</v>
      </c>
      <c r="M9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4" s="1" t="str">
        <f ca="1">IFERROR(__xludf.DUMMYFUNCTION("""COMPUTED_VALUE"""),"Teaching in any of the institutes/colleges/online or offline, Build and develop a Team, Work as a freelancer and do my thing my way, An Artificial Intelligence Specialist / Talking to Robots")</f>
        <v>Teaching in any of the institutes/colleges/online or offline, Build and develop a Team, Work as a freelancer and do my thing my way, An Artificial Intelligence Specialist / Talking to Robots</v>
      </c>
      <c r="O954" s="1" t="str">
        <f ca="1">IFERROR(__xludf.DUMMYFUNCTION("""COMPUTED_VALUE"""),"Manager who sets goal and helps me achieve it")</f>
        <v>Manager who sets goal and helps me achieve it</v>
      </c>
      <c r="P954" s="1" t="str">
        <f ca="1">IFERROR(__xludf.DUMMYFUNCTION("""COMPUTED_VALUE"""),"Work with 2 to 3 people in my team")</f>
        <v>Work with 2 to 3 people in my team</v>
      </c>
      <c r="Q954" s="1"/>
    </row>
    <row r="955" spans="1:17" ht="13.2" x14ac:dyDescent="0.25">
      <c r="A955" s="2">
        <f ca="1">IFERROR(__xludf.DUMMYFUNCTION("""COMPUTED_VALUE"""),45025.692882905)</f>
        <v>45025.692882905001</v>
      </c>
      <c r="B955" s="1" t="str">
        <f ca="1">IFERROR(__xludf.DUMMYFUNCTION("""COMPUTED_VALUE"""),"India")</f>
        <v>India</v>
      </c>
      <c r="C955" s="1">
        <f ca="1">IFERROR(__xludf.DUMMYFUNCTION("""COMPUTED_VALUE"""),201009)</f>
        <v>201009</v>
      </c>
      <c r="D955" s="3" t="str">
        <f ca="1">IFERROR(__xludf.DUMMYFUNCTION("""COMPUTED_VALUE"""),"Female")</f>
        <v>Female</v>
      </c>
      <c r="E955" s="1" t="str">
        <f ca="1">IFERROR(__xludf.DUMMYFUNCTION("""COMPUTED_VALUE"""),"My Parents")</f>
        <v>My Parents</v>
      </c>
      <c r="F955" s="1" t="str">
        <f ca="1">IFERROR(__xludf.DUMMYFUNCTION("""COMPUTED_VALUE"""),"Yes, I will earn and do that")</f>
        <v>Yes, I will earn and do that</v>
      </c>
      <c r="G955" s="1" t="str">
        <f ca="1">IFERROR(__xludf.DUMMYFUNCTION("""COMPUTED_VALUE"""),"Will work for 3 years or more")</f>
        <v>Will work for 3 years or more</v>
      </c>
      <c r="H955" s="1" t="str">
        <f ca="1">IFERROR(__xludf.DUMMYFUNCTION("""COMPUTED_VALUE"""),"No")</f>
        <v>No</v>
      </c>
      <c r="I955" s="1" t="str">
        <f ca="1">IFERROR(__xludf.DUMMYFUNCTION("""COMPUTED_VALUE"""),"Will work for them")</f>
        <v>Will work for them</v>
      </c>
      <c r="J955" s="1">
        <f ca="1">IFERROR(__xludf.DUMMYFUNCTION("""COMPUTED_VALUE"""),10)</f>
        <v>10</v>
      </c>
      <c r="K955" s="1" t="str">
        <f ca="1">IFERROR(__xludf.DUMMYFUNCTION("""COMPUTED_VALUE"""),"Every Day Office Environment")</f>
        <v>Every Day Office Environment</v>
      </c>
      <c r="L955" s="1" t="str">
        <f ca="1">IFERROR(__xludf.DUMMYFUNCTION("""COMPUTED_VALUE"""),"Employer who appreciates learning and enables that environment")</f>
        <v>Employer who appreciates learning and enables that environment</v>
      </c>
      <c r="M95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55" s="1" t="str">
        <f ca="1">IFERROR(__xludf.DUMMYFUNCTION("""COMPUTED_VALUE"""),"Manager who clearly describes what she/he needs")</f>
        <v>Manager who clearly describes what she/he needs</v>
      </c>
      <c r="P955" s="1" t="str">
        <f ca="1">IFERROR(__xludf.DUMMYFUNCTION("""COMPUTED_VALUE"""),"Work with more than 10 people in my team")</f>
        <v>Work with more than 10 people in my team</v>
      </c>
      <c r="Q955" s="1"/>
    </row>
    <row r="956" spans="1:17" ht="13.2" x14ac:dyDescent="0.25">
      <c r="A956" s="2">
        <f ca="1">IFERROR(__xludf.DUMMYFUNCTION("""COMPUTED_VALUE"""),45025.6931861689)</f>
        <v>45025.693186168901</v>
      </c>
      <c r="B956" s="1" t="str">
        <f ca="1">IFERROR(__xludf.DUMMYFUNCTION("""COMPUTED_VALUE"""),"India")</f>
        <v>India</v>
      </c>
      <c r="C956" s="1">
        <f ca="1">IFERROR(__xludf.DUMMYFUNCTION("""COMPUTED_VALUE"""),224001)</f>
        <v>224001</v>
      </c>
      <c r="D956" s="3" t="str">
        <f ca="1">IFERROR(__xludf.DUMMYFUNCTION("""COMPUTED_VALUE"""),"Female")</f>
        <v>Female</v>
      </c>
      <c r="E956" s="1" t="str">
        <f ca="1">IFERROR(__xludf.DUMMYFUNCTION("""COMPUTED_VALUE"""),"People from my circle, but not family members")</f>
        <v>People from my circle, but not family members</v>
      </c>
      <c r="F956" s="1" t="str">
        <f ca="1">IFERROR(__xludf.DUMMYFUNCTION("""COMPUTED_VALUE"""),"Yes, I will earn and do that")</f>
        <v>Yes, I will earn and do that</v>
      </c>
      <c r="G956" s="1" t="str">
        <f ca="1">IFERROR(__xludf.DUMMYFUNCTION("""COMPUTED_VALUE"""),"Will work for 3 years or more")</f>
        <v>Will work for 3 years or more</v>
      </c>
      <c r="H956" s="1" t="str">
        <f ca="1">IFERROR(__xludf.DUMMYFUNCTION("""COMPUTED_VALUE"""),"No")</f>
        <v>No</v>
      </c>
      <c r="I956" s="1" t="str">
        <f ca="1">IFERROR(__xludf.DUMMYFUNCTION("""COMPUTED_VALUE"""),"Will work for them")</f>
        <v>Will work for them</v>
      </c>
      <c r="J956" s="1">
        <f ca="1">IFERROR(__xludf.DUMMYFUNCTION("""COMPUTED_VALUE"""),3)</f>
        <v>3</v>
      </c>
      <c r="K956" s="1" t="str">
        <f ca="1">IFERROR(__xludf.DUMMYFUNCTION("""COMPUTED_VALUE"""),"Every Day Office Environment")</f>
        <v>Every Day Office Environment</v>
      </c>
      <c r="L956" s="1" t="str">
        <f ca="1">IFERROR(__xludf.DUMMYFUNCTION("""COMPUTED_VALUE"""),"Employer who appreciates learning and enables that environment")</f>
        <v>Employer who appreciates learning and enables that environment</v>
      </c>
      <c r="M95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5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56" s="1" t="str">
        <f ca="1">IFERROR(__xludf.DUMMYFUNCTION("""COMPUTED_VALUE"""),"Manager who sets targets and expects me to achieve it")</f>
        <v>Manager who sets targets and expects me to achieve it</v>
      </c>
      <c r="P956" s="1" t="str">
        <f ca="1">IFERROR(__xludf.DUMMYFUNCTION("""COMPUTED_VALUE"""),"Work with 2 to 3 people in my team, Work with 5 to 6 people in my team")</f>
        <v>Work with 2 to 3 people in my team, Work with 5 to 6 people in my team</v>
      </c>
      <c r="Q956" s="1"/>
    </row>
    <row r="957" spans="1:17" ht="13.2" x14ac:dyDescent="0.25">
      <c r="A957" s="2">
        <f ca="1">IFERROR(__xludf.DUMMYFUNCTION("""COMPUTED_VALUE"""),45025.6945456828)</f>
        <v>45025.694545682803</v>
      </c>
      <c r="B957" s="1" t="str">
        <f ca="1">IFERROR(__xludf.DUMMYFUNCTION("""COMPUTED_VALUE"""),"India")</f>
        <v>India</v>
      </c>
      <c r="C957" s="1">
        <f ca="1">IFERROR(__xludf.DUMMYFUNCTION("""COMPUTED_VALUE"""),122002)</f>
        <v>122002</v>
      </c>
      <c r="D957" s="3" t="str">
        <f ca="1">IFERROR(__xludf.DUMMYFUNCTION("""COMPUTED_VALUE"""),"Male")</f>
        <v>Male</v>
      </c>
      <c r="E957" s="1" t="str">
        <f ca="1">IFERROR(__xludf.DUMMYFUNCTION("""COMPUTED_VALUE"""),"My Parents")</f>
        <v>My Parents</v>
      </c>
      <c r="F957" s="1" t="str">
        <f ca="1">IFERROR(__xludf.DUMMYFUNCTION("""COMPUTED_VALUE"""),"Yes, I will earn and do that")</f>
        <v>Yes, I will earn and do that</v>
      </c>
      <c r="G957" s="1" t="str">
        <f ca="1">IFERROR(__xludf.DUMMYFUNCTION("""COMPUTED_VALUE"""),"This will be hard to do, but if it is the right company I would try")</f>
        <v>This will be hard to do, but if it is the right company I would try</v>
      </c>
      <c r="H957" s="1" t="str">
        <f ca="1">IFERROR(__xludf.DUMMYFUNCTION("""COMPUTED_VALUE"""),"No")</f>
        <v>No</v>
      </c>
      <c r="I957" s="1" t="str">
        <f ca="1">IFERROR(__xludf.DUMMYFUNCTION("""COMPUTED_VALUE"""),"Will NOT work for them")</f>
        <v>Will NOT work for them</v>
      </c>
      <c r="J957" s="1">
        <f ca="1">IFERROR(__xludf.DUMMYFUNCTION("""COMPUTED_VALUE"""),3)</f>
        <v>3</v>
      </c>
      <c r="K957" s="1" t="str">
        <f ca="1">IFERROR(__xludf.DUMMYFUNCTION("""COMPUTED_VALUE"""),"Hybrid Working Environment with less than 3 days a month at office")</f>
        <v>Hybrid Working Environment with less than 3 days a month at office</v>
      </c>
      <c r="L957" s="1" t="str">
        <f ca="1">IFERROR(__xludf.DUMMYFUNCTION("""COMPUTED_VALUE"""),"Employer who pushes your limits by enabling an learning environment, and rewards you at the end")</f>
        <v>Employer who pushes your limits by enabling an learning environment, and rewards you at the end</v>
      </c>
      <c r="M95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7"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57" s="1" t="str">
        <f ca="1">IFERROR(__xludf.DUMMYFUNCTION("""COMPUTED_VALUE"""),"Manager who explains what is expected, sets a goal and helps achieve it")</f>
        <v>Manager who explains what is expected, sets a goal and helps achieve it</v>
      </c>
      <c r="P957" s="1" t="str">
        <f ca="1">IFERROR(__xludf.DUMMYFUNCTION("""COMPUTED_VALUE"""),"Work with 7 to 10 or more people in my team")</f>
        <v>Work with 7 to 10 or more people in my team</v>
      </c>
      <c r="Q957" s="1"/>
    </row>
    <row r="958" spans="1:17" ht="13.2" x14ac:dyDescent="0.25">
      <c r="A958" s="2">
        <f ca="1">IFERROR(__xludf.DUMMYFUNCTION("""COMPUTED_VALUE"""),45025.6962868055)</f>
        <v>45025.696286805498</v>
      </c>
      <c r="B958" s="1" t="str">
        <f ca="1">IFERROR(__xludf.DUMMYFUNCTION("""COMPUTED_VALUE"""),"India")</f>
        <v>India</v>
      </c>
      <c r="C958" s="1">
        <f ca="1">IFERROR(__xludf.DUMMYFUNCTION("""COMPUTED_VALUE"""),201310)</f>
        <v>201310</v>
      </c>
      <c r="D958" s="3" t="str">
        <f ca="1">IFERROR(__xludf.DUMMYFUNCTION("""COMPUTED_VALUE"""),"Male")</f>
        <v>Male</v>
      </c>
      <c r="E958" s="1" t="str">
        <f ca="1">IFERROR(__xludf.DUMMYFUNCTION("""COMPUTED_VALUE"""),"People who have changed the world for better")</f>
        <v>People who have changed the world for better</v>
      </c>
      <c r="F958" s="1" t="str">
        <f ca="1">IFERROR(__xludf.DUMMYFUNCTION("""COMPUTED_VALUE"""),"No, But if someone could bare the cost I will")</f>
        <v>No, But if someone could bare the cost I will</v>
      </c>
      <c r="G958" s="1" t="str">
        <f ca="1">IFERROR(__xludf.DUMMYFUNCTION("""COMPUTED_VALUE"""),"Will work for 3 years or more")</f>
        <v>Will work for 3 years or more</v>
      </c>
      <c r="H958" s="1" t="str">
        <f ca="1">IFERROR(__xludf.DUMMYFUNCTION("""COMPUTED_VALUE"""),"No")</f>
        <v>No</v>
      </c>
      <c r="I958" s="1" t="str">
        <f ca="1">IFERROR(__xludf.DUMMYFUNCTION("""COMPUTED_VALUE"""),"Will NOT work for them")</f>
        <v>Will NOT work for them</v>
      </c>
      <c r="J958" s="1">
        <f ca="1">IFERROR(__xludf.DUMMYFUNCTION("""COMPUTED_VALUE"""),5)</f>
        <v>5</v>
      </c>
      <c r="K958" s="1" t="str">
        <f ca="1">IFERROR(__xludf.DUMMYFUNCTION("""COMPUTED_VALUE"""),"Fully Remote with Options to travel as and when needed")</f>
        <v>Fully Remote with Options to travel as and when needed</v>
      </c>
      <c r="L958" s="1" t="str">
        <f ca="1">IFERROR(__xludf.DUMMYFUNCTION("""COMPUTED_VALUE"""),"Employer who rewards learning and enables that environment")</f>
        <v>Employer who rewards learning and enables that environment</v>
      </c>
      <c r="M95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58" s="1" t="str">
        <f ca="1">IFERROR(__xludf.DUMMYFUNCTION("""COMPUTED_VALUE"""),"Design and Creative strategy in any company, Manage and drive End-to-End Projects or Products, Design and Develop amazing software, Entrepreneur or Start Up")</f>
        <v>Design and Creative strategy in any company, Manage and drive End-to-End Projects or Products, Design and Develop amazing software, Entrepreneur or Start Up</v>
      </c>
      <c r="O958" s="1" t="str">
        <f ca="1">IFERROR(__xludf.DUMMYFUNCTION("""COMPUTED_VALUE"""),"Manager who explains what is expected, sets a goal and helps achieve it")</f>
        <v>Manager who explains what is expected, sets a goal and helps achieve it</v>
      </c>
      <c r="P958" s="1" t="str">
        <f ca="1">IFERROR(__xludf.DUMMYFUNCTION("""COMPUTED_VALUE"""),"Work with 7 to 10 or more people in my team")</f>
        <v>Work with 7 to 10 or more people in my team</v>
      </c>
      <c r="Q958" s="1"/>
    </row>
    <row r="959" spans="1:17" ht="13.2" x14ac:dyDescent="0.25">
      <c r="A959" s="2">
        <f ca="1">IFERROR(__xludf.DUMMYFUNCTION("""COMPUTED_VALUE"""),45025.7151838078)</f>
        <v>45025.715183807799</v>
      </c>
      <c r="B959" s="1" t="str">
        <f ca="1">IFERROR(__xludf.DUMMYFUNCTION("""COMPUTED_VALUE"""),"India")</f>
        <v>India</v>
      </c>
      <c r="C959" s="1">
        <f ca="1">IFERROR(__xludf.DUMMYFUNCTION("""COMPUTED_VALUE"""),110096)</f>
        <v>110096</v>
      </c>
      <c r="D959" s="3" t="str">
        <f ca="1">IFERROR(__xludf.DUMMYFUNCTION("""COMPUTED_VALUE"""),"Male")</f>
        <v>Male</v>
      </c>
      <c r="E959" s="1" t="str">
        <f ca="1">IFERROR(__xludf.DUMMYFUNCTION("""COMPUTED_VALUE"""),"People from my circle, but not family members")</f>
        <v>People from my circle, but not family members</v>
      </c>
      <c r="F959" s="1" t="str">
        <f ca="1">IFERROR(__xludf.DUMMYFUNCTION("""COMPUTED_VALUE"""),"No I would not be pursuing Higher Education outside of India")</f>
        <v>No I would not be pursuing Higher Education outside of India</v>
      </c>
      <c r="G959" s="1" t="str">
        <f ca="1">IFERROR(__xludf.DUMMYFUNCTION("""COMPUTED_VALUE"""),"Will work for 3 years or more")</f>
        <v>Will work for 3 years or more</v>
      </c>
      <c r="H959" s="1" t="str">
        <f ca="1">IFERROR(__xludf.DUMMYFUNCTION("""COMPUTED_VALUE"""),"No")</f>
        <v>No</v>
      </c>
      <c r="I959" s="1" t="str">
        <f ca="1">IFERROR(__xludf.DUMMYFUNCTION("""COMPUTED_VALUE"""),"Will NOT work for them")</f>
        <v>Will NOT work for them</v>
      </c>
      <c r="J959" s="1">
        <f ca="1">IFERROR(__xludf.DUMMYFUNCTION("""COMPUTED_VALUE"""),5)</f>
        <v>5</v>
      </c>
      <c r="K959" s="1" t="str">
        <f ca="1">IFERROR(__xludf.DUMMYFUNCTION("""COMPUTED_VALUE"""),"Hybrid Working Environment with more than 15 days a month at office")</f>
        <v>Hybrid Working Environment with more than 15 days a month at office</v>
      </c>
      <c r="L959" s="1" t="str">
        <f ca="1">IFERROR(__xludf.DUMMYFUNCTION("""COMPUTED_VALUE"""),"Employer who pushes your limits by enabling an learning environment, and rewards you at the end")</f>
        <v>Employer who pushes your limits by enabling an learning environment, and rewards you at the end</v>
      </c>
      <c r="M9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59"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59" s="1" t="str">
        <f ca="1">IFERROR(__xludf.DUMMYFUNCTION("""COMPUTED_VALUE"""),"Manager who explains what is expected, sets a goal and helps achieve it")</f>
        <v>Manager who explains what is expected, sets a goal and helps achieve it</v>
      </c>
      <c r="P959" s="1" t="str">
        <f ca="1">IFERROR(__xludf.DUMMYFUNCTION("""COMPUTED_VALUE"""),"Work with 2 to 3 people in my team, Work with 5 to 6 people in my team")</f>
        <v>Work with 2 to 3 people in my team, Work with 5 to 6 people in my team</v>
      </c>
      <c r="Q959" s="1"/>
    </row>
    <row r="960" spans="1:17" ht="13.2" x14ac:dyDescent="0.25">
      <c r="A960" s="2">
        <f ca="1">IFERROR(__xludf.DUMMYFUNCTION("""COMPUTED_VALUE"""),45025.7212469791)</f>
        <v>45025.721246979097</v>
      </c>
      <c r="B960" s="1" t="str">
        <f ca="1">IFERROR(__xludf.DUMMYFUNCTION("""COMPUTED_VALUE"""),"India")</f>
        <v>India</v>
      </c>
      <c r="C960" s="1">
        <f ca="1">IFERROR(__xludf.DUMMYFUNCTION("""COMPUTED_VALUE"""),421306)</f>
        <v>421306</v>
      </c>
      <c r="D960" s="3" t="str">
        <f ca="1">IFERROR(__xludf.DUMMYFUNCTION("""COMPUTED_VALUE"""),"Female")</f>
        <v>Female</v>
      </c>
      <c r="E960" s="1" t="str">
        <f ca="1">IFERROR(__xludf.DUMMYFUNCTION("""COMPUTED_VALUE"""),"My Parents")</f>
        <v>My Parents</v>
      </c>
      <c r="F960" s="1" t="str">
        <f ca="1">IFERROR(__xludf.DUMMYFUNCTION("""COMPUTED_VALUE"""),"Yes, I will earn and do that")</f>
        <v>Yes, I will earn and do that</v>
      </c>
      <c r="G960" s="1" t="str">
        <f ca="1">IFERROR(__xludf.DUMMYFUNCTION("""COMPUTED_VALUE"""),"This will be hard to do, but if it is the right company I would try")</f>
        <v>This will be hard to do, but if it is the right company I would try</v>
      </c>
      <c r="H960" s="1" t="str">
        <f ca="1">IFERROR(__xludf.DUMMYFUNCTION("""COMPUTED_VALUE"""),"No")</f>
        <v>No</v>
      </c>
      <c r="I960" s="1" t="str">
        <f ca="1">IFERROR(__xludf.DUMMYFUNCTION("""COMPUTED_VALUE"""),"Will NOT work for them")</f>
        <v>Will NOT work for them</v>
      </c>
      <c r="J960" s="1">
        <f ca="1">IFERROR(__xludf.DUMMYFUNCTION("""COMPUTED_VALUE"""),8)</f>
        <v>8</v>
      </c>
      <c r="K960" s="1" t="str">
        <f ca="1">IFERROR(__xludf.DUMMYFUNCTION("""COMPUTED_VALUE"""),"Fully Remote with Options to travel as and when needed")</f>
        <v>Fully Remote with Options to travel as and when needed</v>
      </c>
      <c r="L960" s="1" t="str">
        <f ca="1">IFERROR(__xludf.DUMMYFUNCTION("""COMPUTED_VALUE"""),"Employer who appreciates learning and enables that environment")</f>
        <v>Employer who appreciates learning and enables that environment</v>
      </c>
      <c r="M96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60"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960" s="1" t="str">
        <f ca="1">IFERROR(__xludf.DUMMYFUNCTION("""COMPUTED_VALUE"""),"Manager who explains what is expected, sets a goal and helps achieve it")</f>
        <v>Manager who explains what is expected, sets a goal and helps achieve it</v>
      </c>
      <c r="P960" s="1" t="str">
        <f ca="1">IFERROR(__xludf.DUMMYFUNCTION("""COMPUTED_VALUE"""),"Work with more than 10 people in my team")</f>
        <v>Work with more than 10 people in my team</v>
      </c>
      <c r="Q960" s="1"/>
    </row>
    <row r="961" spans="1:17" ht="13.2" x14ac:dyDescent="0.25">
      <c r="A961" s="2">
        <f ca="1">IFERROR(__xludf.DUMMYFUNCTION("""COMPUTED_VALUE"""),45025.7274051273)</f>
        <v>45025.727405127298</v>
      </c>
      <c r="B961" s="1" t="str">
        <f ca="1">IFERROR(__xludf.DUMMYFUNCTION("""COMPUTED_VALUE"""),"India")</f>
        <v>India</v>
      </c>
      <c r="C961" s="1">
        <f ca="1">IFERROR(__xludf.DUMMYFUNCTION("""COMPUTED_VALUE"""),247667)</f>
        <v>247667</v>
      </c>
      <c r="D961" s="3" t="str">
        <f ca="1">IFERROR(__xludf.DUMMYFUNCTION("""COMPUTED_VALUE"""),"Male")</f>
        <v>Male</v>
      </c>
      <c r="E961" s="1" t="str">
        <f ca="1">IFERROR(__xludf.DUMMYFUNCTION("""COMPUTED_VALUE"""),"People from my circle, but not family members")</f>
        <v>People from my circle, but not family members</v>
      </c>
      <c r="F961" s="1" t="str">
        <f ca="1">IFERROR(__xludf.DUMMYFUNCTION("""COMPUTED_VALUE"""),"No I would not be pursuing Higher Education outside of India")</f>
        <v>No I would not be pursuing Higher Education outside of India</v>
      </c>
      <c r="G961" s="1" t="str">
        <f ca="1">IFERROR(__xludf.DUMMYFUNCTION("""COMPUTED_VALUE"""),"Will work for 3 years or more")</f>
        <v>Will work for 3 years or more</v>
      </c>
      <c r="H961" s="1" t="str">
        <f ca="1">IFERROR(__xludf.DUMMYFUNCTION("""COMPUTED_VALUE"""),"No")</f>
        <v>No</v>
      </c>
      <c r="I961" s="1" t="str">
        <f ca="1">IFERROR(__xludf.DUMMYFUNCTION("""COMPUTED_VALUE"""),"Will work for them")</f>
        <v>Will work for them</v>
      </c>
      <c r="J961" s="1">
        <f ca="1">IFERROR(__xludf.DUMMYFUNCTION("""COMPUTED_VALUE"""),1)</f>
        <v>1</v>
      </c>
      <c r="K961" s="1" t="str">
        <f ca="1">IFERROR(__xludf.DUMMYFUNCTION("""COMPUTED_VALUE"""),"Every Day Office Environment")</f>
        <v>Every Day Office Environment</v>
      </c>
      <c r="L961" s="1" t="str">
        <f ca="1">IFERROR(__xludf.DUMMYFUNCTION("""COMPUTED_VALUE"""),"Employer who rewards learning and enables that environment")</f>
        <v>Employer who rewards learning and enables that environment</v>
      </c>
      <c r="M9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61" s="1" t="str">
        <f ca="1">IFERROR(__xludf.DUMMYFUNCTION("""COMPUTED_VALUE"""),"Manager who sets targets and expects me to achieve it")</f>
        <v>Manager who sets targets and expects me to achieve it</v>
      </c>
      <c r="P961" s="1" t="str">
        <f ca="1">IFERROR(__xludf.DUMMYFUNCTION("""COMPUTED_VALUE"""),"Work alone")</f>
        <v>Work alone</v>
      </c>
      <c r="Q961" s="1"/>
    </row>
    <row r="962" spans="1:17" ht="13.2" x14ac:dyDescent="0.25">
      <c r="A962" s="2">
        <f ca="1">IFERROR(__xludf.DUMMYFUNCTION("""COMPUTED_VALUE"""),45025.7450209374)</f>
        <v>45025.7450209374</v>
      </c>
      <c r="B962" s="1" t="str">
        <f ca="1">IFERROR(__xludf.DUMMYFUNCTION("""COMPUTED_VALUE"""),"India")</f>
        <v>India</v>
      </c>
      <c r="C962" s="1">
        <f ca="1">IFERROR(__xludf.DUMMYFUNCTION("""COMPUTED_VALUE"""),250002)</f>
        <v>250002</v>
      </c>
      <c r="D962" s="3" t="str">
        <f ca="1">IFERROR(__xludf.DUMMYFUNCTION("""COMPUTED_VALUE"""),"Male")</f>
        <v>Male</v>
      </c>
      <c r="E962" s="1" t="str">
        <f ca="1">IFERROR(__xludf.DUMMYFUNCTION("""COMPUTED_VALUE"""),"People who have changed the world for better")</f>
        <v>People who have changed the world for better</v>
      </c>
      <c r="F962" s="1" t="str">
        <f ca="1">IFERROR(__xludf.DUMMYFUNCTION("""COMPUTED_VALUE"""),"No, But if someone could bare the cost I will")</f>
        <v>No, But if someone could bare the cost I will</v>
      </c>
      <c r="G962" s="1" t="str">
        <f ca="1">IFERROR(__xludf.DUMMYFUNCTION("""COMPUTED_VALUE"""),"This will be hard to do, but if it is the right company I would try")</f>
        <v>This will be hard to do, but if it is the right company I would try</v>
      </c>
      <c r="H962" s="1" t="str">
        <f ca="1">IFERROR(__xludf.DUMMYFUNCTION("""COMPUTED_VALUE"""),"No")</f>
        <v>No</v>
      </c>
      <c r="I962" s="1" t="str">
        <f ca="1">IFERROR(__xludf.DUMMYFUNCTION("""COMPUTED_VALUE"""),"Will NOT work for them")</f>
        <v>Will NOT work for them</v>
      </c>
      <c r="J962" s="1">
        <f ca="1">IFERROR(__xludf.DUMMYFUNCTION("""COMPUTED_VALUE"""),9)</f>
        <v>9</v>
      </c>
      <c r="K962" s="1" t="str">
        <f ca="1">IFERROR(__xludf.DUMMYFUNCTION("""COMPUTED_VALUE"""),"Hybrid Working Environment with more than 15 days a month at office")</f>
        <v>Hybrid Working Environment with more than 15 days a month at office</v>
      </c>
      <c r="L962" s="1" t="str">
        <f ca="1">IFERROR(__xludf.DUMMYFUNCTION("""COMPUTED_VALUE"""),"Employer who pushes your limits by enabling an learning environment, and rewards you at the end")</f>
        <v>Employer who pushes your limits by enabling an learning environment, and rewards you at the end</v>
      </c>
      <c r="M96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62"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62" s="1" t="str">
        <f ca="1">IFERROR(__xludf.DUMMYFUNCTION("""COMPUTED_VALUE"""),"Manager who explains what is expected, sets a goal and helps achieve it")</f>
        <v>Manager who explains what is expected, sets a goal and helps achieve it</v>
      </c>
      <c r="P962"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962" s="1"/>
    </row>
    <row r="963" spans="1:17" ht="13.2" x14ac:dyDescent="0.25">
      <c r="A963" s="2">
        <f ca="1">IFERROR(__xludf.DUMMYFUNCTION("""COMPUTED_VALUE"""),45025.7670136342)</f>
        <v>45025.767013634199</v>
      </c>
      <c r="B963" s="1" t="str">
        <f ca="1">IFERROR(__xludf.DUMMYFUNCTION("""COMPUTED_VALUE"""),"India")</f>
        <v>India</v>
      </c>
      <c r="C963" s="1">
        <f ca="1">IFERROR(__xludf.DUMMYFUNCTION("""COMPUTED_VALUE"""),500032)</f>
        <v>500032</v>
      </c>
      <c r="D963" s="3" t="str">
        <f ca="1">IFERROR(__xludf.DUMMYFUNCTION("""COMPUTED_VALUE"""),"Male")</f>
        <v>Male</v>
      </c>
      <c r="E963" s="1" t="str">
        <f ca="1">IFERROR(__xludf.DUMMYFUNCTION("""COMPUTED_VALUE"""),"People from my circle, but not family members")</f>
        <v>People from my circle, but not family members</v>
      </c>
      <c r="F963" s="1" t="str">
        <f ca="1">IFERROR(__xludf.DUMMYFUNCTION("""COMPUTED_VALUE"""),"Yes, I will earn and do that")</f>
        <v>Yes, I will earn and do that</v>
      </c>
      <c r="G963" s="1" t="str">
        <f ca="1">IFERROR(__xludf.DUMMYFUNCTION("""COMPUTED_VALUE"""),"This will be hard to do, but if it is the right company I would try")</f>
        <v>This will be hard to do, but if it is the right company I would try</v>
      </c>
      <c r="H963" s="1" t="str">
        <f ca="1">IFERROR(__xludf.DUMMYFUNCTION("""COMPUTED_VALUE"""),"No")</f>
        <v>No</v>
      </c>
      <c r="I963" s="1" t="str">
        <f ca="1">IFERROR(__xludf.DUMMYFUNCTION("""COMPUTED_VALUE"""),"Will NOT work for them")</f>
        <v>Will NOT work for them</v>
      </c>
      <c r="J963" s="1">
        <f ca="1">IFERROR(__xludf.DUMMYFUNCTION("""COMPUTED_VALUE"""),1)</f>
        <v>1</v>
      </c>
      <c r="K963" s="1" t="str">
        <f ca="1">IFERROR(__xludf.DUMMYFUNCTION("""COMPUTED_VALUE"""),"Hybrid Working Environment with less than 3 days a month at office")</f>
        <v>Hybrid Working Environment with less than 3 days a month at office</v>
      </c>
      <c r="L963" s="1" t="str">
        <f ca="1">IFERROR(__xludf.DUMMYFUNCTION("""COMPUTED_VALUE"""),"Employer who pushes your limits by enabling an learning environment, and rewards you at the end")</f>
        <v>Employer who pushes your limits by enabling an learning environment, and rewards you at the end</v>
      </c>
      <c r="M96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63" s="1" t="str">
        <f ca="1">IFERROR(__xludf.DUMMYFUNCTION("""COMPUTED_VALUE"""),"Manage and drive End-to-End Projects or Products, Design and Develop amazing software, Work as a freelancer and do my thing my way, An Artificial Intelligence Specialist / Talking to Robots")</f>
        <v>Manage and drive End-to-End Projects or Products, Design and Develop amazing software, Work as a freelancer and do my thing my way, An Artificial Intelligence Specialist / Talking to Robots</v>
      </c>
      <c r="O963" s="1" t="str">
        <f ca="1">IFERROR(__xludf.DUMMYFUNCTION("""COMPUTED_VALUE"""),"Manager who explains what is expected, sets a goal and helps achieve it")</f>
        <v>Manager who explains what is expected, sets a goal and helps achieve it</v>
      </c>
      <c r="P963" s="1" t="str">
        <f ca="1">IFERROR(__xludf.DUMMYFUNCTION("""COMPUTED_VALUE"""),"Work with 2 to 3 people in my team")</f>
        <v>Work with 2 to 3 people in my team</v>
      </c>
      <c r="Q963" s="1"/>
    </row>
    <row r="964" spans="1:17" ht="13.2" x14ac:dyDescent="0.25">
      <c r="A964" s="2">
        <f ca="1">IFERROR(__xludf.DUMMYFUNCTION("""COMPUTED_VALUE"""),45025.8070714583)</f>
        <v>45025.807071458301</v>
      </c>
      <c r="B964" s="1" t="str">
        <f ca="1">IFERROR(__xludf.DUMMYFUNCTION("""COMPUTED_VALUE"""),"India")</f>
        <v>India</v>
      </c>
      <c r="C964" s="1">
        <f ca="1">IFERROR(__xludf.DUMMYFUNCTION("""COMPUTED_VALUE"""),600042)</f>
        <v>600042</v>
      </c>
      <c r="D964" s="3" t="str">
        <f ca="1">IFERROR(__xludf.DUMMYFUNCTION("""COMPUTED_VALUE"""),"Male")</f>
        <v>Male</v>
      </c>
      <c r="E964" s="1" t="str">
        <f ca="1">IFERROR(__xludf.DUMMYFUNCTION("""COMPUTED_VALUE"""),"People who have changed the world for better")</f>
        <v>People who have changed the world for better</v>
      </c>
      <c r="F964" s="1" t="str">
        <f ca="1">IFERROR(__xludf.DUMMYFUNCTION("""COMPUTED_VALUE"""),"Yes, I will earn and do that")</f>
        <v>Yes, I will earn and do that</v>
      </c>
      <c r="G964" s="1" t="str">
        <f ca="1">IFERROR(__xludf.DUMMYFUNCTION("""COMPUTED_VALUE"""),"This will be hard to do, but if it is the right company I would try")</f>
        <v>This will be hard to do, but if it is the right company I would try</v>
      </c>
      <c r="H964" s="1" t="str">
        <f ca="1">IFERROR(__xludf.DUMMYFUNCTION("""COMPUTED_VALUE"""),"Yes")</f>
        <v>Yes</v>
      </c>
      <c r="I964" s="1" t="str">
        <f ca="1">IFERROR(__xludf.DUMMYFUNCTION("""COMPUTED_VALUE"""),"Will NOT work for them")</f>
        <v>Will NOT work for them</v>
      </c>
      <c r="J964" s="1">
        <f ca="1">IFERROR(__xludf.DUMMYFUNCTION("""COMPUTED_VALUE"""),4)</f>
        <v>4</v>
      </c>
      <c r="K964" s="1" t="str">
        <f ca="1">IFERROR(__xludf.DUMMYFUNCTION("""COMPUTED_VALUE"""),"Hybrid Working Environment with more than 15 days a month at office")</f>
        <v>Hybrid Working Environment with more than 15 days a month at office</v>
      </c>
      <c r="L964" s="1" t="str">
        <f ca="1">IFERROR(__xludf.DUMMYFUNCTION("""COMPUTED_VALUE"""),"Employer who pushes your limits by enabling an learning environment, and rewards you at the end")</f>
        <v>Employer who pushes your limits by enabling an learning environment, and rewards you at the end</v>
      </c>
      <c r="M964" s="1" t="str">
        <f ca="1">IFERROR(__xludf.DUMMYFUNCTION("""COMPUTED_VALUE"""),"Learning by observing others, Self Purchased Course from External Platforms, Manager Teaching you")</f>
        <v>Learning by observing others, Self Purchased Course from External Platforms, Manager Teaching you</v>
      </c>
      <c r="N964" s="1" t="str">
        <f ca="1">IFERROR(__xludf.DUMMYFUNCTION("""COMPUTED_VALUE"""),"Manage and drive End-to-End Projects or Products, Build and develop a Team, Entrepreneur or Start Up, An Artificial Intelligence Specialist / Talking to Robots")</f>
        <v>Manage and drive End-to-End Projects or Products, Build and develop a Team, Entrepreneur or Start Up, An Artificial Intelligence Specialist / Talking to Robots</v>
      </c>
      <c r="O964" s="1" t="str">
        <f ca="1">IFERROR(__xludf.DUMMYFUNCTION("""COMPUTED_VALUE"""),"Manager who explains what is expected, sets a goal and helps achieve it")</f>
        <v>Manager who explains what is expected, sets a goal and helps achieve it</v>
      </c>
      <c r="P964" s="1" t="str">
        <f ca="1">IFERROR(__xludf.DUMMYFUNCTION("""COMPUTED_VALUE"""),"Work with 2 to 3 people in my team, Work with 5 to 6 people in my team")</f>
        <v>Work with 2 to 3 people in my team, Work with 5 to 6 people in my team</v>
      </c>
      <c r="Q964" s="1"/>
    </row>
    <row r="965" spans="1:17" ht="13.2" x14ac:dyDescent="0.25">
      <c r="A965" s="2">
        <f ca="1">IFERROR(__xludf.DUMMYFUNCTION("""COMPUTED_VALUE"""),45025.8149454398)</f>
        <v>45025.814945439801</v>
      </c>
      <c r="B965" s="1" t="str">
        <f ca="1">IFERROR(__xludf.DUMMYFUNCTION("""COMPUTED_VALUE"""),"India")</f>
        <v>India</v>
      </c>
      <c r="C965" s="1">
        <f ca="1">IFERROR(__xludf.DUMMYFUNCTION("""COMPUTED_VALUE"""),250001)</f>
        <v>250001</v>
      </c>
      <c r="D965" s="3" t="str">
        <f ca="1">IFERROR(__xludf.DUMMYFUNCTION("""COMPUTED_VALUE"""),"Female")</f>
        <v>Female</v>
      </c>
      <c r="E965" s="1" t="str">
        <f ca="1">IFERROR(__xludf.DUMMYFUNCTION("""COMPUTED_VALUE"""),"My Parents")</f>
        <v>My Parents</v>
      </c>
      <c r="F965" s="1" t="str">
        <f ca="1">IFERROR(__xludf.DUMMYFUNCTION("""COMPUTED_VALUE"""),"No, But if someone could bare the cost I will")</f>
        <v>No, But if someone could bare the cost I will</v>
      </c>
      <c r="G965" s="1" t="str">
        <f ca="1">IFERROR(__xludf.DUMMYFUNCTION("""COMPUTED_VALUE"""),"Will work for 3 years or more")</f>
        <v>Will work for 3 years or more</v>
      </c>
      <c r="H965" s="1" t="str">
        <f ca="1">IFERROR(__xludf.DUMMYFUNCTION("""COMPUTED_VALUE"""),"No")</f>
        <v>No</v>
      </c>
      <c r="I965" s="1" t="str">
        <f ca="1">IFERROR(__xludf.DUMMYFUNCTION("""COMPUTED_VALUE"""),"Will NOT work for them")</f>
        <v>Will NOT work for them</v>
      </c>
      <c r="J965" s="1">
        <f ca="1">IFERROR(__xludf.DUMMYFUNCTION("""COMPUTED_VALUE"""),1)</f>
        <v>1</v>
      </c>
      <c r="K965" s="1" t="str">
        <f ca="1">IFERROR(__xludf.DUMMYFUNCTION("""COMPUTED_VALUE"""),"Fully Remote with Options to travel as and when needed")</f>
        <v>Fully Remote with Options to travel as and when needed</v>
      </c>
      <c r="L965" s="1" t="str">
        <f ca="1">IFERROR(__xludf.DUMMYFUNCTION("""COMPUTED_VALUE"""),"Employer who appreciates learning and enables that environment")</f>
        <v>Employer who appreciates learning and enables that environment</v>
      </c>
      <c r="M96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5"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65" s="1" t="str">
        <f ca="1">IFERROR(__xludf.DUMMYFUNCTION("""COMPUTED_VALUE"""),"Manager who explains what is expected, sets a goal and helps achieve it")</f>
        <v>Manager who explains what is expected, sets a goal and helps achieve it</v>
      </c>
      <c r="P965"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965" s="1"/>
    </row>
    <row r="966" spans="1:17" ht="13.2" x14ac:dyDescent="0.25">
      <c r="A966" s="2">
        <f ca="1">IFERROR(__xludf.DUMMYFUNCTION("""COMPUTED_VALUE"""),45025.8628475578)</f>
        <v>45025.862847557801</v>
      </c>
      <c r="B966" s="1" t="str">
        <f ca="1">IFERROR(__xludf.DUMMYFUNCTION("""COMPUTED_VALUE"""),"India")</f>
        <v>India</v>
      </c>
      <c r="C966" s="1">
        <f ca="1">IFERROR(__xludf.DUMMYFUNCTION("""COMPUTED_VALUE"""),110059)</f>
        <v>110059</v>
      </c>
      <c r="D966" s="3" t="str">
        <f ca="1">IFERROR(__xludf.DUMMYFUNCTION("""COMPUTED_VALUE"""),"Female")</f>
        <v>Female</v>
      </c>
      <c r="E966" s="1" t="str">
        <f ca="1">IFERROR(__xludf.DUMMYFUNCTION("""COMPUTED_VALUE"""),"People who have changed the world for better")</f>
        <v>People who have changed the world for better</v>
      </c>
      <c r="F966" s="1" t="str">
        <f ca="1">IFERROR(__xludf.DUMMYFUNCTION("""COMPUTED_VALUE"""),"No I would not be pursuing Higher Education outside of India")</f>
        <v>No I would not be pursuing Higher Education outside of India</v>
      </c>
      <c r="G966" s="1" t="str">
        <f ca="1">IFERROR(__xludf.DUMMYFUNCTION("""COMPUTED_VALUE"""),"This will be hard to do, but if it is the right company I would try")</f>
        <v>This will be hard to do, but if it is the right company I would try</v>
      </c>
      <c r="H966" s="1" t="str">
        <f ca="1">IFERROR(__xludf.DUMMYFUNCTION("""COMPUTED_VALUE"""),"No")</f>
        <v>No</v>
      </c>
      <c r="I966" s="1" t="str">
        <f ca="1">IFERROR(__xludf.DUMMYFUNCTION("""COMPUTED_VALUE"""),"Will NOT work for them")</f>
        <v>Will NOT work for them</v>
      </c>
      <c r="J966" s="1">
        <f ca="1">IFERROR(__xludf.DUMMYFUNCTION("""COMPUTED_VALUE"""),3)</f>
        <v>3</v>
      </c>
      <c r="K966" s="1" t="str">
        <f ca="1">IFERROR(__xludf.DUMMYFUNCTION("""COMPUTED_VALUE"""),"Hybrid Working Environment with more than 15 days a month at office")</f>
        <v>Hybrid Working Environment with more than 15 days a month at office</v>
      </c>
      <c r="L966" s="1" t="str">
        <f ca="1">IFERROR(__xludf.DUMMYFUNCTION("""COMPUTED_VALUE"""),"Employer who appreciates learning and enables that environment")</f>
        <v>Employer who appreciates learning and enables that environment</v>
      </c>
      <c r="M9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66"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966" s="1" t="str">
        <f ca="1">IFERROR(__xludf.DUMMYFUNCTION("""COMPUTED_VALUE"""),"Manager who explains what is expected, sets a goal and helps achieve it")</f>
        <v>Manager who explains what is expected, sets a goal and helps achieve it</v>
      </c>
      <c r="P966" s="1" t="str">
        <f ca="1">IFERROR(__xludf.DUMMYFUNCTION("""COMPUTED_VALUE"""),"Work with 2 to 3 people in my team")</f>
        <v>Work with 2 to 3 people in my team</v>
      </c>
      <c r="Q966" s="1"/>
    </row>
    <row r="967" spans="1:17" ht="13.2" x14ac:dyDescent="0.25">
      <c r="A967" s="2">
        <f ca="1">IFERROR(__xludf.DUMMYFUNCTION("""COMPUTED_VALUE"""),45025.8646490624)</f>
        <v>45025.864649062401</v>
      </c>
      <c r="B967" s="1" t="str">
        <f ca="1">IFERROR(__xludf.DUMMYFUNCTION("""COMPUTED_VALUE"""),"India")</f>
        <v>India</v>
      </c>
      <c r="C967" s="1">
        <f ca="1">IFERROR(__xludf.DUMMYFUNCTION("""COMPUTED_VALUE"""),110059)</f>
        <v>110059</v>
      </c>
      <c r="D967" s="3" t="str">
        <f ca="1">IFERROR(__xludf.DUMMYFUNCTION("""COMPUTED_VALUE"""),"Female")</f>
        <v>Female</v>
      </c>
      <c r="E967" s="1" t="str">
        <f ca="1">IFERROR(__xludf.DUMMYFUNCTION("""COMPUTED_VALUE"""),"People from my circle, but not family members")</f>
        <v>People from my circle, but not family members</v>
      </c>
      <c r="F967" s="1" t="str">
        <f ca="1">IFERROR(__xludf.DUMMYFUNCTION("""COMPUTED_VALUE"""),"No, But if someone could bare the cost I will")</f>
        <v>No, But if someone could bare the cost I will</v>
      </c>
      <c r="G967" s="1" t="str">
        <f ca="1">IFERROR(__xludf.DUMMYFUNCTION("""COMPUTED_VALUE"""),"Will work for 3 years or more")</f>
        <v>Will work for 3 years or more</v>
      </c>
      <c r="H967" s="1" t="str">
        <f ca="1">IFERROR(__xludf.DUMMYFUNCTION("""COMPUTED_VALUE"""),"No")</f>
        <v>No</v>
      </c>
      <c r="I967" s="1" t="str">
        <f ca="1">IFERROR(__xludf.DUMMYFUNCTION("""COMPUTED_VALUE"""),"Will NOT work for them")</f>
        <v>Will NOT work for them</v>
      </c>
      <c r="J967" s="1">
        <f ca="1">IFERROR(__xludf.DUMMYFUNCTION("""COMPUTED_VALUE"""),4)</f>
        <v>4</v>
      </c>
      <c r="K967" s="1" t="str">
        <f ca="1">IFERROR(__xludf.DUMMYFUNCTION("""COMPUTED_VALUE"""),"Fully Remote with Options to travel as and when needed")</f>
        <v>Fully Remote with Options to travel as and when needed</v>
      </c>
      <c r="L967" s="1" t="str">
        <f ca="1">IFERROR(__xludf.DUMMYFUNCTION("""COMPUTED_VALUE"""),"Employer who appreciates learning and enables that environment")</f>
        <v>Employer who appreciates learning and enables that environment</v>
      </c>
      <c r="M9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67"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967" s="1" t="str">
        <f ca="1">IFERROR(__xludf.DUMMYFUNCTION("""COMPUTED_VALUE"""),"Manager who explains what is expected, sets a goal and helps achieve it")</f>
        <v>Manager who explains what is expected, sets a goal and helps achieve it</v>
      </c>
      <c r="P967" s="1" t="str">
        <f ca="1">IFERROR(__xludf.DUMMYFUNCTION("""COMPUTED_VALUE"""),"Work with 2 to 3 people in my team")</f>
        <v>Work with 2 to 3 people in my team</v>
      </c>
      <c r="Q967" s="1"/>
    </row>
    <row r="968" spans="1:17" ht="13.2" x14ac:dyDescent="0.25">
      <c r="A968" s="2">
        <f ca="1">IFERROR(__xludf.DUMMYFUNCTION("""COMPUTED_VALUE"""),45025.9356575115)</f>
        <v>45025.935657511502</v>
      </c>
      <c r="B968" s="1" t="str">
        <f ca="1">IFERROR(__xludf.DUMMYFUNCTION("""COMPUTED_VALUE"""),"India")</f>
        <v>India</v>
      </c>
      <c r="C968" s="1">
        <f ca="1">IFERROR(__xludf.DUMMYFUNCTION("""COMPUTED_VALUE"""),122022)</f>
        <v>122022</v>
      </c>
      <c r="D968" s="3" t="str">
        <f ca="1">IFERROR(__xludf.DUMMYFUNCTION("""COMPUTED_VALUE"""),"Female")</f>
        <v>Female</v>
      </c>
      <c r="E968" s="1" t="str">
        <f ca="1">IFERROR(__xludf.DUMMYFUNCTION("""COMPUTED_VALUE"""),"Influencers who had successful careers")</f>
        <v>Influencers who had successful careers</v>
      </c>
      <c r="F968" s="1" t="str">
        <f ca="1">IFERROR(__xludf.DUMMYFUNCTION("""COMPUTED_VALUE"""),"No, But if someone could bare the cost I will")</f>
        <v>No, But if someone could bare the cost I will</v>
      </c>
      <c r="G968" s="1" t="str">
        <f ca="1">IFERROR(__xludf.DUMMYFUNCTION("""COMPUTED_VALUE"""),"This will be hard to do, but if it is the right company I would try")</f>
        <v>This will be hard to do, but if it is the right company I would try</v>
      </c>
      <c r="H968" s="1" t="str">
        <f ca="1">IFERROR(__xludf.DUMMYFUNCTION("""COMPUTED_VALUE"""),"No")</f>
        <v>No</v>
      </c>
      <c r="I968" s="1" t="str">
        <f ca="1">IFERROR(__xludf.DUMMYFUNCTION("""COMPUTED_VALUE"""),"Will NOT work for them")</f>
        <v>Will NOT work for them</v>
      </c>
      <c r="J968" s="1">
        <f ca="1">IFERROR(__xludf.DUMMYFUNCTION("""COMPUTED_VALUE"""),3)</f>
        <v>3</v>
      </c>
      <c r="K968" s="1" t="str">
        <f ca="1">IFERROR(__xludf.DUMMYFUNCTION("""COMPUTED_VALUE"""),"Hybrid Working Environment with more than 15 days a month at office")</f>
        <v>Hybrid Working Environment with more than 15 days a month at office</v>
      </c>
      <c r="L968" s="1" t="str">
        <f ca="1">IFERROR(__xludf.DUMMYFUNCTION("""COMPUTED_VALUE"""),"Employer who pushes your limits by enabling an learning environment, and rewards you at the end")</f>
        <v>Employer who pushes your limits by enabling an learning environment, and rewards you at the end</v>
      </c>
      <c r="M9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8"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968" s="1" t="str">
        <f ca="1">IFERROR(__xludf.DUMMYFUNCTION("""COMPUTED_VALUE"""),"Manager who explains what is expected, sets a goal and helps achieve it")</f>
        <v>Manager who explains what is expected, sets a goal and helps achieve it</v>
      </c>
      <c r="P968" s="1" t="str">
        <f ca="1">IFERROR(__xludf.DUMMYFUNCTION("""COMPUTED_VALUE"""),"Work with 5 to 6 people in my team")</f>
        <v>Work with 5 to 6 people in my team</v>
      </c>
      <c r="Q968" s="1"/>
    </row>
    <row r="969" spans="1:17" ht="13.2" x14ac:dyDescent="0.25">
      <c r="A969" s="2">
        <f ca="1">IFERROR(__xludf.DUMMYFUNCTION("""COMPUTED_VALUE"""),45026.409674618)</f>
        <v>45026.409674618</v>
      </c>
      <c r="B969" s="1" t="str">
        <f ca="1">IFERROR(__xludf.DUMMYFUNCTION("""COMPUTED_VALUE"""),"India")</f>
        <v>India</v>
      </c>
      <c r="C969" s="1">
        <f ca="1">IFERROR(__xludf.DUMMYFUNCTION("""COMPUTED_VALUE"""),462021)</f>
        <v>462021</v>
      </c>
      <c r="D969" s="3" t="str">
        <f ca="1">IFERROR(__xludf.DUMMYFUNCTION("""COMPUTED_VALUE"""),"Female")</f>
        <v>Female</v>
      </c>
      <c r="E969" s="1" t="str">
        <f ca="1">IFERROR(__xludf.DUMMYFUNCTION("""COMPUTED_VALUE"""),"Influencers who had successful careers")</f>
        <v>Influencers who had successful careers</v>
      </c>
      <c r="F969" s="1" t="str">
        <f ca="1">IFERROR(__xludf.DUMMYFUNCTION("""COMPUTED_VALUE"""),"No, But if someone could bare the cost I will")</f>
        <v>No, But if someone could bare the cost I will</v>
      </c>
      <c r="G969" s="1" t="str">
        <f ca="1">IFERROR(__xludf.DUMMYFUNCTION("""COMPUTED_VALUE"""),"This will be hard to do, but if it is the right company I would try")</f>
        <v>This will be hard to do, but if it is the right company I would try</v>
      </c>
      <c r="H969" s="1" t="str">
        <f ca="1">IFERROR(__xludf.DUMMYFUNCTION("""COMPUTED_VALUE"""),"Yes")</f>
        <v>Yes</v>
      </c>
      <c r="I969" s="1" t="str">
        <f ca="1">IFERROR(__xludf.DUMMYFUNCTION("""COMPUTED_VALUE"""),"Will work for them")</f>
        <v>Will work for them</v>
      </c>
      <c r="J969" s="1">
        <f ca="1">IFERROR(__xludf.DUMMYFUNCTION("""COMPUTED_VALUE"""),5)</f>
        <v>5</v>
      </c>
      <c r="K969" s="1" t="str">
        <f ca="1">IFERROR(__xludf.DUMMYFUNCTION("""COMPUTED_VALUE"""),"Hybrid Working Environment with less than 3 days a month at office")</f>
        <v>Hybrid Working Environment with less than 3 days a month at office</v>
      </c>
      <c r="L969" s="1" t="str">
        <f ca="1">IFERROR(__xludf.DUMMYFUNCTION("""COMPUTED_VALUE"""),"Employer who pushes your limits by enabling an learning environment, and rewards you at the end")</f>
        <v>Employer who pushes your limits by enabling an learning environment, and rewards you at the end</v>
      </c>
      <c r="M96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69" s="1" t="str">
        <f ca="1">IFERROR(__xludf.DUMMYFUNCTION("""COMPUTED_VALUE"""),"Teaching in any of the institutes/colleges/online or offline, Build and develop a Team, Work in a BPO setup for some well known client, Work as a freelancer and do my thing my way")</f>
        <v>Teaching in any of the institutes/colleges/online or offline, Build and develop a Team, Work in a BPO setup for some well known client, Work as a freelancer and do my thing my way</v>
      </c>
      <c r="O969" s="1" t="str">
        <f ca="1">IFERROR(__xludf.DUMMYFUNCTION("""COMPUTED_VALUE"""),"Manager who explains what is expected, sets a goal and helps achieve it")</f>
        <v>Manager who explains what is expected, sets a goal and helps achieve it</v>
      </c>
      <c r="P969" s="1" t="str">
        <f ca="1">IFERROR(__xludf.DUMMYFUNCTION("""COMPUTED_VALUE"""),"Work with 5 to 6 people in my team")</f>
        <v>Work with 5 to 6 people in my team</v>
      </c>
      <c r="Q969" s="1"/>
    </row>
    <row r="970" spans="1:17" ht="13.2" x14ac:dyDescent="0.25">
      <c r="A970" s="2">
        <f ca="1">IFERROR(__xludf.DUMMYFUNCTION("""COMPUTED_VALUE"""),45026.4749476967)</f>
        <v>45026.474947696697</v>
      </c>
      <c r="B970" s="1" t="str">
        <f ca="1">IFERROR(__xludf.DUMMYFUNCTION("""COMPUTED_VALUE"""),"India")</f>
        <v>India</v>
      </c>
      <c r="C970" s="1">
        <f ca="1">IFERROR(__xludf.DUMMYFUNCTION("""COMPUTED_VALUE"""),40095)</f>
        <v>40095</v>
      </c>
      <c r="D970" s="3" t="str">
        <f ca="1">IFERROR(__xludf.DUMMYFUNCTION("""COMPUTED_VALUE"""),"Male")</f>
        <v>Male</v>
      </c>
      <c r="E970" s="1" t="str">
        <f ca="1">IFERROR(__xludf.DUMMYFUNCTION("""COMPUTED_VALUE"""),"My Parents")</f>
        <v>My Parents</v>
      </c>
      <c r="F970" s="1" t="str">
        <f ca="1">IFERROR(__xludf.DUMMYFUNCTION("""COMPUTED_VALUE"""),"Yes, I will earn and do that")</f>
        <v>Yes, I will earn and do that</v>
      </c>
      <c r="G970" s="1" t="str">
        <f ca="1">IFERROR(__xludf.DUMMYFUNCTION("""COMPUTED_VALUE"""),"Will work for 3 years or more")</f>
        <v>Will work for 3 years or more</v>
      </c>
      <c r="H970" s="1" t="str">
        <f ca="1">IFERROR(__xludf.DUMMYFUNCTION("""COMPUTED_VALUE"""),"Yes")</f>
        <v>Yes</v>
      </c>
      <c r="I970" s="1" t="str">
        <f ca="1">IFERROR(__xludf.DUMMYFUNCTION("""COMPUTED_VALUE"""),"Will work for them")</f>
        <v>Will work for them</v>
      </c>
      <c r="J970" s="1">
        <f ca="1">IFERROR(__xludf.DUMMYFUNCTION("""COMPUTED_VALUE"""),2)</f>
        <v>2</v>
      </c>
      <c r="K970" s="1" t="str">
        <f ca="1">IFERROR(__xludf.DUMMYFUNCTION("""COMPUTED_VALUE"""),"Every Day Office Environment")</f>
        <v>Every Day Office Environment</v>
      </c>
      <c r="L970" s="1" t="str">
        <f ca="1">IFERROR(__xludf.DUMMYFUNCTION("""COMPUTED_VALUE"""),"Employers who appreciates learning but doesn't enables an learning environment")</f>
        <v>Employers who appreciates learning but doesn't enables an learning environment</v>
      </c>
      <c r="M970"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70" s="1" t="str">
        <f ca="1">IFERROR(__xludf.DUMMYFUNCTION("""COMPUTED_VALUE"""),"Work in a BPO setup for some well known client, Work as a freelancer and do my thing my way, Become a content Creator in some platform, An Artificial Intelligence Specialist / Talking to Robots")</f>
        <v>Work in a BPO setup for some well known client, Work as a freelancer and do my thing my way, Become a content Creator in some platform, An Artificial Intelligence Specialist / Talking to Robots</v>
      </c>
      <c r="O970" s="1" t="str">
        <f ca="1">IFERROR(__xludf.DUMMYFUNCTION("""COMPUTED_VALUE"""),"Manager who sets unrealistic targets")</f>
        <v>Manager who sets unrealistic targets</v>
      </c>
      <c r="P970" s="1" t="str">
        <f ca="1">IFERROR(__xludf.DUMMYFUNCTION("""COMPUTED_VALUE"""),"Work with more than 10 people in my team")</f>
        <v>Work with more than 10 people in my team</v>
      </c>
      <c r="Q970" s="1"/>
    </row>
    <row r="971" spans="1:17" ht="13.2" x14ac:dyDescent="0.25">
      <c r="A971" s="2">
        <f ca="1">IFERROR(__xludf.DUMMYFUNCTION("""COMPUTED_VALUE"""),45026.4880672338)</f>
        <v>45026.488067233797</v>
      </c>
      <c r="B971" s="1" t="str">
        <f ca="1">IFERROR(__xludf.DUMMYFUNCTION("""COMPUTED_VALUE"""),"India")</f>
        <v>India</v>
      </c>
      <c r="C971" s="1">
        <f ca="1">IFERROR(__xludf.DUMMYFUNCTION("""COMPUTED_VALUE"""),110043)</f>
        <v>110043</v>
      </c>
      <c r="D971" s="3" t="str">
        <f ca="1">IFERROR(__xludf.DUMMYFUNCTION("""COMPUTED_VALUE"""),"Male")</f>
        <v>Male</v>
      </c>
      <c r="E971" s="1" t="str">
        <f ca="1">IFERROR(__xludf.DUMMYFUNCTION("""COMPUTED_VALUE"""),"My Parents")</f>
        <v>My Parents</v>
      </c>
      <c r="F971" s="1" t="str">
        <f ca="1">IFERROR(__xludf.DUMMYFUNCTION("""COMPUTED_VALUE"""),"No, But if someone could bare the cost I will")</f>
        <v>No, But if someone could bare the cost I will</v>
      </c>
      <c r="G971" s="1" t="str">
        <f ca="1">IFERROR(__xludf.DUMMYFUNCTION("""COMPUTED_VALUE"""),"This will be hard to do, but if it is the right company I would try")</f>
        <v>This will be hard to do, but if it is the right company I would try</v>
      </c>
      <c r="H971" s="1" t="str">
        <f ca="1">IFERROR(__xludf.DUMMYFUNCTION("""COMPUTED_VALUE"""),"No")</f>
        <v>No</v>
      </c>
      <c r="I971" s="1" t="str">
        <f ca="1">IFERROR(__xludf.DUMMYFUNCTION("""COMPUTED_VALUE"""),"Will NOT work for them")</f>
        <v>Will NOT work for them</v>
      </c>
      <c r="J971" s="1">
        <f ca="1">IFERROR(__xludf.DUMMYFUNCTION("""COMPUTED_VALUE"""),2)</f>
        <v>2</v>
      </c>
      <c r="K971" s="1" t="str">
        <f ca="1">IFERROR(__xludf.DUMMYFUNCTION("""COMPUTED_VALUE"""),"Hybrid Working Environment with more than 15 days a month at office")</f>
        <v>Hybrid Working Environment with more than 15 days a month at office</v>
      </c>
      <c r="L971" s="1" t="str">
        <f ca="1">IFERROR(__xludf.DUMMYFUNCTION("""COMPUTED_VALUE"""),"Employer who pushes your limits by enabling an learning environment, and rewards you at the end")</f>
        <v>Employer who pushes your limits by enabling an learning environment, and rewards you at the end</v>
      </c>
      <c r="M971"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97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71" s="1" t="str">
        <f ca="1">IFERROR(__xludf.DUMMYFUNCTION("""COMPUTED_VALUE"""),"Manager who explains what is expected, sets a goal and helps achieve it")</f>
        <v>Manager who explains what is expected, sets a goal and helps achieve it</v>
      </c>
      <c r="P971" s="1" t="str">
        <f ca="1">IFERROR(__xludf.DUMMYFUNCTION("""COMPUTED_VALUE"""),"Work with 5 to 6 people in my team")</f>
        <v>Work with 5 to 6 people in my team</v>
      </c>
      <c r="Q971" s="1"/>
    </row>
    <row r="972" spans="1:17" ht="13.2" x14ac:dyDescent="0.25">
      <c r="A972" s="2">
        <f ca="1">IFERROR(__xludf.DUMMYFUNCTION("""COMPUTED_VALUE"""),45026.4912056828)</f>
        <v>45026.491205682803</v>
      </c>
      <c r="B972" s="1" t="str">
        <f ca="1">IFERROR(__xludf.DUMMYFUNCTION("""COMPUTED_VALUE"""),"India")</f>
        <v>India</v>
      </c>
      <c r="C972" s="1">
        <f ca="1">IFERROR(__xludf.DUMMYFUNCTION("""COMPUTED_VALUE"""),132001)</f>
        <v>132001</v>
      </c>
      <c r="D972" s="3" t="str">
        <f ca="1">IFERROR(__xludf.DUMMYFUNCTION("""COMPUTED_VALUE"""),"Male")</f>
        <v>Male</v>
      </c>
      <c r="E972" s="1" t="str">
        <f ca="1">IFERROR(__xludf.DUMMYFUNCTION("""COMPUTED_VALUE"""),"People who have changed the world for better")</f>
        <v>People who have changed the world for better</v>
      </c>
      <c r="F972" s="1" t="str">
        <f ca="1">IFERROR(__xludf.DUMMYFUNCTION("""COMPUTED_VALUE"""),"Yes, I will earn and do that")</f>
        <v>Yes, I will earn and do that</v>
      </c>
      <c r="G972" s="1" t="str">
        <f ca="1">IFERROR(__xludf.DUMMYFUNCTION("""COMPUTED_VALUE"""),"This will be hard to do, but if it is the right company I would try")</f>
        <v>This will be hard to do, but if it is the right company I would try</v>
      </c>
      <c r="H972" s="1" t="str">
        <f ca="1">IFERROR(__xludf.DUMMYFUNCTION("""COMPUTED_VALUE"""),"No")</f>
        <v>No</v>
      </c>
      <c r="I972" s="1" t="str">
        <f ca="1">IFERROR(__xludf.DUMMYFUNCTION("""COMPUTED_VALUE"""),"Will NOT work for them")</f>
        <v>Will NOT work for them</v>
      </c>
      <c r="J972" s="1">
        <f ca="1">IFERROR(__xludf.DUMMYFUNCTION("""COMPUTED_VALUE"""),5)</f>
        <v>5</v>
      </c>
      <c r="K972" s="1" t="str">
        <f ca="1">IFERROR(__xludf.DUMMYFUNCTION("""COMPUTED_VALUE"""),"Fully Remote with Options to travel as and when needed")</f>
        <v>Fully Remote with Options to travel as and when needed</v>
      </c>
      <c r="L972" s="1" t="str">
        <f ca="1">IFERROR(__xludf.DUMMYFUNCTION("""COMPUTED_VALUE"""),"Employer who pushes your limits by enabling an learning environment, and rewards you at the end")</f>
        <v>Employer who pushes your limits by enabling an learning environment, and rewards you at the end</v>
      </c>
      <c r="M9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72"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72" s="1" t="str">
        <f ca="1">IFERROR(__xludf.DUMMYFUNCTION("""COMPUTED_VALUE"""),"Manager who clearly describes what she/he needs")</f>
        <v>Manager who clearly describes what she/he needs</v>
      </c>
      <c r="P972" s="1" t="str">
        <f ca="1">IFERROR(__xludf.DUMMYFUNCTION("""COMPUTED_VALUE"""),"Work with 5 to 6 people in my team")</f>
        <v>Work with 5 to 6 people in my team</v>
      </c>
      <c r="Q972" s="1"/>
    </row>
    <row r="973" spans="1:17" ht="13.2" x14ac:dyDescent="0.25">
      <c r="A973" s="2">
        <f ca="1">IFERROR(__xludf.DUMMYFUNCTION("""COMPUTED_VALUE"""),45026.5025656018)</f>
        <v>45026.502565601797</v>
      </c>
      <c r="B973" s="1" t="str">
        <f ca="1">IFERROR(__xludf.DUMMYFUNCTION("""COMPUTED_VALUE"""),"India")</f>
        <v>India</v>
      </c>
      <c r="C973" s="1">
        <f ca="1">IFERROR(__xludf.DUMMYFUNCTION("""COMPUTED_VALUE"""),250002)</f>
        <v>250002</v>
      </c>
      <c r="D973" s="3" t="str">
        <f ca="1">IFERROR(__xludf.DUMMYFUNCTION("""COMPUTED_VALUE"""),"Male")</f>
        <v>Male</v>
      </c>
      <c r="E973" s="1" t="str">
        <f ca="1">IFERROR(__xludf.DUMMYFUNCTION("""COMPUTED_VALUE"""),"People who have changed the world for better")</f>
        <v>People who have changed the world for better</v>
      </c>
      <c r="F973" s="1" t="str">
        <f ca="1">IFERROR(__xludf.DUMMYFUNCTION("""COMPUTED_VALUE"""),"No I would not be pursuing Higher Education outside of India")</f>
        <v>No I would not be pursuing Higher Education outside of India</v>
      </c>
      <c r="G973" s="1" t="str">
        <f ca="1">IFERROR(__xludf.DUMMYFUNCTION("""COMPUTED_VALUE"""),"This will be hard to do, but if it is the right company I would try")</f>
        <v>This will be hard to do, but if it is the right company I would try</v>
      </c>
      <c r="H973" s="1" t="str">
        <f ca="1">IFERROR(__xludf.DUMMYFUNCTION("""COMPUTED_VALUE"""),"No")</f>
        <v>No</v>
      </c>
      <c r="I973" s="1" t="str">
        <f ca="1">IFERROR(__xludf.DUMMYFUNCTION("""COMPUTED_VALUE"""),"Will NOT work for them")</f>
        <v>Will NOT work for them</v>
      </c>
      <c r="J973" s="1">
        <f ca="1">IFERROR(__xludf.DUMMYFUNCTION("""COMPUTED_VALUE"""),7)</f>
        <v>7</v>
      </c>
      <c r="K973" s="1" t="str">
        <f ca="1">IFERROR(__xludf.DUMMYFUNCTION("""COMPUTED_VALUE"""),"Every Day Office Environment")</f>
        <v>Every Day Office Environment</v>
      </c>
      <c r="L973" s="1" t="str">
        <f ca="1">IFERROR(__xludf.DUMMYFUNCTION("""COMPUTED_VALUE"""),"Employer who appreciates learning and enables that environment")</f>
        <v>Employer who appreciates learning and enables that environment</v>
      </c>
      <c r="M97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7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973" s="1" t="str">
        <f ca="1">IFERROR(__xludf.DUMMYFUNCTION("""COMPUTED_VALUE"""),"Manager who clearly describes what she/he needs")</f>
        <v>Manager who clearly describes what she/he needs</v>
      </c>
      <c r="P973" s="1" t="str">
        <f ca="1">IFERROR(__xludf.DUMMYFUNCTION("""COMPUTED_VALUE"""),"Work with 5 to 6 people in my team")</f>
        <v>Work with 5 to 6 people in my team</v>
      </c>
      <c r="Q973" s="1"/>
    </row>
    <row r="974" spans="1:17" ht="13.2" x14ac:dyDescent="0.25">
      <c r="A974" s="2">
        <f ca="1">IFERROR(__xludf.DUMMYFUNCTION("""COMPUTED_VALUE"""),45027.5551586342)</f>
        <v>45027.555158634197</v>
      </c>
      <c r="B974" s="1" t="str">
        <f ca="1">IFERROR(__xludf.DUMMYFUNCTION("""COMPUTED_VALUE"""),"India")</f>
        <v>India</v>
      </c>
      <c r="C974" s="1">
        <f ca="1">IFERROR(__xludf.DUMMYFUNCTION("""COMPUTED_VALUE"""),560061)</f>
        <v>560061</v>
      </c>
      <c r="D974" s="3" t="str">
        <f ca="1">IFERROR(__xludf.DUMMYFUNCTION("""COMPUTED_VALUE"""),"Female")</f>
        <v>Female</v>
      </c>
      <c r="E974" s="1" t="str">
        <f ca="1">IFERROR(__xludf.DUMMYFUNCTION("""COMPUTED_VALUE"""),"People who have changed the world for better")</f>
        <v>People who have changed the world for better</v>
      </c>
      <c r="F974" s="1" t="str">
        <f ca="1">IFERROR(__xludf.DUMMYFUNCTION("""COMPUTED_VALUE"""),"Yes, I will earn and do that")</f>
        <v>Yes, I will earn and do that</v>
      </c>
      <c r="G974" s="1" t="str">
        <f ca="1">IFERROR(__xludf.DUMMYFUNCTION("""COMPUTED_VALUE"""),"This will be hard to do, but if it is the right company I would try")</f>
        <v>This will be hard to do, but if it is the right company I would try</v>
      </c>
      <c r="H974" s="1" t="str">
        <f ca="1">IFERROR(__xludf.DUMMYFUNCTION("""COMPUTED_VALUE"""),"Yes")</f>
        <v>Yes</v>
      </c>
      <c r="I974" s="1" t="str">
        <f ca="1">IFERROR(__xludf.DUMMYFUNCTION("""COMPUTED_VALUE"""),"Will NOT work for them")</f>
        <v>Will NOT work for them</v>
      </c>
      <c r="J974" s="1">
        <f ca="1">IFERROR(__xludf.DUMMYFUNCTION("""COMPUTED_VALUE"""),5)</f>
        <v>5</v>
      </c>
      <c r="K974" s="1" t="str">
        <f ca="1">IFERROR(__xludf.DUMMYFUNCTION("""COMPUTED_VALUE"""),"Hybrid Working Environment with more than 15 days a month at office")</f>
        <v>Hybrid Working Environment with more than 15 days a month at office</v>
      </c>
      <c r="L974" s="1" t="str">
        <f ca="1">IFERROR(__xludf.DUMMYFUNCTION("""COMPUTED_VALUE"""),"Employer who pushes your limits by enabling an learning environment, and rewards you at the end")</f>
        <v>Employer who pushes your limits by enabling an learning environment, and rewards you at the end</v>
      </c>
      <c r="M97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74"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974" s="1" t="str">
        <f ca="1">IFERROR(__xludf.DUMMYFUNCTION("""COMPUTED_VALUE"""),"Manager who explains what is expected, sets a goal and helps achieve it")</f>
        <v>Manager who explains what is expected, sets a goal and helps achieve it</v>
      </c>
      <c r="P974" s="1" t="str">
        <f ca="1">IFERROR(__xludf.DUMMYFUNCTION("""COMPUTED_VALUE"""),"Work with 2 to 3 people in my team")</f>
        <v>Work with 2 to 3 people in my team</v>
      </c>
      <c r="Q974" s="1"/>
    </row>
    <row r="975" spans="1:17" ht="13.2" x14ac:dyDescent="0.25">
      <c r="A975" s="2">
        <f ca="1">IFERROR(__xludf.DUMMYFUNCTION("""COMPUTED_VALUE"""),45027.5633955671)</f>
        <v>45027.5633955671</v>
      </c>
      <c r="B975" s="1" t="str">
        <f ca="1">IFERROR(__xludf.DUMMYFUNCTION("""COMPUTED_VALUE"""),"Germany")</f>
        <v>Germany</v>
      </c>
      <c r="C975" s="1">
        <f ca="1">IFERROR(__xludf.DUMMYFUNCTION("""COMPUTED_VALUE"""),10317)</f>
        <v>10317</v>
      </c>
      <c r="D975" s="3" t="str">
        <f ca="1">IFERROR(__xludf.DUMMYFUNCTION("""COMPUTED_VALUE"""),"Male")</f>
        <v>Male</v>
      </c>
      <c r="E975" s="1" t="str">
        <f ca="1">IFERROR(__xludf.DUMMYFUNCTION("""COMPUTED_VALUE"""),"Social Media like LinkedIn")</f>
        <v>Social Media like LinkedIn</v>
      </c>
      <c r="F975" s="1" t="str">
        <f ca="1">IFERROR(__xludf.DUMMYFUNCTION("""COMPUTED_VALUE"""),"Yes, I will earn and do that")</f>
        <v>Yes, I will earn and do that</v>
      </c>
      <c r="G975" s="1" t="str">
        <f ca="1">IFERROR(__xludf.DUMMYFUNCTION("""COMPUTED_VALUE"""),"Will work for 3 years or more")</f>
        <v>Will work for 3 years or more</v>
      </c>
      <c r="H975" s="1" t="str">
        <f ca="1">IFERROR(__xludf.DUMMYFUNCTION("""COMPUTED_VALUE"""),"No")</f>
        <v>No</v>
      </c>
      <c r="I975" s="1" t="str">
        <f ca="1">IFERROR(__xludf.DUMMYFUNCTION("""COMPUTED_VALUE"""),"Will NOT work for them")</f>
        <v>Will NOT work for them</v>
      </c>
      <c r="J975" s="1">
        <f ca="1">IFERROR(__xludf.DUMMYFUNCTION("""COMPUTED_VALUE"""),1)</f>
        <v>1</v>
      </c>
      <c r="K975" s="1" t="str">
        <f ca="1">IFERROR(__xludf.DUMMYFUNCTION("""COMPUTED_VALUE"""),"Hybrid Working Environment with more than 15 days a month at office")</f>
        <v>Hybrid Working Environment with more than 15 days a month at office</v>
      </c>
      <c r="L975" s="1" t="str">
        <f ca="1">IFERROR(__xludf.DUMMYFUNCTION("""COMPUTED_VALUE"""),"Employer who pushes your limits by enabling an learning environment, and rewards you at the end")</f>
        <v>Employer who pushes your limits by enabling an learning environment, and rewards you at the end</v>
      </c>
      <c r="M975" s="1" t="str">
        <f ca="1">IFERROR(__xludf.DUMMYFUNCTION("""COMPUTED_VALUE"""),"Self Paced Learning Portals of the Company, Instructor or Expert Learning Programs, Manager Teaching you")</f>
        <v>Self Paced Learning Portals of the Company, Instructor or Expert Learning Programs, Manager Teaching you</v>
      </c>
      <c r="N975"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975" s="1" t="str">
        <f ca="1">IFERROR(__xludf.DUMMYFUNCTION("""COMPUTED_VALUE"""),"Manager who sets goal and helps me achieve it")</f>
        <v>Manager who sets goal and helps me achieve it</v>
      </c>
      <c r="P975" s="1" t="str">
        <f ca="1">IFERROR(__xludf.DUMMYFUNCTION("""COMPUTED_VALUE"""),"Work with 5 to 6 people in my team")</f>
        <v>Work with 5 to 6 people in my team</v>
      </c>
      <c r="Q975" s="1"/>
    </row>
    <row r="976" spans="1:17" ht="13.2" x14ac:dyDescent="0.25">
      <c r="A976" s="2">
        <f ca="1">IFERROR(__xludf.DUMMYFUNCTION("""COMPUTED_VALUE"""),45027.5671434374)</f>
        <v>45027.567143437402</v>
      </c>
      <c r="B976" s="1" t="str">
        <f ca="1">IFERROR(__xludf.DUMMYFUNCTION("""COMPUTED_VALUE"""),"India")</f>
        <v>India</v>
      </c>
      <c r="C976" s="1">
        <f ca="1">IFERROR(__xludf.DUMMYFUNCTION("""COMPUTED_VALUE"""),110089)</f>
        <v>110089</v>
      </c>
      <c r="D976" s="3" t="str">
        <f ca="1">IFERROR(__xludf.DUMMYFUNCTION("""COMPUTED_VALUE"""),"Female")</f>
        <v>Female</v>
      </c>
      <c r="E976" s="1" t="str">
        <f ca="1">IFERROR(__xludf.DUMMYFUNCTION("""COMPUTED_VALUE"""),"My Parents")</f>
        <v>My Parents</v>
      </c>
      <c r="F976" s="1" t="str">
        <f ca="1">IFERROR(__xludf.DUMMYFUNCTION("""COMPUTED_VALUE"""),"No I would not be pursuing Higher Education outside of India")</f>
        <v>No I would not be pursuing Higher Education outside of India</v>
      </c>
      <c r="G976" s="1" t="str">
        <f ca="1">IFERROR(__xludf.DUMMYFUNCTION("""COMPUTED_VALUE"""),"Will work for 3 years or more")</f>
        <v>Will work for 3 years or more</v>
      </c>
      <c r="H976" s="1" t="str">
        <f ca="1">IFERROR(__xludf.DUMMYFUNCTION("""COMPUTED_VALUE"""),"No")</f>
        <v>No</v>
      </c>
      <c r="I976" s="1" t="str">
        <f ca="1">IFERROR(__xludf.DUMMYFUNCTION("""COMPUTED_VALUE"""),"Will NOT work for them")</f>
        <v>Will NOT work for them</v>
      </c>
      <c r="J976" s="1">
        <f ca="1">IFERROR(__xludf.DUMMYFUNCTION("""COMPUTED_VALUE"""),7)</f>
        <v>7</v>
      </c>
      <c r="K976" s="1" t="str">
        <f ca="1">IFERROR(__xludf.DUMMYFUNCTION("""COMPUTED_VALUE"""),"Hybrid Working Environment with less than 3 days a month at office")</f>
        <v>Hybrid Working Environment with less than 3 days a month at office</v>
      </c>
      <c r="L976" s="1" t="str">
        <f ca="1">IFERROR(__xludf.DUMMYFUNCTION("""COMPUTED_VALUE"""),"Employer who pushes your limits by enabling an learning environment, and rewards you at the end")</f>
        <v>Employer who pushes your limits by enabling an learning environment, and rewards you at the end</v>
      </c>
      <c r="M97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76"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976" s="1" t="str">
        <f ca="1">IFERROR(__xludf.DUMMYFUNCTION("""COMPUTED_VALUE"""),"Manager who explains what is expected, sets a goal and helps achieve it")</f>
        <v>Manager who explains what is expected, sets a goal and helps achieve it</v>
      </c>
      <c r="P976" s="1" t="str">
        <f ca="1">IFERROR(__xludf.DUMMYFUNCTION("""COMPUTED_VALUE"""),"Work with 2 to 3 people in my team, Work with 5 to 6 people in my team")</f>
        <v>Work with 2 to 3 people in my team, Work with 5 to 6 people in my team</v>
      </c>
      <c r="Q976" s="1"/>
    </row>
    <row r="977" spans="1:17" ht="13.2" x14ac:dyDescent="0.25">
      <c r="A977" s="2">
        <f ca="1">IFERROR(__xludf.DUMMYFUNCTION("""COMPUTED_VALUE"""),45027.9461679744)</f>
        <v>45027.946167974398</v>
      </c>
      <c r="B977" s="1" t="str">
        <f ca="1">IFERROR(__xludf.DUMMYFUNCTION("""COMPUTED_VALUE"""),"India")</f>
        <v>India</v>
      </c>
      <c r="C977" s="1">
        <f ca="1">IFERROR(__xludf.DUMMYFUNCTION("""COMPUTED_VALUE"""),603209)</f>
        <v>603209</v>
      </c>
      <c r="D977" s="3" t="str">
        <f ca="1">IFERROR(__xludf.DUMMYFUNCTION("""COMPUTED_VALUE"""),"Male")</f>
        <v>Male</v>
      </c>
      <c r="E977" s="1" t="str">
        <f ca="1">IFERROR(__xludf.DUMMYFUNCTION("""COMPUTED_VALUE"""),"Social Media like LinkedIn")</f>
        <v>Social Media like LinkedIn</v>
      </c>
      <c r="F977" s="1" t="str">
        <f ca="1">IFERROR(__xludf.DUMMYFUNCTION("""COMPUTED_VALUE"""),"No I would not be pursuing Higher Education outside of India")</f>
        <v>No I would not be pursuing Higher Education outside of India</v>
      </c>
      <c r="G977" s="1" t="str">
        <f ca="1">IFERROR(__xludf.DUMMYFUNCTION("""COMPUTED_VALUE"""),"Will work for 3 years or more")</f>
        <v>Will work for 3 years or more</v>
      </c>
      <c r="H977" s="1" t="str">
        <f ca="1">IFERROR(__xludf.DUMMYFUNCTION("""COMPUTED_VALUE"""),"Yes")</f>
        <v>Yes</v>
      </c>
      <c r="I977" s="1" t="str">
        <f ca="1">IFERROR(__xludf.DUMMYFUNCTION("""COMPUTED_VALUE"""),"Will work for them")</f>
        <v>Will work for them</v>
      </c>
      <c r="J977" s="1">
        <f ca="1">IFERROR(__xludf.DUMMYFUNCTION("""COMPUTED_VALUE"""),8)</f>
        <v>8</v>
      </c>
      <c r="K977" s="1" t="str">
        <f ca="1">IFERROR(__xludf.DUMMYFUNCTION("""COMPUTED_VALUE"""),"Fully Remote with No option to visit offices")</f>
        <v>Fully Remote with No option to visit offices</v>
      </c>
      <c r="L977" s="1" t="str">
        <f ca="1">IFERROR(__xludf.DUMMYFUNCTION("""COMPUTED_VALUE"""),"Employer who rewards learning and enables that environment")</f>
        <v>Employer who rewards learning and enables that environment</v>
      </c>
      <c r="M97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7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77" s="1" t="str">
        <f ca="1">IFERROR(__xludf.DUMMYFUNCTION("""COMPUTED_VALUE"""),"Manager who clearly describes what she/he needs")</f>
        <v>Manager who clearly describes what she/he needs</v>
      </c>
      <c r="P977" s="1" t="str">
        <f ca="1">IFERROR(__xludf.DUMMYFUNCTION("""COMPUTED_VALUE"""),"Work with 5 to 6 people in my team")</f>
        <v>Work with 5 to 6 people in my team</v>
      </c>
      <c r="Q977" s="1"/>
    </row>
    <row r="978" spans="1:17" ht="13.2" x14ac:dyDescent="0.25">
      <c r="A978" s="2">
        <f ca="1">IFERROR(__xludf.DUMMYFUNCTION("""COMPUTED_VALUE"""),45028.3914289236)</f>
        <v>45028.391428923598</v>
      </c>
      <c r="B978" s="1" t="str">
        <f ca="1">IFERROR(__xludf.DUMMYFUNCTION("""COMPUTED_VALUE"""),"India")</f>
        <v>India</v>
      </c>
      <c r="C978" s="1">
        <f ca="1">IFERROR(__xludf.DUMMYFUNCTION("""COMPUTED_VALUE"""),110026)</f>
        <v>110026</v>
      </c>
      <c r="D978" s="3" t="str">
        <f ca="1">IFERROR(__xludf.DUMMYFUNCTION("""COMPUTED_VALUE"""),"Male")</f>
        <v>Male</v>
      </c>
      <c r="E978" s="1" t="str">
        <f ca="1">IFERROR(__xludf.DUMMYFUNCTION("""COMPUTED_VALUE"""),"People from my circle, but not family members")</f>
        <v>People from my circle, but not family members</v>
      </c>
      <c r="F978" s="1" t="str">
        <f ca="1">IFERROR(__xludf.DUMMYFUNCTION("""COMPUTED_VALUE"""),"No, But if someone could bare the cost I will")</f>
        <v>No, But if someone could bare the cost I will</v>
      </c>
      <c r="G978" s="1" t="str">
        <f ca="1">IFERROR(__xludf.DUMMYFUNCTION("""COMPUTED_VALUE"""),"Will work for 3 years or more")</f>
        <v>Will work for 3 years or more</v>
      </c>
      <c r="H978" s="1" t="str">
        <f ca="1">IFERROR(__xludf.DUMMYFUNCTION("""COMPUTED_VALUE"""),"No")</f>
        <v>No</v>
      </c>
      <c r="I978" s="1" t="str">
        <f ca="1">IFERROR(__xludf.DUMMYFUNCTION("""COMPUTED_VALUE"""),"Will NOT work for them")</f>
        <v>Will NOT work for them</v>
      </c>
      <c r="J978" s="1">
        <f ca="1">IFERROR(__xludf.DUMMYFUNCTION("""COMPUTED_VALUE"""),7)</f>
        <v>7</v>
      </c>
      <c r="K978" s="1" t="str">
        <f ca="1">IFERROR(__xludf.DUMMYFUNCTION("""COMPUTED_VALUE"""),"Every Day Office Environment")</f>
        <v>Every Day Office Environment</v>
      </c>
      <c r="L978" s="1" t="str">
        <f ca="1">IFERROR(__xludf.DUMMYFUNCTION("""COMPUTED_VALUE"""),"Employer who appreciates learning and enables that environment")</f>
        <v>Employer who appreciates learning and enables that environment</v>
      </c>
      <c r="M97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7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978" s="1" t="str">
        <f ca="1">IFERROR(__xludf.DUMMYFUNCTION("""COMPUTED_VALUE"""),"Manager who explains what is expected, sets a goal and helps achieve it")</f>
        <v>Manager who explains what is expected, sets a goal and helps achieve it</v>
      </c>
      <c r="P978" s="1" t="str">
        <f ca="1">IFERROR(__xludf.DUMMYFUNCTION("""COMPUTED_VALUE"""),"Work with 2 to 3 people in my team")</f>
        <v>Work with 2 to 3 people in my team</v>
      </c>
      <c r="Q978" s="1"/>
    </row>
    <row r="979" spans="1:17" ht="13.2" x14ac:dyDescent="0.25">
      <c r="A979" s="2">
        <f ca="1">IFERROR(__xludf.DUMMYFUNCTION("""COMPUTED_VALUE"""),45029.6407750463)</f>
        <v>45029.640775046297</v>
      </c>
      <c r="B979" s="1" t="str">
        <f ca="1">IFERROR(__xludf.DUMMYFUNCTION("""COMPUTED_VALUE"""),"India")</f>
        <v>India</v>
      </c>
      <c r="C979" s="1">
        <f ca="1">IFERROR(__xludf.DUMMYFUNCTION("""COMPUTED_VALUE"""),507002)</f>
        <v>507002</v>
      </c>
      <c r="D979" s="3" t="str">
        <f ca="1">IFERROR(__xludf.DUMMYFUNCTION("""COMPUTED_VALUE"""),"Male")</f>
        <v>Male</v>
      </c>
      <c r="E979" s="1" t="str">
        <f ca="1">IFERROR(__xludf.DUMMYFUNCTION("""COMPUTED_VALUE"""),"My Parents")</f>
        <v>My Parents</v>
      </c>
      <c r="F979" s="1" t="str">
        <f ca="1">IFERROR(__xludf.DUMMYFUNCTION("""COMPUTED_VALUE"""),"No I would not be pursuing Higher Education outside of India")</f>
        <v>No I would not be pursuing Higher Education outside of India</v>
      </c>
      <c r="G979" s="1" t="str">
        <f ca="1">IFERROR(__xludf.DUMMYFUNCTION("""COMPUTED_VALUE"""),"This will be hard to do, but if it is the right company I would try")</f>
        <v>This will be hard to do, but if it is the right company I would try</v>
      </c>
      <c r="H979" s="1" t="str">
        <f ca="1">IFERROR(__xludf.DUMMYFUNCTION("""COMPUTED_VALUE"""),"No")</f>
        <v>No</v>
      </c>
      <c r="I979" s="1" t="str">
        <f ca="1">IFERROR(__xludf.DUMMYFUNCTION("""COMPUTED_VALUE"""),"Will NOT work for them")</f>
        <v>Will NOT work for them</v>
      </c>
      <c r="J979" s="1">
        <f ca="1">IFERROR(__xludf.DUMMYFUNCTION("""COMPUTED_VALUE"""),7)</f>
        <v>7</v>
      </c>
      <c r="K979" s="1" t="str">
        <f ca="1">IFERROR(__xludf.DUMMYFUNCTION("""COMPUTED_VALUE"""),"Fully Remote with Options to travel as and when needed")</f>
        <v>Fully Remote with Options to travel as and when needed</v>
      </c>
      <c r="L979" s="1" t="str">
        <f ca="1">IFERROR(__xludf.DUMMYFUNCTION("""COMPUTED_VALUE"""),"Employer who rewards learning and enables that environment")</f>
        <v>Employer who rewards learning and enables that environment</v>
      </c>
      <c r="M97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7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979" s="1" t="str">
        <f ca="1">IFERROR(__xludf.DUMMYFUNCTION("""COMPUTED_VALUE"""),"Manager who sets goal and helps me achieve it")</f>
        <v>Manager who sets goal and helps me achieve it</v>
      </c>
      <c r="P979" s="1" t="str">
        <f ca="1">IFERROR(__xludf.DUMMYFUNCTION("""COMPUTED_VALUE"""),"Work with 5 to 6 people in my team")</f>
        <v>Work with 5 to 6 people in my team</v>
      </c>
      <c r="Q979" s="1"/>
    </row>
    <row r="980" spans="1:17" ht="13.2" x14ac:dyDescent="0.25">
      <c r="A980" s="2">
        <f ca="1">IFERROR(__xludf.DUMMYFUNCTION("""COMPUTED_VALUE"""),45030.4317929513)</f>
        <v>45030.431792951298</v>
      </c>
      <c r="B980" s="1" t="str">
        <f ca="1">IFERROR(__xludf.DUMMYFUNCTION("""COMPUTED_VALUE"""),"Others")</f>
        <v>Others</v>
      </c>
      <c r="C980" s="1">
        <f ca="1">IFERROR(__xludf.DUMMYFUNCTION("""COMPUTED_VALUE"""),6054)</f>
        <v>6054</v>
      </c>
      <c r="D980" s="3" t="str">
        <f ca="1">IFERROR(__xludf.DUMMYFUNCTION("""COMPUTED_VALUE"""),"Male")</f>
        <v>Male</v>
      </c>
      <c r="E980" s="1" t="str">
        <f ca="1">IFERROR(__xludf.DUMMYFUNCTION("""COMPUTED_VALUE"""),"People who have changed the world for better")</f>
        <v>People who have changed the world for better</v>
      </c>
      <c r="F980" s="1" t="str">
        <f ca="1">IFERROR(__xludf.DUMMYFUNCTION("""COMPUTED_VALUE"""),"Yes, I will earn and do that")</f>
        <v>Yes, I will earn and do that</v>
      </c>
      <c r="G980" s="1" t="str">
        <f ca="1">IFERROR(__xludf.DUMMYFUNCTION("""COMPUTED_VALUE"""),"Will work for 3 years or more")</f>
        <v>Will work for 3 years or more</v>
      </c>
      <c r="H980" s="1" t="str">
        <f ca="1">IFERROR(__xludf.DUMMYFUNCTION("""COMPUTED_VALUE"""),"No")</f>
        <v>No</v>
      </c>
      <c r="I980" s="1" t="str">
        <f ca="1">IFERROR(__xludf.DUMMYFUNCTION("""COMPUTED_VALUE"""),"Will NOT work for them")</f>
        <v>Will NOT work for them</v>
      </c>
      <c r="J980" s="1">
        <f ca="1">IFERROR(__xludf.DUMMYFUNCTION("""COMPUTED_VALUE"""),1)</f>
        <v>1</v>
      </c>
      <c r="K980" s="1" t="str">
        <f ca="1">IFERROR(__xludf.DUMMYFUNCTION("""COMPUTED_VALUE"""),"Every Day Office Environment")</f>
        <v>Every Day Office Environment</v>
      </c>
      <c r="L980" s="1" t="str">
        <f ca="1">IFERROR(__xludf.DUMMYFUNCTION("""COMPUTED_VALUE"""),"Employer who pushes your limits by enabling an learning environment, and rewards you at the end")</f>
        <v>Employer who pushes your limits by enabling an learning environment, and rewards you at the end</v>
      </c>
      <c r="M980" s="1" t="str">
        <f ca="1">IFERROR(__xludf.DUMMYFUNCTION("""COMPUTED_VALUE"""),"Self Paced Learning Portals of the Company, Instructor or Expert Learning Programs, Manager Teaching you")</f>
        <v>Self Paced Learning Portals of the Company, Instructor or Expert Learning Programs, Manager Teaching you</v>
      </c>
      <c r="N98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980" s="1" t="str">
        <f ca="1">IFERROR(__xludf.DUMMYFUNCTION("""COMPUTED_VALUE"""),"Manager who explains what is expected, sets a goal and helps achieve it")</f>
        <v>Manager who explains what is expected, sets a goal and helps achieve it</v>
      </c>
      <c r="P98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980" s="1"/>
    </row>
    <row r="981" spans="1:17" ht="13.2" x14ac:dyDescent="0.25">
      <c r="A981" s="2">
        <f ca="1">IFERROR(__xludf.DUMMYFUNCTION("""COMPUTED_VALUE"""),45033.6707267476)</f>
        <v>45033.670726747601</v>
      </c>
      <c r="B981" s="1" t="str">
        <f ca="1">IFERROR(__xludf.DUMMYFUNCTION("""COMPUTED_VALUE"""),"India")</f>
        <v>India</v>
      </c>
      <c r="C981" s="1">
        <f ca="1">IFERROR(__xludf.DUMMYFUNCTION("""COMPUTED_VALUE"""),110089)</f>
        <v>110089</v>
      </c>
      <c r="D981" s="3" t="str">
        <f ca="1">IFERROR(__xludf.DUMMYFUNCTION("""COMPUTED_VALUE"""),"Male")</f>
        <v>Male</v>
      </c>
      <c r="E981" s="1" t="str">
        <f ca="1">IFERROR(__xludf.DUMMYFUNCTION("""COMPUTED_VALUE"""),"People who have changed the world for better")</f>
        <v>People who have changed the world for better</v>
      </c>
      <c r="F981" s="1" t="str">
        <f ca="1">IFERROR(__xludf.DUMMYFUNCTION("""COMPUTED_VALUE"""),"No, But if someone could bare the cost I will")</f>
        <v>No, But if someone could bare the cost I will</v>
      </c>
      <c r="G981" s="1" t="str">
        <f ca="1">IFERROR(__xludf.DUMMYFUNCTION("""COMPUTED_VALUE"""),"Will work for 3 years or more")</f>
        <v>Will work for 3 years or more</v>
      </c>
      <c r="H981" s="1" t="str">
        <f ca="1">IFERROR(__xludf.DUMMYFUNCTION("""COMPUTED_VALUE"""),"No")</f>
        <v>No</v>
      </c>
      <c r="I981" s="1" t="str">
        <f ca="1">IFERROR(__xludf.DUMMYFUNCTION("""COMPUTED_VALUE"""),"Will NOT work for them")</f>
        <v>Will NOT work for them</v>
      </c>
      <c r="J981" s="1">
        <f ca="1">IFERROR(__xludf.DUMMYFUNCTION("""COMPUTED_VALUE"""),1)</f>
        <v>1</v>
      </c>
      <c r="K981" s="1" t="str">
        <f ca="1">IFERROR(__xludf.DUMMYFUNCTION("""COMPUTED_VALUE"""),"Fully Remote with Options to travel as and when needed")</f>
        <v>Fully Remote with Options to travel as and when needed</v>
      </c>
      <c r="L981" s="1" t="str">
        <f ca="1">IFERROR(__xludf.DUMMYFUNCTION("""COMPUTED_VALUE"""),"Employer who pushes your limits by enabling an learning environment, and rewards you at the end")</f>
        <v>Employer who pushes your limits by enabling an learning environment, and rewards you at the end</v>
      </c>
      <c r="M98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1"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981" s="1" t="str">
        <f ca="1">IFERROR(__xludf.DUMMYFUNCTION("""COMPUTED_VALUE"""),"Manager who explains what is expected, sets a goal and helps achieve it")</f>
        <v>Manager who explains what is expected, sets a goal and helps achieve it</v>
      </c>
      <c r="P981" s="1" t="str">
        <f ca="1">IFERROR(__xludf.DUMMYFUNCTION("""COMPUTED_VALUE"""),"Work with more than 10 people in my team")</f>
        <v>Work with more than 10 people in my team</v>
      </c>
      <c r="Q981" s="1"/>
    </row>
    <row r="982" spans="1:17" ht="13.2" x14ac:dyDescent="0.25">
      <c r="A982" s="2">
        <f ca="1">IFERROR(__xludf.DUMMYFUNCTION("""COMPUTED_VALUE"""),45033.7427592361)</f>
        <v>45033.742759236098</v>
      </c>
      <c r="B982" s="1" t="str">
        <f ca="1">IFERROR(__xludf.DUMMYFUNCTION("""COMPUTED_VALUE"""),"India")</f>
        <v>India</v>
      </c>
      <c r="C982" s="1">
        <f ca="1">IFERROR(__xludf.DUMMYFUNCTION("""COMPUTED_VALUE"""),440008)</f>
        <v>440008</v>
      </c>
      <c r="D982" s="3" t="str">
        <f ca="1">IFERROR(__xludf.DUMMYFUNCTION("""COMPUTED_VALUE"""),"Male")</f>
        <v>Male</v>
      </c>
      <c r="E982" s="1" t="str">
        <f ca="1">IFERROR(__xludf.DUMMYFUNCTION("""COMPUTED_VALUE"""),"People who have changed the world for better")</f>
        <v>People who have changed the world for better</v>
      </c>
      <c r="F982" s="1" t="str">
        <f ca="1">IFERROR(__xludf.DUMMYFUNCTION("""COMPUTED_VALUE"""),"Yes, I will earn and do that")</f>
        <v>Yes, I will earn and do that</v>
      </c>
      <c r="G982" s="1" t="str">
        <f ca="1">IFERROR(__xludf.DUMMYFUNCTION("""COMPUTED_VALUE"""),"This will be hard to do, but if it is the right company I would try")</f>
        <v>This will be hard to do, but if it is the right company I would try</v>
      </c>
      <c r="H982" s="1" t="str">
        <f ca="1">IFERROR(__xludf.DUMMYFUNCTION("""COMPUTED_VALUE"""),"No")</f>
        <v>No</v>
      </c>
      <c r="I982" s="1" t="str">
        <f ca="1">IFERROR(__xludf.DUMMYFUNCTION("""COMPUTED_VALUE"""),"Will NOT work for them")</f>
        <v>Will NOT work for them</v>
      </c>
      <c r="J982" s="1">
        <f ca="1">IFERROR(__xludf.DUMMYFUNCTION("""COMPUTED_VALUE"""),5)</f>
        <v>5</v>
      </c>
      <c r="K982" s="1" t="str">
        <f ca="1">IFERROR(__xludf.DUMMYFUNCTION("""COMPUTED_VALUE"""),"Hybrid Working Environment with more than 15 days a month at office")</f>
        <v>Hybrid Working Environment with more than 15 days a month at office</v>
      </c>
      <c r="L982" s="1" t="str">
        <f ca="1">IFERROR(__xludf.DUMMYFUNCTION("""COMPUTED_VALUE"""),"Employer who pushes your limits by enabling an learning environment, and rewards you at the end")</f>
        <v>Employer who pushes your limits by enabling an learning environment, and rewards you at the end</v>
      </c>
      <c r="M98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8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2" s="1" t="str">
        <f ca="1">IFERROR(__xludf.DUMMYFUNCTION("""COMPUTED_VALUE"""),"Manager who sets goal and helps me achieve it")</f>
        <v>Manager who sets goal and helps me achieve it</v>
      </c>
      <c r="P982" s="1" t="str">
        <f ca="1">IFERROR(__xludf.DUMMYFUNCTION("""COMPUTED_VALUE"""),"Work with 5 to 6 people in my team")</f>
        <v>Work with 5 to 6 people in my team</v>
      </c>
      <c r="Q982" s="1"/>
    </row>
    <row r="983" spans="1:17" ht="13.2" x14ac:dyDescent="0.25">
      <c r="A983" s="2">
        <f ca="1">IFERROR(__xludf.DUMMYFUNCTION("""COMPUTED_VALUE"""),45033.7460310069)</f>
        <v>45033.7460310069</v>
      </c>
      <c r="B983" s="1" t="str">
        <f ca="1">IFERROR(__xludf.DUMMYFUNCTION("""COMPUTED_VALUE"""),"India")</f>
        <v>India</v>
      </c>
      <c r="C983" s="1">
        <f ca="1">IFERROR(__xludf.DUMMYFUNCTION("""COMPUTED_VALUE"""),441207)</f>
        <v>441207</v>
      </c>
      <c r="D983" s="3" t="str">
        <f ca="1">IFERROR(__xludf.DUMMYFUNCTION("""COMPUTED_VALUE"""),"Female")</f>
        <v>Female</v>
      </c>
      <c r="E983" s="1" t="str">
        <f ca="1">IFERROR(__xludf.DUMMYFUNCTION("""COMPUTED_VALUE"""),"My Parents")</f>
        <v>My Parents</v>
      </c>
      <c r="F983" s="1" t="str">
        <f ca="1">IFERROR(__xludf.DUMMYFUNCTION("""COMPUTED_VALUE"""),"Yes, I will earn and do that")</f>
        <v>Yes, I will earn and do that</v>
      </c>
      <c r="G983" s="1" t="str">
        <f ca="1">IFERROR(__xludf.DUMMYFUNCTION("""COMPUTED_VALUE"""),"This will be hard to do, but if it is the right company I would try")</f>
        <v>This will be hard to do, but if it is the right company I would try</v>
      </c>
      <c r="H983" s="1" t="str">
        <f ca="1">IFERROR(__xludf.DUMMYFUNCTION("""COMPUTED_VALUE"""),"No")</f>
        <v>No</v>
      </c>
      <c r="I983" s="1" t="str">
        <f ca="1">IFERROR(__xludf.DUMMYFUNCTION("""COMPUTED_VALUE"""),"Will NOT work for them")</f>
        <v>Will NOT work for them</v>
      </c>
      <c r="J983" s="1">
        <f ca="1">IFERROR(__xludf.DUMMYFUNCTION("""COMPUTED_VALUE"""),6)</f>
        <v>6</v>
      </c>
      <c r="K983" s="1" t="str">
        <f ca="1">IFERROR(__xludf.DUMMYFUNCTION("""COMPUTED_VALUE"""),"Hybrid Working Environment with less than 3 days a month at office")</f>
        <v>Hybrid Working Environment with less than 3 days a month at office</v>
      </c>
      <c r="L983" s="1" t="str">
        <f ca="1">IFERROR(__xludf.DUMMYFUNCTION("""COMPUTED_VALUE"""),"Employer who appreciates learning and enables that environment")</f>
        <v>Employer who appreciates learning and enables that environment</v>
      </c>
      <c r="M9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8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983" s="1" t="str">
        <f ca="1">IFERROR(__xludf.DUMMYFUNCTION("""COMPUTED_VALUE"""),"Manager who clearly describes what she/he needs")</f>
        <v>Manager who clearly describes what she/he needs</v>
      </c>
      <c r="P983" s="1" t="str">
        <f ca="1">IFERROR(__xludf.DUMMYFUNCTION("""COMPUTED_VALUE"""),"Work with 2 to 3 people in my team")</f>
        <v>Work with 2 to 3 people in my team</v>
      </c>
      <c r="Q983" s="1"/>
    </row>
    <row r="984" spans="1:17" ht="13.2" x14ac:dyDescent="0.25">
      <c r="A984" s="2">
        <f ca="1">IFERROR(__xludf.DUMMYFUNCTION("""COMPUTED_VALUE"""),45039.5162302662)</f>
        <v>45039.516230266199</v>
      </c>
      <c r="B984" s="1" t="str">
        <f ca="1">IFERROR(__xludf.DUMMYFUNCTION("""COMPUTED_VALUE"""),"India")</f>
        <v>India</v>
      </c>
      <c r="C984" s="1">
        <f ca="1">IFERROR(__xludf.DUMMYFUNCTION("""COMPUTED_VALUE"""),301001)</f>
        <v>301001</v>
      </c>
      <c r="D984" s="3" t="str">
        <f ca="1">IFERROR(__xludf.DUMMYFUNCTION("""COMPUTED_VALUE"""),"Male")</f>
        <v>Male</v>
      </c>
      <c r="E984" s="1" t="str">
        <f ca="1">IFERROR(__xludf.DUMMYFUNCTION("""COMPUTED_VALUE"""),"My Parents")</f>
        <v>My Parents</v>
      </c>
      <c r="F984" s="1" t="str">
        <f ca="1">IFERROR(__xludf.DUMMYFUNCTION("""COMPUTED_VALUE"""),"Yes, I will earn and do that")</f>
        <v>Yes, I will earn and do that</v>
      </c>
      <c r="G984" s="1" t="str">
        <f ca="1">IFERROR(__xludf.DUMMYFUNCTION("""COMPUTED_VALUE"""),"This will be hard to do, but if it is the right company I would try")</f>
        <v>This will be hard to do, but if it is the right company I would try</v>
      </c>
      <c r="H984" s="1" t="str">
        <f ca="1">IFERROR(__xludf.DUMMYFUNCTION("""COMPUTED_VALUE"""),"No")</f>
        <v>No</v>
      </c>
      <c r="I984" s="1" t="str">
        <f ca="1">IFERROR(__xludf.DUMMYFUNCTION("""COMPUTED_VALUE"""),"Will NOT work for them")</f>
        <v>Will NOT work for them</v>
      </c>
      <c r="J984" s="1">
        <f ca="1">IFERROR(__xludf.DUMMYFUNCTION("""COMPUTED_VALUE"""),7)</f>
        <v>7</v>
      </c>
      <c r="K984" s="1" t="str">
        <f ca="1">IFERROR(__xludf.DUMMYFUNCTION("""COMPUTED_VALUE"""),"Hybrid Working Environment with more than 15 days a month at office")</f>
        <v>Hybrid Working Environment with more than 15 days a month at office</v>
      </c>
      <c r="L984" s="1" t="str">
        <f ca="1">IFERROR(__xludf.DUMMYFUNCTION("""COMPUTED_VALUE"""),"Employer who pushes your limits by enabling an learning environment, and rewards you at the end")</f>
        <v>Employer who pushes your limits by enabling an learning environment, and rewards you at the end</v>
      </c>
      <c r="M98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84" s="1" t="str">
        <f ca="1">IFERROR(__xludf.DUMMYFUNCTION("""COMPUTED_VALUE"""),"Manager who explains what is expected, sets a goal and helps achieve it")</f>
        <v>Manager who explains what is expected, sets a goal and helps achieve it</v>
      </c>
      <c r="P984" s="1" t="str">
        <f ca="1">IFERROR(__xludf.DUMMYFUNCTION("""COMPUTED_VALUE"""),"Work with 5 to 6 people in my team")</f>
        <v>Work with 5 to 6 people in my team</v>
      </c>
      <c r="Q984" s="1"/>
    </row>
    <row r="985" spans="1:17" ht="13.2" x14ac:dyDescent="0.25">
      <c r="A985" s="2">
        <f ca="1">IFERROR(__xludf.DUMMYFUNCTION("""COMPUTED_VALUE"""),45043.8720767823)</f>
        <v>45043.872076782303</v>
      </c>
      <c r="B985" s="1" t="str">
        <f ca="1">IFERROR(__xludf.DUMMYFUNCTION("""COMPUTED_VALUE"""),"India")</f>
        <v>India</v>
      </c>
      <c r="C985" s="1">
        <f ca="1">IFERROR(__xludf.DUMMYFUNCTION("""COMPUTED_VALUE"""),431203)</f>
        <v>431203</v>
      </c>
      <c r="D985" s="3" t="str">
        <f ca="1">IFERROR(__xludf.DUMMYFUNCTION("""COMPUTED_VALUE"""),"Male")</f>
        <v>Male</v>
      </c>
      <c r="E985" s="1" t="str">
        <f ca="1">IFERROR(__xludf.DUMMYFUNCTION("""COMPUTED_VALUE"""),"People from my circle, but not family members")</f>
        <v>People from my circle, but not family members</v>
      </c>
      <c r="F985" s="1" t="str">
        <f ca="1">IFERROR(__xludf.DUMMYFUNCTION("""COMPUTED_VALUE"""),"Yes, I will earn and do that")</f>
        <v>Yes, I will earn and do that</v>
      </c>
      <c r="G985" s="1" t="str">
        <f ca="1">IFERROR(__xludf.DUMMYFUNCTION("""COMPUTED_VALUE"""),"This will be hard to do, but if it is the right company I would try")</f>
        <v>This will be hard to do, but if it is the right company I would try</v>
      </c>
      <c r="H985" s="1" t="str">
        <f ca="1">IFERROR(__xludf.DUMMYFUNCTION("""COMPUTED_VALUE"""),"No")</f>
        <v>No</v>
      </c>
      <c r="I985" s="1" t="str">
        <f ca="1">IFERROR(__xludf.DUMMYFUNCTION("""COMPUTED_VALUE"""),"Will NOT work for them")</f>
        <v>Will NOT work for them</v>
      </c>
      <c r="J985" s="1">
        <f ca="1">IFERROR(__xludf.DUMMYFUNCTION("""COMPUTED_VALUE"""),7)</f>
        <v>7</v>
      </c>
      <c r="K985" s="1" t="str">
        <f ca="1">IFERROR(__xludf.DUMMYFUNCTION("""COMPUTED_VALUE"""),"Hybrid Working Environment with more than 15 days a month at office")</f>
        <v>Hybrid Working Environment with more than 15 days a month at office</v>
      </c>
      <c r="L985" s="1" t="str">
        <f ca="1">IFERROR(__xludf.DUMMYFUNCTION("""COMPUTED_VALUE"""),"Employer who pushes your limits by enabling an learning environment, and rewards you at the end")</f>
        <v>Employer who pushes your limits by enabling an learning environment, and rewards you at the end</v>
      </c>
      <c r="M98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5" s="1" t="str">
        <f ca="1">IFERROR(__xludf.DUMMYFUNCTION("""COMPUTED_VALUE"""),"Business Operations in any organization, Manage and drive End-to-End Projects or Products, Look deeply into Data and generate insights, I Want to sell things/Sales")</f>
        <v>Business Operations in any organization, Manage and drive End-to-End Projects or Products, Look deeply into Data and generate insights, I Want to sell things/Sales</v>
      </c>
      <c r="O985" s="1" t="str">
        <f ca="1">IFERROR(__xludf.DUMMYFUNCTION("""COMPUTED_VALUE"""),"Manager who explains what is expected, sets a goal and helps achieve it")</f>
        <v>Manager who explains what is expected, sets a goal and helps achieve it</v>
      </c>
      <c r="P985" s="1" t="str">
        <f ca="1">IFERROR(__xludf.DUMMYFUNCTION("""COMPUTED_VALUE"""),"Work with more than 10 people in my team")</f>
        <v>Work with more than 10 people in my team</v>
      </c>
      <c r="Q985" s="1"/>
    </row>
    <row r="986" spans="1:17" ht="13.2" x14ac:dyDescent="0.25">
      <c r="A986" s="2">
        <f ca="1">IFERROR(__xludf.DUMMYFUNCTION("""COMPUTED_VALUE"""),45043.8772189004)</f>
        <v>45043.877218900401</v>
      </c>
      <c r="B986" s="1" t="str">
        <f ca="1">IFERROR(__xludf.DUMMYFUNCTION("""COMPUTED_VALUE"""),"India")</f>
        <v>India</v>
      </c>
      <c r="C986" s="1">
        <f ca="1">IFERROR(__xludf.DUMMYFUNCTION("""COMPUTED_VALUE"""),411047)</f>
        <v>411047</v>
      </c>
      <c r="D986" s="3" t="str">
        <f ca="1">IFERROR(__xludf.DUMMYFUNCTION("""COMPUTED_VALUE"""),"Male")</f>
        <v>Male</v>
      </c>
      <c r="E986" s="1" t="str">
        <f ca="1">IFERROR(__xludf.DUMMYFUNCTION("""COMPUTED_VALUE"""),"People from my circle, but not family members")</f>
        <v>People from my circle, but not family members</v>
      </c>
      <c r="F986" s="1" t="str">
        <f ca="1">IFERROR(__xludf.DUMMYFUNCTION("""COMPUTED_VALUE"""),"No, But if someone could bare the cost I will")</f>
        <v>No, But if someone could bare the cost I will</v>
      </c>
      <c r="G986" s="1" t="str">
        <f ca="1">IFERROR(__xludf.DUMMYFUNCTION("""COMPUTED_VALUE"""),"This will be hard to do, but if it is the right company I would try")</f>
        <v>This will be hard to do, but if it is the right company I would try</v>
      </c>
      <c r="H986" s="1" t="str">
        <f ca="1">IFERROR(__xludf.DUMMYFUNCTION("""COMPUTED_VALUE"""),"No")</f>
        <v>No</v>
      </c>
      <c r="I986" s="1" t="str">
        <f ca="1">IFERROR(__xludf.DUMMYFUNCTION("""COMPUTED_VALUE"""),"Will NOT work for them")</f>
        <v>Will NOT work for them</v>
      </c>
      <c r="J986" s="1">
        <f ca="1">IFERROR(__xludf.DUMMYFUNCTION("""COMPUTED_VALUE"""),4)</f>
        <v>4</v>
      </c>
      <c r="K986" s="1" t="str">
        <f ca="1">IFERROR(__xludf.DUMMYFUNCTION("""COMPUTED_VALUE"""),"Fully Remote with Options to travel as and when needed")</f>
        <v>Fully Remote with Options to travel as and when needed</v>
      </c>
      <c r="L986" s="1" t="str">
        <f ca="1">IFERROR(__xludf.DUMMYFUNCTION("""COMPUTED_VALUE"""),"Employer who pushes your limits by enabling an learning environment, and rewards you at the end")</f>
        <v>Employer who pushes your limits by enabling an learning environment, and rewards you at the end</v>
      </c>
      <c r="M98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86"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986" s="1" t="str">
        <f ca="1">IFERROR(__xludf.DUMMYFUNCTION("""COMPUTED_VALUE"""),"Manager who explains what is expected, sets a goal and helps achieve it")</f>
        <v>Manager who explains what is expected, sets a goal and helps achieve it</v>
      </c>
      <c r="P986" s="1" t="str">
        <f ca="1">IFERROR(__xludf.DUMMYFUNCTION("""COMPUTED_VALUE"""),"Work alone, Work with 2 to 3 people in my team")</f>
        <v>Work alone, Work with 2 to 3 people in my team</v>
      </c>
      <c r="Q986" s="1"/>
    </row>
    <row r="987" spans="1:17" ht="13.2" x14ac:dyDescent="0.25">
      <c r="A987" s="2">
        <f ca="1">IFERROR(__xludf.DUMMYFUNCTION("""COMPUTED_VALUE"""),45043.8777726851)</f>
        <v>45043.877772685097</v>
      </c>
      <c r="B987" s="1" t="str">
        <f ca="1">IFERROR(__xludf.DUMMYFUNCTION("""COMPUTED_VALUE"""),"India")</f>
        <v>India</v>
      </c>
      <c r="C987" s="1">
        <f ca="1">IFERROR(__xludf.DUMMYFUNCTION("""COMPUTED_VALUE"""),641035)</f>
        <v>641035</v>
      </c>
      <c r="D987" s="3" t="str">
        <f ca="1">IFERROR(__xludf.DUMMYFUNCTION("""COMPUTED_VALUE"""),"Male")</f>
        <v>Male</v>
      </c>
      <c r="E987" s="1" t="str">
        <f ca="1">IFERROR(__xludf.DUMMYFUNCTION("""COMPUTED_VALUE"""),"My Parents")</f>
        <v>My Parents</v>
      </c>
      <c r="F987" s="1" t="str">
        <f ca="1">IFERROR(__xludf.DUMMYFUNCTION("""COMPUTED_VALUE"""),"Yes, I will earn and do that")</f>
        <v>Yes, I will earn and do that</v>
      </c>
      <c r="G987" s="1" t="str">
        <f ca="1">IFERROR(__xludf.DUMMYFUNCTION("""COMPUTED_VALUE"""),"Will work for 3 years or more")</f>
        <v>Will work for 3 years or more</v>
      </c>
      <c r="H987" s="1" t="str">
        <f ca="1">IFERROR(__xludf.DUMMYFUNCTION("""COMPUTED_VALUE"""),"Yes")</f>
        <v>Yes</v>
      </c>
      <c r="I987" s="1" t="str">
        <f ca="1">IFERROR(__xludf.DUMMYFUNCTION("""COMPUTED_VALUE"""),"Will work for them")</f>
        <v>Will work for them</v>
      </c>
      <c r="J987" s="1">
        <f ca="1">IFERROR(__xludf.DUMMYFUNCTION("""COMPUTED_VALUE"""),6)</f>
        <v>6</v>
      </c>
      <c r="K987" s="1" t="str">
        <f ca="1">IFERROR(__xludf.DUMMYFUNCTION("""COMPUTED_VALUE"""),"Hybrid Working Environment with less than 3 days a month at office")</f>
        <v>Hybrid Working Environment with less than 3 days a month at office</v>
      </c>
      <c r="L987" s="1" t="str">
        <f ca="1">IFERROR(__xludf.DUMMYFUNCTION("""COMPUTED_VALUE"""),"Employer who appreciates learning and enables that environment")</f>
        <v>Employer who appreciates learning and enables that environment</v>
      </c>
      <c r="M9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7"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987" s="1" t="str">
        <f ca="1">IFERROR(__xludf.DUMMYFUNCTION("""COMPUTED_VALUE"""),"Manager who sets goal and helps me achieve it")</f>
        <v>Manager who sets goal and helps me achieve it</v>
      </c>
      <c r="P987" s="1" t="str">
        <f ca="1">IFERROR(__xludf.DUMMYFUNCTION("""COMPUTED_VALUE"""),"Work with 5 to 6 people in my team")</f>
        <v>Work with 5 to 6 people in my team</v>
      </c>
      <c r="Q987" s="1"/>
    </row>
    <row r="988" spans="1:17" ht="13.2" x14ac:dyDescent="0.25">
      <c r="A988" s="2">
        <f ca="1">IFERROR(__xludf.DUMMYFUNCTION("""COMPUTED_VALUE"""),45043.878563368)</f>
        <v>45043.878563368002</v>
      </c>
      <c r="B988" s="1" t="str">
        <f ca="1">IFERROR(__xludf.DUMMYFUNCTION("""COMPUTED_VALUE"""),"India")</f>
        <v>India</v>
      </c>
      <c r="C988" s="1">
        <f ca="1">IFERROR(__xludf.DUMMYFUNCTION("""COMPUTED_VALUE"""),431133)</f>
        <v>431133</v>
      </c>
      <c r="D988" s="3" t="str">
        <f ca="1">IFERROR(__xludf.DUMMYFUNCTION("""COMPUTED_VALUE"""),"Male")</f>
        <v>Male</v>
      </c>
      <c r="E988" s="1" t="str">
        <f ca="1">IFERROR(__xludf.DUMMYFUNCTION("""COMPUTED_VALUE"""),"People from my circle, but not family members")</f>
        <v>People from my circle, but not family members</v>
      </c>
      <c r="F988" s="1" t="str">
        <f ca="1">IFERROR(__xludf.DUMMYFUNCTION("""COMPUTED_VALUE"""),"No, But if someone could bare the cost I will")</f>
        <v>No, But if someone could bare the cost I will</v>
      </c>
      <c r="G988" s="1" t="str">
        <f ca="1">IFERROR(__xludf.DUMMYFUNCTION("""COMPUTED_VALUE"""),"This will be hard to do, but if it is the right company I would try")</f>
        <v>This will be hard to do, but if it is the right company I would try</v>
      </c>
      <c r="H988" s="1" t="str">
        <f ca="1">IFERROR(__xludf.DUMMYFUNCTION("""COMPUTED_VALUE"""),"No")</f>
        <v>No</v>
      </c>
      <c r="I988" s="1" t="str">
        <f ca="1">IFERROR(__xludf.DUMMYFUNCTION("""COMPUTED_VALUE"""),"Will NOT work for them")</f>
        <v>Will NOT work for them</v>
      </c>
      <c r="J988" s="1">
        <f ca="1">IFERROR(__xludf.DUMMYFUNCTION("""COMPUTED_VALUE"""),5)</f>
        <v>5</v>
      </c>
      <c r="K988" s="1" t="str">
        <f ca="1">IFERROR(__xludf.DUMMYFUNCTION("""COMPUTED_VALUE"""),"Hybrid Working Environment with more than 15 days a month at office")</f>
        <v>Hybrid Working Environment with more than 15 days a month at office</v>
      </c>
      <c r="L988" s="1" t="str">
        <f ca="1">IFERROR(__xludf.DUMMYFUNCTION("""COMPUTED_VALUE"""),"Employer who rewards learning and enables that environment")</f>
        <v>Employer who rewards learning and enables that environment</v>
      </c>
      <c r="M9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8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8" s="1" t="str">
        <f ca="1">IFERROR(__xludf.DUMMYFUNCTION("""COMPUTED_VALUE"""),"Manager who sets goal and helps me achieve it")</f>
        <v>Manager who sets goal and helps me achieve it</v>
      </c>
      <c r="P988" s="1" t="str">
        <f ca="1">IFERROR(__xludf.DUMMYFUNCTION("""COMPUTED_VALUE"""),"Work with 2 to 3 people in my team")</f>
        <v>Work with 2 to 3 people in my team</v>
      </c>
      <c r="Q988" s="1"/>
    </row>
    <row r="989" spans="1:17" ht="13.2" x14ac:dyDescent="0.25">
      <c r="A989" s="2">
        <f ca="1">IFERROR(__xludf.DUMMYFUNCTION("""COMPUTED_VALUE"""),45043.8789728125)</f>
        <v>45043.878972812498</v>
      </c>
      <c r="B989" s="1" t="str">
        <f ca="1">IFERROR(__xludf.DUMMYFUNCTION("""COMPUTED_VALUE"""),"India")</f>
        <v>India</v>
      </c>
      <c r="C989" s="1">
        <f ca="1">IFERROR(__xludf.DUMMYFUNCTION("""COMPUTED_VALUE"""),425001)</f>
        <v>425001</v>
      </c>
      <c r="D989" s="3" t="str">
        <f ca="1">IFERROR(__xludf.DUMMYFUNCTION("""COMPUTED_VALUE"""),"Male")</f>
        <v>Male</v>
      </c>
      <c r="E989" s="1" t="str">
        <f ca="1">IFERROR(__xludf.DUMMYFUNCTION("""COMPUTED_VALUE"""),"Social Media like LinkedIn")</f>
        <v>Social Media like LinkedIn</v>
      </c>
      <c r="F989" s="1" t="str">
        <f ca="1">IFERROR(__xludf.DUMMYFUNCTION("""COMPUTED_VALUE"""),"Yes, I will earn and do that")</f>
        <v>Yes, I will earn and do that</v>
      </c>
      <c r="G989" s="1" t="str">
        <f ca="1">IFERROR(__xludf.DUMMYFUNCTION("""COMPUTED_VALUE"""),"This will be hard to do, but if it is the right company I would try")</f>
        <v>This will be hard to do, but if it is the right company I would try</v>
      </c>
      <c r="H989" s="1" t="str">
        <f ca="1">IFERROR(__xludf.DUMMYFUNCTION("""COMPUTED_VALUE"""),"No")</f>
        <v>No</v>
      </c>
      <c r="I989" s="1" t="str">
        <f ca="1">IFERROR(__xludf.DUMMYFUNCTION("""COMPUTED_VALUE"""),"Will work for them")</f>
        <v>Will work for them</v>
      </c>
      <c r="J989" s="1">
        <f ca="1">IFERROR(__xludf.DUMMYFUNCTION("""COMPUTED_VALUE"""),8)</f>
        <v>8</v>
      </c>
      <c r="K989" s="1" t="str">
        <f ca="1">IFERROR(__xludf.DUMMYFUNCTION("""COMPUTED_VALUE"""),"Hybrid Working Environment with more than 15 days a month at office")</f>
        <v>Hybrid Working Environment with more than 15 days a month at office</v>
      </c>
      <c r="L989" s="1" t="str">
        <f ca="1">IFERROR(__xludf.DUMMYFUNCTION("""COMPUTED_VALUE"""),"Employer who pushes your limits by enabling an learning environment, and rewards you at the end")</f>
        <v>Employer who pushes your limits by enabling an learning environment, and rewards you at the end</v>
      </c>
      <c r="M989" s="1" t="str">
        <f ca="1">IFERROR(__xludf.DUMMYFUNCTION("""COMPUTED_VALUE"""),"Instructor or Expert Learning Programs, Learning by observing others, Manager Teaching you")</f>
        <v>Instructor or Expert Learning Programs, Learning by observing others, Manager Teaching you</v>
      </c>
      <c r="N98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989" s="1" t="str">
        <f ca="1">IFERROR(__xludf.DUMMYFUNCTION("""COMPUTED_VALUE"""),"Manager who sets goal and helps me achieve it")</f>
        <v>Manager who sets goal and helps me achieve it</v>
      </c>
      <c r="P989"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989" s="1"/>
    </row>
    <row r="990" spans="1:17" ht="13.2" x14ac:dyDescent="0.25">
      <c r="A990" s="2">
        <f ca="1">IFERROR(__xludf.DUMMYFUNCTION("""COMPUTED_VALUE"""),45043.8793478125)</f>
        <v>45043.879347812501</v>
      </c>
      <c r="B990" s="1" t="str">
        <f ca="1">IFERROR(__xludf.DUMMYFUNCTION("""COMPUTED_VALUE"""),"India")</f>
        <v>India</v>
      </c>
      <c r="C990" s="1">
        <f ca="1">IFERROR(__xludf.DUMMYFUNCTION("""COMPUTED_VALUE"""),560075)</f>
        <v>560075</v>
      </c>
      <c r="D990" s="3" t="str">
        <f ca="1">IFERROR(__xludf.DUMMYFUNCTION("""COMPUTED_VALUE"""),"Female")</f>
        <v>Female</v>
      </c>
      <c r="E990" s="1" t="str">
        <f ca="1">IFERROR(__xludf.DUMMYFUNCTION("""COMPUTED_VALUE"""),"People who have changed the world for better")</f>
        <v>People who have changed the world for better</v>
      </c>
      <c r="F990" s="1" t="str">
        <f ca="1">IFERROR(__xludf.DUMMYFUNCTION("""COMPUTED_VALUE"""),"No I would not be pursuing Higher Education outside of India")</f>
        <v>No I would not be pursuing Higher Education outside of India</v>
      </c>
      <c r="G990" s="1" t="str">
        <f ca="1">IFERROR(__xludf.DUMMYFUNCTION("""COMPUTED_VALUE"""),"This will be hard to do, but if it is the right company I would try")</f>
        <v>This will be hard to do, but if it is the right company I would try</v>
      </c>
      <c r="H990" s="1" t="str">
        <f ca="1">IFERROR(__xludf.DUMMYFUNCTION("""COMPUTED_VALUE"""),"No")</f>
        <v>No</v>
      </c>
      <c r="I990" s="1" t="str">
        <f ca="1">IFERROR(__xludf.DUMMYFUNCTION("""COMPUTED_VALUE"""),"Will NOT work for them")</f>
        <v>Will NOT work for them</v>
      </c>
      <c r="J990" s="1">
        <f ca="1">IFERROR(__xludf.DUMMYFUNCTION("""COMPUTED_VALUE"""),8)</f>
        <v>8</v>
      </c>
      <c r="K990" s="1" t="str">
        <f ca="1">IFERROR(__xludf.DUMMYFUNCTION("""COMPUTED_VALUE"""),"Hybrid Working Environment with more than 15 days a month at office")</f>
        <v>Hybrid Working Environment with more than 15 days a month at office</v>
      </c>
      <c r="L990" s="1" t="str">
        <f ca="1">IFERROR(__xludf.DUMMYFUNCTION("""COMPUTED_VALUE"""),"Employer who pushes your limits by enabling an learning environment, and rewards you at the end")</f>
        <v>Employer who pushes your limits by enabling an learning environment, and rewards you at the end</v>
      </c>
      <c r="M99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90" s="1" t="str">
        <f ca="1">IFERROR(__xludf.DUMMYFUNCTION("""COMPUTED_VALUE"""),"Manager who explains what is expected, sets a goal and helps achieve it")</f>
        <v>Manager who explains what is expected, sets a goal and helps achieve it</v>
      </c>
      <c r="P990" s="1" t="str">
        <f ca="1">IFERROR(__xludf.DUMMYFUNCTION("""COMPUTED_VALUE"""),"Work with 7 to 10 or more people in my team")</f>
        <v>Work with 7 to 10 or more people in my team</v>
      </c>
      <c r="Q990" s="1"/>
    </row>
    <row r="991" spans="1:17" ht="13.2" x14ac:dyDescent="0.25">
      <c r="A991" s="2">
        <f ca="1">IFERROR(__xludf.DUMMYFUNCTION("""COMPUTED_VALUE"""),45043.8796213078)</f>
        <v>45043.879621307802</v>
      </c>
      <c r="B991" s="1" t="str">
        <f ca="1">IFERROR(__xludf.DUMMYFUNCTION("""COMPUTED_VALUE"""),"India")</f>
        <v>India</v>
      </c>
      <c r="C991" s="1">
        <f ca="1">IFERROR(__xludf.DUMMYFUNCTION("""COMPUTED_VALUE"""),226201)</f>
        <v>226201</v>
      </c>
      <c r="D991" s="3" t="str">
        <f ca="1">IFERROR(__xludf.DUMMYFUNCTION("""COMPUTED_VALUE"""),"Male")</f>
        <v>Male</v>
      </c>
      <c r="E991" s="1" t="str">
        <f ca="1">IFERROR(__xludf.DUMMYFUNCTION("""COMPUTED_VALUE"""),"People who have changed the world for better")</f>
        <v>People who have changed the world for better</v>
      </c>
      <c r="F991" s="1" t="str">
        <f ca="1">IFERROR(__xludf.DUMMYFUNCTION("""COMPUTED_VALUE"""),"Yes, I will earn and do that")</f>
        <v>Yes, I will earn and do that</v>
      </c>
      <c r="G991" s="1" t="str">
        <f ca="1">IFERROR(__xludf.DUMMYFUNCTION("""COMPUTED_VALUE"""),"This will be hard to do, but if it is the right company I would try")</f>
        <v>This will be hard to do, but if it is the right company I would try</v>
      </c>
      <c r="H991" s="1" t="str">
        <f ca="1">IFERROR(__xludf.DUMMYFUNCTION("""COMPUTED_VALUE"""),"No")</f>
        <v>No</v>
      </c>
      <c r="I991" s="1" t="str">
        <f ca="1">IFERROR(__xludf.DUMMYFUNCTION("""COMPUTED_VALUE"""),"Will NOT work for them")</f>
        <v>Will NOT work for them</v>
      </c>
      <c r="J991" s="1">
        <f ca="1">IFERROR(__xludf.DUMMYFUNCTION("""COMPUTED_VALUE"""),6)</f>
        <v>6</v>
      </c>
      <c r="K991" s="1" t="str">
        <f ca="1">IFERROR(__xludf.DUMMYFUNCTION("""COMPUTED_VALUE"""),"Hybrid Working Environment with more than 15 days a month at office")</f>
        <v>Hybrid Working Environment with more than 15 days a month at office</v>
      </c>
      <c r="L991" s="1" t="str">
        <f ca="1">IFERROR(__xludf.DUMMYFUNCTION("""COMPUTED_VALUE"""),"Employer who pushes your limits by enabling an learning environment, and rewards you at the end")</f>
        <v>Employer who pushes your limits by enabling an learning environment, and rewards you at the end</v>
      </c>
      <c r="M991" s="1" t="str">
        <f ca="1">IFERROR(__xludf.DUMMYFUNCTION("""COMPUTED_VALUE"""),"Instructor or Expert Learning Programs, Self Purchased Course from External Platforms, Manager Teaching you")</f>
        <v>Instructor or Expert Learning Programs, Self Purchased Course from External Platforms, Manager Teaching you</v>
      </c>
      <c r="N991" s="1" t="str">
        <f ca="1">IFERROR(__xludf.DUMMYFUNCTION("""COMPUTED_VALUE"""),"Manage and drive End-to-End Projects or Products, Look deeply into Data and generate insights, An Artificial Intelligence Specialist / Talking to Robots, Manufacturing / Oil and Gas/ Construction / Hard Physical Work related")</f>
        <v>Manage and drive End-to-End Projects or Products, Look deeply into Data and generate insights, An Artificial Intelligence Specialist / Talking to Robots, Manufacturing / Oil and Gas/ Construction / Hard Physical Work related</v>
      </c>
      <c r="O991" s="1" t="str">
        <f ca="1">IFERROR(__xludf.DUMMYFUNCTION("""COMPUTED_VALUE"""),"Manager who explains what is expected, sets a goal and helps achieve it")</f>
        <v>Manager who explains what is expected, sets a goal and helps achieve it</v>
      </c>
      <c r="P991" s="1" t="str">
        <f ca="1">IFERROR(__xludf.DUMMYFUNCTION("""COMPUTED_VALUE"""),"Work with 5 to 6 people in my team")</f>
        <v>Work with 5 to 6 people in my team</v>
      </c>
      <c r="Q991" s="1"/>
    </row>
    <row r="992" spans="1:17" ht="13.2" x14ac:dyDescent="0.25">
      <c r="A992" s="2">
        <f ca="1">IFERROR(__xludf.DUMMYFUNCTION("""COMPUTED_VALUE"""),45043.8799211458)</f>
        <v>45043.879921145803</v>
      </c>
      <c r="B992" s="1" t="str">
        <f ca="1">IFERROR(__xludf.DUMMYFUNCTION("""COMPUTED_VALUE"""),"India")</f>
        <v>India</v>
      </c>
      <c r="C992" s="1">
        <f ca="1">IFERROR(__xludf.DUMMYFUNCTION("""COMPUTED_VALUE"""),570003)</f>
        <v>570003</v>
      </c>
      <c r="D992" s="3" t="str">
        <f ca="1">IFERROR(__xludf.DUMMYFUNCTION("""COMPUTED_VALUE"""),"Male")</f>
        <v>Male</v>
      </c>
      <c r="E992" s="1" t="str">
        <f ca="1">IFERROR(__xludf.DUMMYFUNCTION("""COMPUTED_VALUE"""),"People who have changed the world for better")</f>
        <v>People who have changed the world for better</v>
      </c>
      <c r="F992" s="1" t="str">
        <f ca="1">IFERROR(__xludf.DUMMYFUNCTION("""COMPUTED_VALUE"""),"No I would not be pursuing Higher Education outside of India")</f>
        <v>No I would not be pursuing Higher Education outside of India</v>
      </c>
      <c r="G992" s="1" t="str">
        <f ca="1">IFERROR(__xludf.DUMMYFUNCTION("""COMPUTED_VALUE"""),"This will be hard to do, but if it is the right company I would try")</f>
        <v>This will be hard to do, but if it is the right company I would try</v>
      </c>
      <c r="H992" s="1" t="str">
        <f ca="1">IFERROR(__xludf.DUMMYFUNCTION("""COMPUTED_VALUE"""),"No")</f>
        <v>No</v>
      </c>
      <c r="I992" s="1" t="str">
        <f ca="1">IFERROR(__xludf.DUMMYFUNCTION("""COMPUTED_VALUE"""),"Will NOT work for them")</f>
        <v>Will NOT work for them</v>
      </c>
      <c r="J992" s="1">
        <f ca="1">IFERROR(__xludf.DUMMYFUNCTION("""COMPUTED_VALUE"""),5)</f>
        <v>5</v>
      </c>
      <c r="K992" s="1" t="str">
        <f ca="1">IFERROR(__xludf.DUMMYFUNCTION("""COMPUTED_VALUE"""),"Hybrid Working Environment with more than 15 days a month at office")</f>
        <v>Hybrid Working Environment with more than 15 days a month at office</v>
      </c>
      <c r="L992" s="1" t="str">
        <f ca="1">IFERROR(__xludf.DUMMYFUNCTION("""COMPUTED_VALUE"""),"Employer who rewards learning and enables that environment")</f>
        <v>Employer who rewards learning and enables that environment</v>
      </c>
      <c r="M99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9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992" s="1" t="str">
        <f ca="1">IFERROR(__xludf.DUMMYFUNCTION("""COMPUTED_VALUE"""),"Manager who explains what is expected, sets a goal and helps achieve it")</f>
        <v>Manager who explains what is expected, sets a goal and helps achieve it</v>
      </c>
      <c r="P992" s="1" t="str">
        <f ca="1">IFERROR(__xludf.DUMMYFUNCTION("""COMPUTED_VALUE"""),"Work with 2 to 3 people in my team, Work with 5 to 6 people in my team")</f>
        <v>Work with 2 to 3 people in my team, Work with 5 to 6 people in my team</v>
      </c>
      <c r="Q992" s="1"/>
    </row>
    <row r="993" spans="1:17" ht="13.2" x14ac:dyDescent="0.25">
      <c r="A993" s="2">
        <f ca="1">IFERROR(__xludf.DUMMYFUNCTION("""COMPUTED_VALUE"""),45043.8803072222)</f>
        <v>45043.8803072222</v>
      </c>
      <c r="B993" s="1" t="str">
        <f ca="1">IFERROR(__xludf.DUMMYFUNCTION("""COMPUTED_VALUE"""),"India")</f>
        <v>India</v>
      </c>
      <c r="C993" s="1">
        <f ca="1">IFERROR(__xludf.DUMMYFUNCTION("""COMPUTED_VALUE"""),201002)</f>
        <v>201002</v>
      </c>
      <c r="D993" s="3" t="str">
        <f ca="1">IFERROR(__xludf.DUMMYFUNCTION("""COMPUTED_VALUE"""),"Male")</f>
        <v>Male</v>
      </c>
      <c r="E993" s="1" t="str">
        <f ca="1">IFERROR(__xludf.DUMMYFUNCTION("""COMPUTED_VALUE"""),"Social Media like LinkedIn")</f>
        <v>Social Media like LinkedIn</v>
      </c>
      <c r="F993" s="1" t="str">
        <f ca="1">IFERROR(__xludf.DUMMYFUNCTION("""COMPUTED_VALUE"""),"Yes, I will earn and do that")</f>
        <v>Yes, I will earn and do that</v>
      </c>
      <c r="G993" s="1" t="str">
        <f ca="1">IFERROR(__xludf.DUMMYFUNCTION("""COMPUTED_VALUE"""),"This will be hard to do, but if it is the right company I would try")</f>
        <v>This will be hard to do, but if it is the right company I would try</v>
      </c>
      <c r="H993" s="1" t="str">
        <f ca="1">IFERROR(__xludf.DUMMYFUNCTION("""COMPUTED_VALUE"""),"No")</f>
        <v>No</v>
      </c>
      <c r="I993" s="1" t="str">
        <f ca="1">IFERROR(__xludf.DUMMYFUNCTION("""COMPUTED_VALUE"""),"Will NOT work for them")</f>
        <v>Will NOT work for them</v>
      </c>
      <c r="J993" s="1">
        <f ca="1">IFERROR(__xludf.DUMMYFUNCTION("""COMPUTED_VALUE"""),8)</f>
        <v>8</v>
      </c>
      <c r="K993" s="1" t="str">
        <f ca="1">IFERROR(__xludf.DUMMYFUNCTION("""COMPUTED_VALUE"""),"Fully Remote with No option to visit offices")</f>
        <v>Fully Remote with No option to visit offices</v>
      </c>
      <c r="L993" s="1" t="str">
        <f ca="1">IFERROR(__xludf.DUMMYFUNCTION("""COMPUTED_VALUE"""),"Employer who pushes your limits by enabling an learning environment, and rewards you at the end")</f>
        <v>Employer who pushes your limits by enabling an learning environment, and rewards you at the end</v>
      </c>
      <c r="M993" s="1" t="str">
        <f ca="1">IFERROR(__xludf.DUMMYFUNCTION("""COMPUTED_VALUE"""),"Self Paced Learning Portals of the Company, Instructor or Expert Learning Programs, Manager Teaching you")</f>
        <v>Self Paced Learning Portals of the Company, Instructor or Expert Learning Programs, Manager Teaching you</v>
      </c>
      <c r="N993"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993" s="1" t="str">
        <f ca="1">IFERROR(__xludf.DUMMYFUNCTION("""COMPUTED_VALUE"""),"Manager who explains what is expected, sets a goal and helps achieve it")</f>
        <v>Manager who explains what is expected, sets a goal and helps achieve it</v>
      </c>
      <c r="P993" s="1" t="str">
        <f ca="1">IFERROR(__xludf.DUMMYFUNCTION("""COMPUTED_VALUE"""),"Work with 5 to 6 people in my team")</f>
        <v>Work with 5 to 6 people in my team</v>
      </c>
      <c r="Q993" s="1"/>
    </row>
    <row r="994" spans="1:17" ht="13.2" x14ac:dyDescent="0.25">
      <c r="A994" s="2">
        <f ca="1">IFERROR(__xludf.DUMMYFUNCTION("""COMPUTED_VALUE"""),45043.881235706)</f>
        <v>45043.881235706001</v>
      </c>
      <c r="B994" s="1" t="str">
        <f ca="1">IFERROR(__xludf.DUMMYFUNCTION("""COMPUTED_VALUE"""),"India")</f>
        <v>India</v>
      </c>
      <c r="C994" s="1">
        <f ca="1">IFERROR(__xludf.DUMMYFUNCTION("""COMPUTED_VALUE"""),411041)</f>
        <v>411041</v>
      </c>
      <c r="D994" s="3" t="str">
        <f ca="1">IFERROR(__xludf.DUMMYFUNCTION("""COMPUTED_VALUE"""),"Male")</f>
        <v>Male</v>
      </c>
      <c r="E994" s="1" t="str">
        <f ca="1">IFERROR(__xludf.DUMMYFUNCTION("""COMPUTED_VALUE"""),"People from my circle, but not family members")</f>
        <v>People from my circle, but not family members</v>
      </c>
      <c r="F994" s="1" t="str">
        <f ca="1">IFERROR(__xludf.DUMMYFUNCTION("""COMPUTED_VALUE"""),"Yes, I will earn and do that")</f>
        <v>Yes, I will earn and do that</v>
      </c>
      <c r="G994" s="1" t="str">
        <f ca="1">IFERROR(__xludf.DUMMYFUNCTION("""COMPUTED_VALUE"""),"Will work for 3 years or more")</f>
        <v>Will work for 3 years or more</v>
      </c>
      <c r="H994" s="1" t="str">
        <f ca="1">IFERROR(__xludf.DUMMYFUNCTION("""COMPUTED_VALUE"""),"No")</f>
        <v>No</v>
      </c>
      <c r="I994" s="1" t="str">
        <f ca="1">IFERROR(__xludf.DUMMYFUNCTION("""COMPUTED_VALUE"""),"Will NOT work for them")</f>
        <v>Will NOT work for them</v>
      </c>
      <c r="J994" s="1">
        <f ca="1">IFERROR(__xludf.DUMMYFUNCTION("""COMPUTED_VALUE"""),7)</f>
        <v>7</v>
      </c>
      <c r="K994" s="1" t="str">
        <f ca="1">IFERROR(__xludf.DUMMYFUNCTION("""COMPUTED_VALUE"""),"Hybrid Working Environment with less than 3 days a month at office")</f>
        <v>Hybrid Working Environment with less than 3 days a month at office</v>
      </c>
      <c r="L994" s="1" t="str">
        <f ca="1">IFERROR(__xludf.DUMMYFUNCTION("""COMPUTED_VALUE"""),"Employer who rewards learning and enables that environment")</f>
        <v>Employer who rewards learning and enables that environment</v>
      </c>
      <c r="M994" s="1" t="str">
        <f ca="1">IFERROR(__xludf.DUMMYFUNCTION("""COMPUTED_VALUE"""),"Self Paced Learning Portals of the Company, Instructor or Expert Learning Programs, Manager Teaching you")</f>
        <v>Self Paced Learning Portals of the Company, Instructor or Expert Learning Programs, Manager Teaching you</v>
      </c>
      <c r="N994"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4" s="1" t="str">
        <f ca="1">IFERROR(__xludf.DUMMYFUNCTION("""COMPUTED_VALUE"""),"Manager who explains what is expected, sets a goal and helps achieve it")</f>
        <v>Manager who explains what is expected, sets a goal and helps achieve it</v>
      </c>
      <c r="P994" s="1" t="str">
        <f ca="1">IFERROR(__xludf.DUMMYFUNCTION("""COMPUTED_VALUE"""),"Work with more than 10 people in my team")</f>
        <v>Work with more than 10 people in my team</v>
      </c>
      <c r="Q994" s="1"/>
    </row>
    <row r="995" spans="1:17" ht="13.2" x14ac:dyDescent="0.25">
      <c r="A995" s="2">
        <f ca="1">IFERROR(__xludf.DUMMYFUNCTION("""COMPUTED_VALUE"""),45043.8816473726)</f>
        <v>45043.881647372596</v>
      </c>
      <c r="B995" s="1" t="str">
        <f ca="1">IFERROR(__xludf.DUMMYFUNCTION("""COMPUTED_VALUE"""),"India")</f>
        <v>India</v>
      </c>
      <c r="C995" s="1">
        <f ca="1">IFERROR(__xludf.DUMMYFUNCTION("""COMPUTED_VALUE"""),211002)</f>
        <v>211002</v>
      </c>
      <c r="D995" s="3" t="str">
        <f ca="1">IFERROR(__xludf.DUMMYFUNCTION("""COMPUTED_VALUE"""),"Female")</f>
        <v>Female</v>
      </c>
      <c r="E995" s="1" t="str">
        <f ca="1">IFERROR(__xludf.DUMMYFUNCTION("""COMPUTED_VALUE"""),"Influencers who had successful careers")</f>
        <v>Influencers who had successful careers</v>
      </c>
      <c r="F995" s="1" t="str">
        <f ca="1">IFERROR(__xludf.DUMMYFUNCTION("""COMPUTED_VALUE"""),"No I would not be pursuing Higher Education outside of India")</f>
        <v>No I would not be pursuing Higher Education outside of India</v>
      </c>
      <c r="G995" s="1" t="str">
        <f ca="1">IFERROR(__xludf.DUMMYFUNCTION("""COMPUTED_VALUE"""),"Will work for 3 years or more")</f>
        <v>Will work for 3 years or more</v>
      </c>
      <c r="H995" s="1" t="str">
        <f ca="1">IFERROR(__xludf.DUMMYFUNCTION("""COMPUTED_VALUE"""),"No")</f>
        <v>No</v>
      </c>
      <c r="I995" s="1" t="str">
        <f ca="1">IFERROR(__xludf.DUMMYFUNCTION("""COMPUTED_VALUE"""),"Will NOT work for them")</f>
        <v>Will NOT work for them</v>
      </c>
      <c r="J995" s="1">
        <f ca="1">IFERROR(__xludf.DUMMYFUNCTION("""COMPUTED_VALUE"""),4)</f>
        <v>4</v>
      </c>
      <c r="K995" s="1" t="str">
        <f ca="1">IFERROR(__xludf.DUMMYFUNCTION("""COMPUTED_VALUE"""),"Hybrid Working Environment with more than 15 days a month at office")</f>
        <v>Hybrid Working Environment with more than 15 days a month at office</v>
      </c>
      <c r="L995" s="1" t="str">
        <f ca="1">IFERROR(__xludf.DUMMYFUNCTION("""COMPUTED_VALUE"""),"Employer who pushes your limits by enabling an learning environment, and rewards you at the end")</f>
        <v>Employer who pushes your limits by enabling an learning environment, and rewards you at the end</v>
      </c>
      <c r="M99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9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95" s="1" t="str">
        <f ca="1">IFERROR(__xludf.DUMMYFUNCTION("""COMPUTED_VALUE"""),"Manager who explains what is expected, sets a goal and helps achieve it")</f>
        <v>Manager who explains what is expected, sets a goal and helps achieve it</v>
      </c>
      <c r="P99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995" s="1"/>
    </row>
    <row r="996" spans="1:17" ht="13.2" x14ac:dyDescent="0.25">
      <c r="A996" s="2">
        <f ca="1">IFERROR(__xludf.DUMMYFUNCTION("""COMPUTED_VALUE"""),45043.8821773495)</f>
        <v>45043.8821773495</v>
      </c>
      <c r="B996" s="1" t="str">
        <f ca="1">IFERROR(__xludf.DUMMYFUNCTION("""COMPUTED_VALUE"""),"India")</f>
        <v>India</v>
      </c>
      <c r="C996" s="1">
        <f ca="1">IFERROR(__xludf.DUMMYFUNCTION("""COMPUTED_VALUE"""),201204)</f>
        <v>201204</v>
      </c>
      <c r="D996" s="3" t="str">
        <f ca="1">IFERROR(__xludf.DUMMYFUNCTION("""COMPUTED_VALUE"""),"Female")</f>
        <v>Female</v>
      </c>
      <c r="E996" s="1" t="str">
        <f ca="1">IFERROR(__xludf.DUMMYFUNCTION("""COMPUTED_VALUE"""),"My Parents")</f>
        <v>My Parents</v>
      </c>
      <c r="F996" s="1" t="str">
        <f ca="1">IFERROR(__xludf.DUMMYFUNCTION("""COMPUTED_VALUE"""),"Yes, I will earn and do that")</f>
        <v>Yes, I will earn and do that</v>
      </c>
      <c r="G996" s="1" t="str">
        <f ca="1">IFERROR(__xludf.DUMMYFUNCTION("""COMPUTED_VALUE"""),"This will be hard to do, but if it is the right company I would try")</f>
        <v>This will be hard to do, but if it is the right company I would try</v>
      </c>
      <c r="H996" s="1" t="str">
        <f ca="1">IFERROR(__xludf.DUMMYFUNCTION("""COMPUTED_VALUE"""),"Yes")</f>
        <v>Yes</v>
      </c>
      <c r="I996" s="1" t="str">
        <f ca="1">IFERROR(__xludf.DUMMYFUNCTION("""COMPUTED_VALUE"""),"Will NOT work for them")</f>
        <v>Will NOT work for them</v>
      </c>
      <c r="J996" s="1">
        <f ca="1">IFERROR(__xludf.DUMMYFUNCTION("""COMPUTED_VALUE"""),8)</f>
        <v>8</v>
      </c>
      <c r="K996" s="1" t="str">
        <f ca="1">IFERROR(__xludf.DUMMYFUNCTION("""COMPUTED_VALUE"""),"Hybrid Working Environment with more than 15 days a month at office")</f>
        <v>Hybrid Working Environment with more than 15 days a month at office</v>
      </c>
      <c r="L996" s="1" t="str">
        <f ca="1">IFERROR(__xludf.DUMMYFUNCTION("""COMPUTED_VALUE"""),"Employer who pushes your limits by enabling an learning environment, and rewards you at the end")</f>
        <v>Employer who pushes your limits by enabling an learning environment, and rewards you at the end</v>
      </c>
      <c r="M99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96"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6" s="1" t="str">
        <f ca="1">IFERROR(__xludf.DUMMYFUNCTION("""COMPUTED_VALUE"""),"Manager who explains what is expected, sets a goal and helps achieve it")</f>
        <v>Manager who explains what is expected, sets a goal and helps achieve it</v>
      </c>
      <c r="P996" s="1" t="str">
        <f ca="1">IFERROR(__xludf.DUMMYFUNCTION("""COMPUTED_VALUE"""),"Work with 2 to 3 people in my team, Work with 5 to 6 people in my team")</f>
        <v>Work with 2 to 3 people in my team, Work with 5 to 6 people in my team</v>
      </c>
      <c r="Q996" s="1"/>
    </row>
    <row r="997" spans="1:17" ht="13.2" x14ac:dyDescent="0.25">
      <c r="A997" s="2">
        <f ca="1">IFERROR(__xludf.DUMMYFUNCTION("""COMPUTED_VALUE"""),45043.8834200115)</f>
        <v>45043.883420011502</v>
      </c>
      <c r="B997" s="1" t="str">
        <f ca="1">IFERROR(__xludf.DUMMYFUNCTION("""COMPUTED_VALUE"""),"India")</f>
        <v>India</v>
      </c>
      <c r="C997" s="1">
        <f ca="1">IFERROR(__xludf.DUMMYFUNCTION("""COMPUTED_VALUE"""),503001)</f>
        <v>503001</v>
      </c>
      <c r="D997" s="3" t="str">
        <f ca="1">IFERROR(__xludf.DUMMYFUNCTION("""COMPUTED_VALUE"""),"Male")</f>
        <v>Male</v>
      </c>
      <c r="E997" s="1" t="str">
        <f ca="1">IFERROR(__xludf.DUMMYFUNCTION("""COMPUTED_VALUE"""),"Influencers who had successful careers")</f>
        <v>Influencers who had successful careers</v>
      </c>
      <c r="F997" s="1" t="str">
        <f ca="1">IFERROR(__xludf.DUMMYFUNCTION("""COMPUTED_VALUE"""),"No I would not be pursuing Higher Education outside of India")</f>
        <v>No I would not be pursuing Higher Education outside of India</v>
      </c>
      <c r="G997" s="1" t="str">
        <f ca="1">IFERROR(__xludf.DUMMYFUNCTION("""COMPUTED_VALUE"""),"This will be hard to do, but if it is the right company I would try")</f>
        <v>This will be hard to do, but if it is the right company I would try</v>
      </c>
      <c r="H997" s="1" t="str">
        <f ca="1">IFERROR(__xludf.DUMMYFUNCTION("""COMPUTED_VALUE"""),"Yes")</f>
        <v>Yes</v>
      </c>
      <c r="I997" s="1" t="str">
        <f ca="1">IFERROR(__xludf.DUMMYFUNCTION("""COMPUTED_VALUE"""),"Will work for them")</f>
        <v>Will work for them</v>
      </c>
      <c r="J997" s="1">
        <f ca="1">IFERROR(__xludf.DUMMYFUNCTION("""COMPUTED_VALUE"""),4)</f>
        <v>4</v>
      </c>
      <c r="K997" s="1" t="str">
        <f ca="1">IFERROR(__xludf.DUMMYFUNCTION("""COMPUTED_VALUE"""),"Hybrid Working Environment with more than 15 days a month at office")</f>
        <v>Hybrid Working Environment with more than 15 days a month at office</v>
      </c>
      <c r="L997" s="1" t="str">
        <f ca="1">IFERROR(__xludf.DUMMYFUNCTION("""COMPUTED_VALUE"""),"Employer who pushes your limits by enabling an learning environment, and rewards you at the end")</f>
        <v>Employer who pushes your limits by enabling an learning environment, and rewards you at the end</v>
      </c>
      <c r="M99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97"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97" s="1" t="str">
        <f ca="1">IFERROR(__xludf.DUMMYFUNCTION("""COMPUTED_VALUE"""),"Manager who explains what is expected, sets a goal and helps achieve it")</f>
        <v>Manager who explains what is expected, sets a goal and helps achieve it</v>
      </c>
      <c r="P997" s="1" t="str">
        <f ca="1">IFERROR(__xludf.DUMMYFUNCTION("""COMPUTED_VALUE"""),"Work with 2 to 3 people in my team")</f>
        <v>Work with 2 to 3 people in my team</v>
      </c>
      <c r="Q997" s="1"/>
    </row>
    <row r="998" spans="1:17" ht="13.2" x14ac:dyDescent="0.25">
      <c r="A998" s="2">
        <f ca="1">IFERROR(__xludf.DUMMYFUNCTION("""COMPUTED_VALUE"""),45043.8835174768)</f>
        <v>45043.883517476803</v>
      </c>
      <c r="B998" s="1" t="str">
        <f ca="1">IFERROR(__xludf.DUMMYFUNCTION("""COMPUTED_VALUE"""),"India")</f>
        <v>India</v>
      </c>
      <c r="C998" s="1">
        <f ca="1">IFERROR(__xludf.DUMMYFUNCTION("""COMPUTED_VALUE"""),453441)</f>
        <v>453441</v>
      </c>
      <c r="D998" s="3" t="str">
        <f ca="1">IFERROR(__xludf.DUMMYFUNCTION("""COMPUTED_VALUE"""),"Female")</f>
        <v>Female</v>
      </c>
      <c r="E998" s="1" t="str">
        <f ca="1">IFERROR(__xludf.DUMMYFUNCTION("""COMPUTED_VALUE"""),"People who have changed the world for better")</f>
        <v>People who have changed the world for better</v>
      </c>
      <c r="F998" s="1" t="str">
        <f ca="1">IFERROR(__xludf.DUMMYFUNCTION("""COMPUTED_VALUE"""),"Yes, I will earn and do that")</f>
        <v>Yes, I will earn and do that</v>
      </c>
      <c r="G998" s="1" t="str">
        <f ca="1">IFERROR(__xludf.DUMMYFUNCTION("""COMPUTED_VALUE"""),"Will work for 3 years or more")</f>
        <v>Will work for 3 years or more</v>
      </c>
      <c r="H998" s="1" t="str">
        <f ca="1">IFERROR(__xludf.DUMMYFUNCTION("""COMPUTED_VALUE"""),"No")</f>
        <v>No</v>
      </c>
      <c r="I998" s="1" t="str">
        <f ca="1">IFERROR(__xludf.DUMMYFUNCTION("""COMPUTED_VALUE"""),"Will NOT work for them")</f>
        <v>Will NOT work for them</v>
      </c>
      <c r="J998" s="1">
        <f ca="1">IFERROR(__xludf.DUMMYFUNCTION("""COMPUTED_VALUE"""),2)</f>
        <v>2</v>
      </c>
      <c r="K998" s="1" t="str">
        <f ca="1">IFERROR(__xludf.DUMMYFUNCTION("""COMPUTED_VALUE"""),"Fully Remote with Options to travel as and when needed")</f>
        <v>Fully Remote with Options to travel as and when needed</v>
      </c>
      <c r="L998" s="1" t="str">
        <f ca="1">IFERROR(__xludf.DUMMYFUNCTION("""COMPUTED_VALUE"""),"Employer who rewards learning and enables that environment")</f>
        <v>Employer who rewards learning and enables that environment</v>
      </c>
      <c r="M99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9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998" s="1" t="str">
        <f ca="1">IFERROR(__xludf.DUMMYFUNCTION("""COMPUTED_VALUE"""),"Manager who explains what is expected, sets a goal and helps achieve it")</f>
        <v>Manager who explains what is expected, sets a goal and helps achieve it</v>
      </c>
      <c r="P998" s="1" t="str">
        <f ca="1">IFERROR(__xludf.DUMMYFUNCTION("""COMPUTED_VALUE"""),"Work with 2 to 3 people in my team, Work with 5 to 6 people in my team")</f>
        <v>Work with 2 to 3 people in my team, Work with 5 to 6 people in my team</v>
      </c>
      <c r="Q998" s="1"/>
    </row>
    <row r="999" spans="1:17" ht="13.2" x14ac:dyDescent="0.25">
      <c r="A999" s="2">
        <f ca="1">IFERROR(__xludf.DUMMYFUNCTION("""COMPUTED_VALUE"""),45043.8836455787)</f>
        <v>45043.883645578702</v>
      </c>
      <c r="B999" s="1" t="str">
        <f ca="1">IFERROR(__xludf.DUMMYFUNCTION("""COMPUTED_VALUE"""),"India")</f>
        <v>India</v>
      </c>
      <c r="C999" s="1">
        <f ca="1">IFERROR(__xludf.DUMMYFUNCTION("""COMPUTED_VALUE"""),761001)</f>
        <v>761001</v>
      </c>
      <c r="D999" s="3" t="str">
        <f ca="1">IFERROR(__xludf.DUMMYFUNCTION("""COMPUTED_VALUE"""),"Male")</f>
        <v>Male</v>
      </c>
      <c r="E999" s="1" t="str">
        <f ca="1">IFERROR(__xludf.DUMMYFUNCTION("""COMPUTED_VALUE"""),"People from my circle, but not family members")</f>
        <v>People from my circle, but not family members</v>
      </c>
      <c r="F999" s="1" t="str">
        <f ca="1">IFERROR(__xludf.DUMMYFUNCTION("""COMPUTED_VALUE"""),"No I would not be pursuing Higher Education outside of India")</f>
        <v>No I would not be pursuing Higher Education outside of India</v>
      </c>
      <c r="G999" s="1" t="str">
        <f ca="1">IFERROR(__xludf.DUMMYFUNCTION("""COMPUTED_VALUE"""),"Will work for 3 years or more")</f>
        <v>Will work for 3 years or more</v>
      </c>
      <c r="H999" s="1" t="str">
        <f ca="1">IFERROR(__xludf.DUMMYFUNCTION("""COMPUTED_VALUE"""),"No")</f>
        <v>No</v>
      </c>
      <c r="I999" s="1" t="str">
        <f ca="1">IFERROR(__xludf.DUMMYFUNCTION("""COMPUTED_VALUE"""),"Will NOT work for them")</f>
        <v>Will NOT work for them</v>
      </c>
      <c r="J999" s="1">
        <f ca="1">IFERROR(__xludf.DUMMYFUNCTION("""COMPUTED_VALUE"""),7)</f>
        <v>7</v>
      </c>
      <c r="K999" s="1" t="str">
        <f ca="1">IFERROR(__xludf.DUMMYFUNCTION("""COMPUTED_VALUE"""),"Hybrid Working Environment with more than 15 days a month at office")</f>
        <v>Hybrid Working Environment with more than 15 days a month at office</v>
      </c>
      <c r="L999" s="1" t="str">
        <f ca="1">IFERROR(__xludf.DUMMYFUNCTION("""COMPUTED_VALUE"""),"Employer who pushes your limits by enabling an learning environment, and rewards you at the end")</f>
        <v>Employer who pushes your limits by enabling an learning environment, and rewards you at the end</v>
      </c>
      <c r="M99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9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99" s="1" t="str">
        <f ca="1">IFERROR(__xludf.DUMMYFUNCTION("""COMPUTED_VALUE"""),"Manager who explains what is expected, sets a goal and helps achieve it")</f>
        <v>Manager who explains what is expected, sets a goal and helps achieve it</v>
      </c>
      <c r="P999" s="1" t="str">
        <f ca="1">IFERROR(__xludf.DUMMYFUNCTION("""COMPUTED_VALUE"""),"Work with 2 to 3 people in my team")</f>
        <v>Work with 2 to 3 people in my team</v>
      </c>
      <c r="Q999" s="1"/>
    </row>
    <row r="1000" spans="1:17" ht="13.2" x14ac:dyDescent="0.25">
      <c r="A1000" s="2">
        <f ca="1">IFERROR(__xludf.DUMMYFUNCTION("""COMPUTED_VALUE"""),45043.8837742824)</f>
        <v>45043.883774282403</v>
      </c>
      <c r="B1000" s="1" t="str">
        <f ca="1">IFERROR(__xludf.DUMMYFUNCTION("""COMPUTED_VALUE"""),"India")</f>
        <v>India</v>
      </c>
      <c r="C1000" s="1">
        <f ca="1">IFERROR(__xludf.DUMMYFUNCTION("""COMPUTED_VALUE"""),440030)</f>
        <v>440030</v>
      </c>
      <c r="D1000" s="3" t="str">
        <f ca="1">IFERROR(__xludf.DUMMYFUNCTION("""COMPUTED_VALUE"""),"Male")</f>
        <v>Male</v>
      </c>
      <c r="E1000" s="1" t="str">
        <f ca="1">IFERROR(__xludf.DUMMYFUNCTION("""COMPUTED_VALUE"""),"Influencers who had successful careers")</f>
        <v>Influencers who had successful careers</v>
      </c>
      <c r="F1000" s="1" t="str">
        <f ca="1">IFERROR(__xludf.DUMMYFUNCTION("""COMPUTED_VALUE"""),"Yes, I will earn and do that")</f>
        <v>Yes, I will earn and do that</v>
      </c>
      <c r="G1000" s="1" t="str">
        <f ca="1">IFERROR(__xludf.DUMMYFUNCTION("""COMPUTED_VALUE"""),"This will be hard to do, but if it is the right company I would try")</f>
        <v>This will be hard to do, but if it is the right company I would try</v>
      </c>
      <c r="H1000" s="1" t="str">
        <f ca="1">IFERROR(__xludf.DUMMYFUNCTION("""COMPUTED_VALUE"""),"No")</f>
        <v>No</v>
      </c>
      <c r="I1000" s="1" t="str">
        <f ca="1">IFERROR(__xludf.DUMMYFUNCTION("""COMPUTED_VALUE"""),"Will NOT work for them")</f>
        <v>Will NOT work for them</v>
      </c>
      <c r="J1000" s="1">
        <f ca="1">IFERROR(__xludf.DUMMYFUNCTION("""COMPUTED_VALUE"""),5)</f>
        <v>5</v>
      </c>
      <c r="K1000" s="1" t="str">
        <f ca="1">IFERROR(__xludf.DUMMYFUNCTION("""COMPUTED_VALUE"""),"Hybrid Working Environment with more than 15 days a month at office")</f>
        <v>Hybrid Working Environment with more than 15 days a month at office</v>
      </c>
      <c r="L1000" s="1" t="str">
        <f ca="1">IFERROR(__xludf.DUMMYFUNCTION("""COMPUTED_VALUE"""),"Employer who pushes your limits by enabling an learning environment, and rewards you at the end")</f>
        <v>Employer who pushes your limits by enabling an learning environment, and rewards you at the end</v>
      </c>
      <c r="M100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00"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00" s="1" t="str">
        <f ca="1">IFERROR(__xludf.DUMMYFUNCTION("""COMPUTED_VALUE"""),"Manager who explains what is expected, sets a goal and helps achieve it")</f>
        <v>Manager who explains what is expected, sets a goal and helps achieve it</v>
      </c>
      <c r="P1000" s="1" t="str">
        <f ca="1">IFERROR(__xludf.DUMMYFUNCTION("""COMPUTED_VALUE"""),"Work with 5 to 6 people in my team")</f>
        <v>Work with 5 to 6 people in my team</v>
      </c>
      <c r="Q1000" s="1"/>
    </row>
    <row r="1001" spans="1:17" ht="13.2" x14ac:dyDescent="0.25">
      <c r="A1001" s="2">
        <f ca="1">IFERROR(__xludf.DUMMYFUNCTION("""COMPUTED_VALUE"""),45043.8841438541)</f>
        <v>45043.884143854099</v>
      </c>
      <c r="B1001" s="1" t="str">
        <f ca="1">IFERROR(__xludf.DUMMYFUNCTION("""COMPUTED_VALUE"""),"India")</f>
        <v>India</v>
      </c>
      <c r="C1001" s="1">
        <f ca="1">IFERROR(__xludf.DUMMYFUNCTION("""COMPUTED_VALUE"""),500068)</f>
        <v>500068</v>
      </c>
      <c r="D1001" s="3" t="str">
        <f ca="1">IFERROR(__xludf.DUMMYFUNCTION("""COMPUTED_VALUE"""),"Male")</f>
        <v>Male</v>
      </c>
      <c r="E1001" s="1" t="str">
        <f ca="1">IFERROR(__xludf.DUMMYFUNCTION("""COMPUTED_VALUE"""),"Influencers who had successful careers")</f>
        <v>Influencers who had successful careers</v>
      </c>
      <c r="F1001" s="1" t="str">
        <f ca="1">IFERROR(__xludf.DUMMYFUNCTION("""COMPUTED_VALUE"""),"Yes, I will earn and do that")</f>
        <v>Yes, I will earn and do that</v>
      </c>
      <c r="G1001" s="1" t="str">
        <f ca="1">IFERROR(__xludf.DUMMYFUNCTION("""COMPUTED_VALUE"""),"Will work for 3 years or more")</f>
        <v>Will work for 3 years or more</v>
      </c>
      <c r="H1001" s="1" t="str">
        <f ca="1">IFERROR(__xludf.DUMMYFUNCTION("""COMPUTED_VALUE"""),"No")</f>
        <v>No</v>
      </c>
      <c r="I1001" s="1" t="str">
        <f ca="1">IFERROR(__xludf.DUMMYFUNCTION("""COMPUTED_VALUE"""),"Will NOT work for them")</f>
        <v>Will NOT work for them</v>
      </c>
      <c r="J1001" s="1">
        <f ca="1">IFERROR(__xludf.DUMMYFUNCTION("""COMPUTED_VALUE"""),2)</f>
        <v>2</v>
      </c>
      <c r="K1001" s="1" t="str">
        <f ca="1">IFERROR(__xludf.DUMMYFUNCTION("""COMPUTED_VALUE"""),"Hybrid Working Environment with more than 15 days a month at office")</f>
        <v>Hybrid Working Environment with more than 15 days a month at office</v>
      </c>
      <c r="L1001" s="1" t="str">
        <f ca="1">IFERROR(__xludf.DUMMYFUNCTION("""COMPUTED_VALUE"""),"Employer who pushes your limits by enabling an learning environment, and rewards you at the end")</f>
        <v>Employer who pushes your limits by enabling an learning environment, and rewards you at the end</v>
      </c>
      <c r="M100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01"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01" s="1" t="str">
        <f ca="1">IFERROR(__xludf.DUMMYFUNCTION("""COMPUTED_VALUE"""),"Manager who explains what is expected, sets a goal and helps achieve it")</f>
        <v>Manager who explains what is expected, sets a goal and helps achieve it</v>
      </c>
      <c r="P1001" s="1" t="str">
        <f ca="1">IFERROR(__xludf.DUMMYFUNCTION("""COMPUTED_VALUE"""),"Work with 2 to 3 people in my team")</f>
        <v>Work with 2 to 3 people in my team</v>
      </c>
      <c r="Q1001" s="1"/>
    </row>
    <row r="1002" spans="1:17" ht="13.2" x14ac:dyDescent="0.25">
      <c r="A1002" s="2">
        <f ca="1">IFERROR(__xludf.DUMMYFUNCTION("""COMPUTED_VALUE"""),45043.8844094328)</f>
        <v>45043.884409432801</v>
      </c>
      <c r="B1002" s="1" t="str">
        <f ca="1">IFERROR(__xludf.DUMMYFUNCTION("""COMPUTED_VALUE"""),"India")</f>
        <v>India</v>
      </c>
      <c r="C1002" s="1">
        <f ca="1">IFERROR(__xludf.DUMMYFUNCTION("""COMPUTED_VALUE"""),500072)</f>
        <v>500072</v>
      </c>
      <c r="D1002" s="3" t="str">
        <f ca="1">IFERROR(__xludf.DUMMYFUNCTION("""COMPUTED_VALUE"""),"Female")</f>
        <v>Female</v>
      </c>
      <c r="E1002" s="1" t="str">
        <f ca="1">IFERROR(__xludf.DUMMYFUNCTION("""COMPUTED_VALUE"""),"People who have changed the world for better")</f>
        <v>People who have changed the world for better</v>
      </c>
      <c r="F1002" s="1" t="str">
        <f ca="1">IFERROR(__xludf.DUMMYFUNCTION("""COMPUTED_VALUE"""),"No, But if someone could bare the cost I will")</f>
        <v>No, But if someone could bare the cost I will</v>
      </c>
      <c r="G1002" s="1" t="str">
        <f ca="1">IFERROR(__xludf.DUMMYFUNCTION("""COMPUTED_VALUE"""),"Will work for 3 years or more")</f>
        <v>Will work for 3 years or more</v>
      </c>
      <c r="H1002" s="1" t="str">
        <f ca="1">IFERROR(__xludf.DUMMYFUNCTION("""COMPUTED_VALUE"""),"Yes")</f>
        <v>Yes</v>
      </c>
      <c r="I1002" s="1" t="str">
        <f ca="1">IFERROR(__xludf.DUMMYFUNCTION("""COMPUTED_VALUE"""),"Will work for them")</f>
        <v>Will work for them</v>
      </c>
      <c r="J1002" s="1">
        <f ca="1">IFERROR(__xludf.DUMMYFUNCTION("""COMPUTED_VALUE"""),10)</f>
        <v>10</v>
      </c>
      <c r="K1002" s="1" t="str">
        <f ca="1">IFERROR(__xludf.DUMMYFUNCTION("""COMPUTED_VALUE"""),"Fully Remote with Options to travel as and when needed")</f>
        <v>Fully Remote with Options to travel as and when needed</v>
      </c>
      <c r="L1002" s="1" t="str">
        <f ca="1">IFERROR(__xludf.DUMMYFUNCTION("""COMPUTED_VALUE"""),"Employer who pushes your limits by enabling an learning environment, and rewards you at the end")</f>
        <v>Employer who pushes your limits by enabling an learning environment, and rewards you at the end</v>
      </c>
      <c r="M1002" s="1" t="str">
        <f ca="1">IFERROR(__xludf.DUMMYFUNCTION("""COMPUTED_VALUE"""),"Self Paced Learning Portals of the Company, Instructor or Expert Learning Programs, Manager Teaching you")</f>
        <v>Self Paced Learning Portals of the Company, Instructor or Expert Learning Programs, Manager Teaching you</v>
      </c>
      <c r="N1002"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02" s="1" t="str">
        <f ca="1">IFERROR(__xludf.DUMMYFUNCTION("""COMPUTED_VALUE"""),"Manager who explains what is expected, sets a goal and helps achieve it")</f>
        <v>Manager who explains what is expected, sets a goal and helps achieve it</v>
      </c>
      <c r="P1002" s="1" t="str">
        <f ca="1">IFERROR(__xludf.DUMMYFUNCTION("""COMPUTED_VALUE"""),"Work alone, Work with 2 to 3 people in my team")</f>
        <v>Work alone, Work with 2 to 3 people in my team</v>
      </c>
      <c r="Q1002" s="1"/>
    </row>
    <row r="1003" spans="1:17" ht="13.2" x14ac:dyDescent="0.25">
      <c r="A1003" s="2">
        <f ca="1">IFERROR(__xludf.DUMMYFUNCTION("""COMPUTED_VALUE"""),45043.8847065393)</f>
        <v>45043.884706539298</v>
      </c>
      <c r="B1003" s="1" t="str">
        <f ca="1">IFERROR(__xludf.DUMMYFUNCTION("""COMPUTED_VALUE"""),"India")</f>
        <v>India</v>
      </c>
      <c r="C1003" s="1">
        <f ca="1">IFERROR(__xludf.DUMMYFUNCTION("""COMPUTED_VALUE"""),509216)</f>
        <v>509216</v>
      </c>
      <c r="D1003" s="3" t="str">
        <f ca="1">IFERROR(__xludf.DUMMYFUNCTION("""COMPUTED_VALUE"""),"Male")</f>
        <v>Male</v>
      </c>
      <c r="E1003" s="1" t="str">
        <f ca="1">IFERROR(__xludf.DUMMYFUNCTION("""COMPUTED_VALUE"""),"Influencers who had successful careers")</f>
        <v>Influencers who had successful careers</v>
      </c>
      <c r="F1003" s="1" t="str">
        <f ca="1">IFERROR(__xludf.DUMMYFUNCTION("""COMPUTED_VALUE"""),"Yes, I will earn and do that")</f>
        <v>Yes, I will earn and do that</v>
      </c>
      <c r="G1003" s="1" t="str">
        <f ca="1">IFERROR(__xludf.DUMMYFUNCTION("""COMPUTED_VALUE"""),"Will work for 3 years or more")</f>
        <v>Will work for 3 years or more</v>
      </c>
      <c r="H1003" s="1" t="str">
        <f ca="1">IFERROR(__xludf.DUMMYFUNCTION("""COMPUTED_VALUE"""),"No")</f>
        <v>No</v>
      </c>
      <c r="I1003" s="1" t="str">
        <f ca="1">IFERROR(__xludf.DUMMYFUNCTION("""COMPUTED_VALUE"""),"Will NOT work for them")</f>
        <v>Will NOT work for them</v>
      </c>
      <c r="J1003" s="1">
        <f ca="1">IFERROR(__xludf.DUMMYFUNCTION("""COMPUTED_VALUE"""),5)</f>
        <v>5</v>
      </c>
      <c r="K1003" s="1" t="str">
        <f ca="1">IFERROR(__xludf.DUMMYFUNCTION("""COMPUTED_VALUE"""),"Hybrid Working Environment with more than 15 days a month at office")</f>
        <v>Hybrid Working Environment with more than 15 days a month at office</v>
      </c>
      <c r="L1003" s="1" t="str">
        <f ca="1">IFERROR(__xludf.DUMMYFUNCTION("""COMPUTED_VALUE"""),"Employer who pushes your limits by enabling an learning environment, and rewards you at the end")</f>
        <v>Employer who pushes your limits by enabling an learning environment, and rewards you at the end</v>
      </c>
      <c r="M100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3"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003" s="1" t="str">
        <f ca="1">IFERROR(__xludf.DUMMYFUNCTION("""COMPUTED_VALUE"""),"Manager who sets goal and helps me achieve it")</f>
        <v>Manager who sets goal and helps me achieve it</v>
      </c>
      <c r="P1003" s="1" t="str">
        <f ca="1">IFERROR(__xludf.DUMMYFUNCTION("""COMPUTED_VALUE"""),"Work with 5 to 6 people in my team")</f>
        <v>Work with 5 to 6 people in my team</v>
      </c>
      <c r="Q1003" s="1"/>
    </row>
    <row r="1004" spans="1:17" ht="13.2" x14ac:dyDescent="0.25">
      <c r="A1004" s="2">
        <f ca="1">IFERROR(__xludf.DUMMYFUNCTION("""COMPUTED_VALUE"""),45043.8870573726)</f>
        <v>45043.887057372602</v>
      </c>
      <c r="B1004" s="1" t="str">
        <f ca="1">IFERROR(__xludf.DUMMYFUNCTION("""COMPUTED_VALUE"""),"India")</f>
        <v>India</v>
      </c>
      <c r="C1004" s="1">
        <f ca="1">IFERROR(__xludf.DUMMYFUNCTION("""COMPUTED_VALUE"""),781012)</f>
        <v>781012</v>
      </c>
      <c r="D1004" s="3" t="str">
        <f ca="1">IFERROR(__xludf.DUMMYFUNCTION("""COMPUTED_VALUE"""),"Female")</f>
        <v>Female</v>
      </c>
      <c r="E1004" s="1" t="str">
        <f ca="1">IFERROR(__xludf.DUMMYFUNCTION("""COMPUTED_VALUE"""),"Influencers who had successful careers")</f>
        <v>Influencers who had successful careers</v>
      </c>
      <c r="F1004" s="1" t="str">
        <f ca="1">IFERROR(__xludf.DUMMYFUNCTION("""COMPUTED_VALUE"""),"Yes, I will earn and do that")</f>
        <v>Yes, I will earn and do that</v>
      </c>
      <c r="G1004" s="1" t="str">
        <f ca="1">IFERROR(__xludf.DUMMYFUNCTION("""COMPUTED_VALUE"""),"This will be hard to do, but if it is the right company I would try")</f>
        <v>This will be hard to do, but if it is the right company I would try</v>
      </c>
      <c r="H1004" s="1" t="str">
        <f ca="1">IFERROR(__xludf.DUMMYFUNCTION("""COMPUTED_VALUE"""),"No")</f>
        <v>No</v>
      </c>
      <c r="I1004" s="1" t="str">
        <f ca="1">IFERROR(__xludf.DUMMYFUNCTION("""COMPUTED_VALUE"""),"Will NOT work for them")</f>
        <v>Will NOT work for them</v>
      </c>
      <c r="J1004" s="1">
        <f ca="1">IFERROR(__xludf.DUMMYFUNCTION("""COMPUTED_VALUE"""),3)</f>
        <v>3</v>
      </c>
      <c r="K1004" s="1" t="str">
        <f ca="1">IFERROR(__xludf.DUMMYFUNCTION("""COMPUTED_VALUE"""),"Fully Remote with Options to travel as and when needed")</f>
        <v>Fully Remote with Options to travel as and when needed</v>
      </c>
      <c r="L1004" s="1" t="str">
        <f ca="1">IFERROR(__xludf.DUMMYFUNCTION("""COMPUTED_VALUE"""),"Employer who pushes your limits by enabling an learning environment, and rewards you at the end")</f>
        <v>Employer who pushes your limits by enabling an learning environment, and rewards you at the end</v>
      </c>
      <c r="M1004" s="1" t="str">
        <f ca="1">IFERROR(__xludf.DUMMYFUNCTION("""COMPUTED_VALUE"""),"Self Paced Learning Portals of the Company, Instructor or Expert Learning Programs, Manager Teaching you")</f>
        <v>Self Paced Learning Portals of the Company, Instructor or Expert Learning Programs, Manager Teaching you</v>
      </c>
      <c r="N100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04" s="1" t="str">
        <f ca="1">IFERROR(__xludf.DUMMYFUNCTION("""COMPUTED_VALUE"""),"Manager who explains what is expected, sets a goal and helps achieve it")</f>
        <v>Manager who explains what is expected, sets a goal and helps achieve it</v>
      </c>
      <c r="P1004" s="1" t="str">
        <f ca="1">IFERROR(__xludf.DUMMYFUNCTION("""COMPUTED_VALUE"""),"Work with 2 to 3 people in my team")</f>
        <v>Work with 2 to 3 people in my team</v>
      </c>
      <c r="Q1004" s="1"/>
    </row>
    <row r="1005" spans="1:17" ht="13.2" x14ac:dyDescent="0.25">
      <c r="A1005" s="2">
        <f ca="1">IFERROR(__xludf.DUMMYFUNCTION("""COMPUTED_VALUE"""),45043.8875142245)</f>
        <v>45043.887514224502</v>
      </c>
      <c r="B1005" s="1" t="str">
        <f ca="1">IFERROR(__xludf.DUMMYFUNCTION("""COMPUTED_VALUE"""),"India")</f>
        <v>India</v>
      </c>
      <c r="C1005" s="1">
        <f ca="1">IFERROR(__xludf.DUMMYFUNCTION("""COMPUTED_VALUE"""),560036)</f>
        <v>560036</v>
      </c>
      <c r="D1005" s="3" t="str">
        <f ca="1">IFERROR(__xludf.DUMMYFUNCTION("""COMPUTED_VALUE"""),"Female")</f>
        <v>Female</v>
      </c>
      <c r="E1005" s="1" t="str">
        <f ca="1">IFERROR(__xludf.DUMMYFUNCTION("""COMPUTED_VALUE"""),"Influencers who had successful careers")</f>
        <v>Influencers who had successful careers</v>
      </c>
      <c r="F1005" s="1" t="str">
        <f ca="1">IFERROR(__xludf.DUMMYFUNCTION("""COMPUTED_VALUE"""),"No I would not be pursuing Higher Education outside of India")</f>
        <v>No I would not be pursuing Higher Education outside of India</v>
      </c>
      <c r="G1005" s="1" t="str">
        <f ca="1">IFERROR(__xludf.DUMMYFUNCTION("""COMPUTED_VALUE"""),"Will work for 3 years or more")</f>
        <v>Will work for 3 years or more</v>
      </c>
      <c r="H1005" s="1" t="str">
        <f ca="1">IFERROR(__xludf.DUMMYFUNCTION("""COMPUTED_VALUE"""),"No")</f>
        <v>No</v>
      </c>
      <c r="I1005" s="1" t="str">
        <f ca="1">IFERROR(__xludf.DUMMYFUNCTION("""COMPUTED_VALUE"""),"Will NOT work for them")</f>
        <v>Will NOT work for them</v>
      </c>
      <c r="J1005" s="1">
        <f ca="1">IFERROR(__xludf.DUMMYFUNCTION("""COMPUTED_VALUE"""),2)</f>
        <v>2</v>
      </c>
      <c r="K1005" s="1" t="str">
        <f ca="1">IFERROR(__xludf.DUMMYFUNCTION("""COMPUTED_VALUE"""),"Hybrid Working Environment with less than 3 days a month at office")</f>
        <v>Hybrid Working Environment with less than 3 days a month at office</v>
      </c>
      <c r="L1005" s="1" t="str">
        <f ca="1">IFERROR(__xludf.DUMMYFUNCTION("""COMPUTED_VALUE"""),"Employer who pushes your limits by enabling an learning environment, and rewards you at the end")</f>
        <v>Employer who pushes your limits by enabling an learning environment, and rewards you at the end</v>
      </c>
      <c r="M100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005"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1005" s="1" t="str">
        <f ca="1">IFERROR(__xludf.DUMMYFUNCTION("""COMPUTED_VALUE"""),"Manager who explains what is expected, sets a goal and helps achieve it")</f>
        <v>Manager who explains what is expected, sets a goal and helps achieve it</v>
      </c>
      <c r="P1005" s="1" t="str">
        <f ca="1">IFERROR(__xludf.DUMMYFUNCTION("""COMPUTED_VALUE"""),"Work alone, Work with 2 to 3 people in my team, Work with 5 to 6 people in my team")</f>
        <v>Work alone, Work with 2 to 3 people in my team, Work with 5 to 6 people in my team</v>
      </c>
      <c r="Q1005" s="1"/>
    </row>
    <row r="1006" spans="1:17" ht="13.2" x14ac:dyDescent="0.25">
      <c r="A1006" s="2">
        <f ca="1">IFERROR(__xludf.DUMMYFUNCTION("""COMPUTED_VALUE"""),45043.8878621643)</f>
        <v>45043.887862164302</v>
      </c>
      <c r="B1006" s="1" t="str">
        <f ca="1">IFERROR(__xludf.DUMMYFUNCTION("""COMPUTED_VALUE"""),"India")</f>
        <v>India</v>
      </c>
      <c r="C1006" s="1">
        <f ca="1">IFERROR(__xludf.DUMMYFUNCTION("""COMPUTED_VALUE"""),500077)</f>
        <v>500077</v>
      </c>
      <c r="D1006" s="3" t="str">
        <f ca="1">IFERROR(__xludf.DUMMYFUNCTION("""COMPUTED_VALUE"""),"Female")</f>
        <v>Female</v>
      </c>
      <c r="E1006" s="1" t="str">
        <f ca="1">IFERROR(__xludf.DUMMYFUNCTION("""COMPUTED_VALUE"""),"People from my circle, but not family members")</f>
        <v>People from my circle, but not family members</v>
      </c>
      <c r="F1006" s="1" t="str">
        <f ca="1">IFERROR(__xludf.DUMMYFUNCTION("""COMPUTED_VALUE"""),"Yes, I will earn and do that")</f>
        <v>Yes, I will earn and do that</v>
      </c>
      <c r="G1006" s="1" t="str">
        <f ca="1">IFERROR(__xludf.DUMMYFUNCTION("""COMPUTED_VALUE"""),"Will work for 3 years or more")</f>
        <v>Will work for 3 years or more</v>
      </c>
      <c r="H1006" s="1" t="str">
        <f ca="1">IFERROR(__xludf.DUMMYFUNCTION("""COMPUTED_VALUE"""),"No")</f>
        <v>No</v>
      </c>
      <c r="I1006" s="1" t="str">
        <f ca="1">IFERROR(__xludf.DUMMYFUNCTION("""COMPUTED_VALUE"""),"Will NOT work for them")</f>
        <v>Will NOT work for them</v>
      </c>
      <c r="J1006" s="1">
        <f ca="1">IFERROR(__xludf.DUMMYFUNCTION("""COMPUTED_VALUE"""),7)</f>
        <v>7</v>
      </c>
      <c r="K1006" s="1" t="str">
        <f ca="1">IFERROR(__xludf.DUMMYFUNCTION("""COMPUTED_VALUE"""),"Hybrid Working Environment with less than 3 days a month at office")</f>
        <v>Hybrid Working Environment with less than 3 days a month at office</v>
      </c>
      <c r="L1006" s="1" t="str">
        <f ca="1">IFERROR(__xludf.DUMMYFUNCTION("""COMPUTED_VALUE"""),"Employer who pushes your limits by enabling an learning environment, and rewards you at the end")</f>
        <v>Employer who pushes your limits by enabling an learning environment, and rewards you at the end</v>
      </c>
      <c r="M100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0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006" s="1" t="str">
        <f ca="1">IFERROR(__xludf.DUMMYFUNCTION("""COMPUTED_VALUE"""),"Manager who explains what is expected, sets a goal and helps achieve it")</f>
        <v>Manager who explains what is expected, sets a goal and helps achieve it</v>
      </c>
      <c r="P1006" s="1" t="str">
        <f ca="1">IFERROR(__xludf.DUMMYFUNCTION("""COMPUTED_VALUE"""),"Work with 5 to 6 people in my team")</f>
        <v>Work with 5 to 6 people in my team</v>
      </c>
      <c r="Q1006" s="1"/>
    </row>
    <row r="1007" spans="1:17" ht="13.2" x14ac:dyDescent="0.25">
      <c r="A1007" s="2">
        <f ca="1">IFERROR(__xludf.DUMMYFUNCTION("""COMPUTED_VALUE"""),45043.8895241666)</f>
        <v>45043.889524166603</v>
      </c>
      <c r="B1007" s="1" t="str">
        <f ca="1">IFERROR(__xludf.DUMMYFUNCTION("""COMPUTED_VALUE"""),"India")</f>
        <v>India</v>
      </c>
      <c r="C1007" s="1">
        <f ca="1">IFERROR(__xludf.DUMMYFUNCTION("""COMPUTED_VALUE"""),364710)</f>
        <v>364710</v>
      </c>
      <c r="D1007" s="3" t="str">
        <f ca="1">IFERROR(__xludf.DUMMYFUNCTION("""COMPUTED_VALUE"""),"Female")</f>
        <v>Female</v>
      </c>
      <c r="E1007" s="1" t="str">
        <f ca="1">IFERROR(__xludf.DUMMYFUNCTION("""COMPUTED_VALUE"""),"My Parents")</f>
        <v>My Parents</v>
      </c>
      <c r="F1007" s="1" t="str">
        <f ca="1">IFERROR(__xludf.DUMMYFUNCTION("""COMPUTED_VALUE"""),"No I would not be pursuing Higher Education outside of India")</f>
        <v>No I would not be pursuing Higher Education outside of India</v>
      </c>
      <c r="G1007" s="1" t="str">
        <f ca="1">IFERROR(__xludf.DUMMYFUNCTION("""COMPUTED_VALUE"""),"This will be hard to do, but if it is the right company I would try")</f>
        <v>This will be hard to do, but if it is the right company I would try</v>
      </c>
      <c r="H1007" s="1" t="str">
        <f ca="1">IFERROR(__xludf.DUMMYFUNCTION("""COMPUTED_VALUE"""),"No")</f>
        <v>No</v>
      </c>
      <c r="I1007" s="1" t="str">
        <f ca="1">IFERROR(__xludf.DUMMYFUNCTION("""COMPUTED_VALUE"""),"Will NOT work for them")</f>
        <v>Will NOT work for them</v>
      </c>
      <c r="J1007" s="1">
        <f ca="1">IFERROR(__xludf.DUMMYFUNCTION("""COMPUTED_VALUE"""),4)</f>
        <v>4</v>
      </c>
      <c r="K1007" s="1" t="str">
        <f ca="1">IFERROR(__xludf.DUMMYFUNCTION("""COMPUTED_VALUE"""),"Hybrid Working Environment with more than 15 days a month at office")</f>
        <v>Hybrid Working Environment with more than 15 days a month at office</v>
      </c>
      <c r="L1007" s="1" t="str">
        <f ca="1">IFERROR(__xludf.DUMMYFUNCTION("""COMPUTED_VALUE"""),"Employer who appreciates learning and enables that environment")</f>
        <v>Employer who appreciates learning and enables that environment</v>
      </c>
      <c r="M10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7"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007" s="1" t="str">
        <f ca="1">IFERROR(__xludf.DUMMYFUNCTION("""COMPUTED_VALUE"""),"Manager who explains what is expected, sets a goal and helps achieve it")</f>
        <v>Manager who explains what is expected, sets a goal and helps achieve it</v>
      </c>
      <c r="P1007" s="1" t="str">
        <f ca="1">IFERROR(__xludf.DUMMYFUNCTION("""COMPUTED_VALUE"""),"Work with 2 to 3 people in my team")</f>
        <v>Work with 2 to 3 people in my team</v>
      </c>
      <c r="Q1007" s="1"/>
    </row>
    <row r="1008" spans="1:17" ht="13.2" x14ac:dyDescent="0.25">
      <c r="A1008" s="2">
        <f ca="1">IFERROR(__xludf.DUMMYFUNCTION("""COMPUTED_VALUE"""),45043.8898105902)</f>
        <v>45043.889810590197</v>
      </c>
      <c r="B1008" s="1" t="str">
        <f ca="1">IFERROR(__xludf.DUMMYFUNCTION("""COMPUTED_VALUE"""),"India")</f>
        <v>India</v>
      </c>
      <c r="C1008" s="1">
        <f ca="1">IFERROR(__xludf.DUMMYFUNCTION("""COMPUTED_VALUE"""),201306)</f>
        <v>201306</v>
      </c>
      <c r="D1008" s="3" t="str">
        <f ca="1">IFERROR(__xludf.DUMMYFUNCTION("""COMPUTED_VALUE"""),"Female")</f>
        <v>Female</v>
      </c>
      <c r="E1008" s="1" t="str">
        <f ca="1">IFERROR(__xludf.DUMMYFUNCTION("""COMPUTED_VALUE"""),"People from my circle, but not family members")</f>
        <v>People from my circle, but not family members</v>
      </c>
      <c r="F1008" s="1" t="str">
        <f ca="1">IFERROR(__xludf.DUMMYFUNCTION("""COMPUTED_VALUE"""),"No I would not be pursuing Higher Education outside of India")</f>
        <v>No I would not be pursuing Higher Education outside of India</v>
      </c>
      <c r="G1008" s="1" t="str">
        <f ca="1">IFERROR(__xludf.DUMMYFUNCTION("""COMPUTED_VALUE"""),"Will work for 3 years or more")</f>
        <v>Will work for 3 years or more</v>
      </c>
      <c r="H1008" s="1" t="str">
        <f ca="1">IFERROR(__xludf.DUMMYFUNCTION("""COMPUTED_VALUE"""),"No")</f>
        <v>No</v>
      </c>
      <c r="I1008" s="1" t="str">
        <f ca="1">IFERROR(__xludf.DUMMYFUNCTION("""COMPUTED_VALUE"""),"Will NOT work for them")</f>
        <v>Will NOT work for them</v>
      </c>
      <c r="J1008" s="1">
        <f ca="1">IFERROR(__xludf.DUMMYFUNCTION("""COMPUTED_VALUE"""),8)</f>
        <v>8</v>
      </c>
      <c r="K1008" s="1" t="str">
        <f ca="1">IFERROR(__xludf.DUMMYFUNCTION("""COMPUTED_VALUE"""),"Every Day Office Environment")</f>
        <v>Every Day Office Environment</v>
      </c>
      <c r="L1008" s="1" t="str">
        <f ca="1">IFERROR(__xludf.DUMMYFUNCTION("""COMPUTED_VALUE"""),"Employer who appreciates learning and enables that environment")</f>
        <v>Employer who appreciates learning and enables that environment</v>
      </c>
      <c r="M10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08" s="1" t="str">
        <f ca="1">IFERROR(__xludf.DUMMYFUNCTION("""COMPUTED_VALUE"""),"Manager who explains what is expected, sets a goal and helps achieve it")</f>
        <v>Manager who explains what is expected, sets a goal and helps achieve it</v>
      </c>
      <c r="P1008" s="1" t="str">
        <f ca="1">IFERROR(__xludf.DUMMYFUNCTION("""COMPUTED_VALUE"""),"Work with 2 to 3 people in my team")</f>
        <v>Work with 2 to 3 people in my team</v>
      </c>
      <c r="Q1008" s="1"/>
    </row>
    <row r="1009" spans="1:17" ht="13.2" x14ac:dyDescent="0.25">
      <c r="A1009" s="2">
        <f ca="1">IFERROR(__xludf.DUMMYFUNCTION("""COMPUTED_VALUE"""),45043.8900260648)</f>
        <v>45043.890026064801</v>
      </c>
      <c r="B1009" s="1" t="str">
        <f ca="1">IFERROR(__xludf.DUMMYFUNCTION("""COMPUTED_VALUE"""),"India")</f>
        <v>India</v>
      </c>
      <c r="C1009" s="1">
        <f ca="1">IFERROR(__xludf.DUMMYFUNCTION("""COMPUTED_VALUE"""),500005)</f>
        <v>500005</v>
      </c>
      <c r="D1009" s="3" t="str">
        <f ca="1">IFERROR(__xludf.DUMMYFUNCTION("""COMPUTED_VALUE"""),"Female")</f>
        <v>Female</v>
      </c>
      <c r="E1009" s="1" t="str">
        <f ca="1">IFERROR(__xludf.DUMMYFUNCTION("""COMPUTED_VALUE"""),"People from my circle, but not family members")</f>
        <v>People from my circle, but not family members</v>
      </c>
      <c r="F1009" s="1" t="str">
        <f ca="1">IFERROR(__xludf.DUMMYFUNCTION("""COMPUTED_VALUE"""),"No, But if someone could bare the cost I will")</f>
        <v>No, But if someone could bare the cost I will</v>
      </c>
      <c r="G1009" s="1" t="str">
        <f ca="1">IFERROR(__xludf.DUMMYFUNCTION("""COMPUTED_VALUE"""),"This will be hard to do, but if it is the right company I would try")</f>
        <v>This will be hard to do, but if it is the right company I would try</v>
      </c>
      <c r="H1009" s="1" t="str">
        <f ca="1">IFERROR(__xludf.DUMMYFUNCTION("""COMPUTED_VALUE"""),"Yes")</f>
        <v>Yes</v>
      </c>
      <c r="I1009" s="1" t="str">
        <f ca="1">IFERROR(__xludf.DUMMYFUNCTION("""COMPUTED_VALUE"""),"Will NOT work for them")</f>
        <v>Will NOT work for them</v>
      </c>
      <c r="J1009" s="1">
        <f ca="1">IFERROR(__xludf.DUMMYFUNCTION("""COMPUTED_VALUE"""),7)</f>
        <v>7</v>
      </c>
      <c r="K1009" s="1" t="str">
        <f ca="1">IFERROR(__xludf.DUMMYFUNCTION("""COMPUTED_VALUE"""),"Every Day Office Environment")</f>
        <v>Every Day Office Environment</v>
      </c>
      <c r="L1009" s="1" t="str">
        <f ca="1">IFERROR(__xludf.DUMMYFUNCTION("""COMPUTED_VALUE"""),"Employer who pushes your limits by enabling an learning environment, and rewards you at the end")</f>
        <v>Employer who pushes your limits by enabling an learning environment, and rewards you at the end</v>
      </c>
      <c r="M1009" s="1" t="str">
        <f ca="1">IFERROR(__xludf.DUMMYFUNCTION("""COMPUTED_VALUE"""),"Instructor or Expert Learning Programs, Learning by observing others, Manager Teaching you")</f>
        <v>Instructor or Expert Learning Programs, Learning by observing others, Manager Teaching you</v>
      </c>
      <c r="N100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09" s="1" t="str">
        <f ca="1">IFERROR(__xludf.DUMMYFUNCTION("""COMPUTED_VALUE"""),"Manager who sets goal and helps me achieve it")</f>
        <v>Manager who sets goal and helps me achieve it</v>
      </c>
      <c r="P1009" s="1" t="str">
        <f ca="1">IFERROR(__xludf.DUMMYFUNCTION("""COMPUTED_VALUE"""),"Work alone, Work with 2 to 3 people in my team, Work with 5 to 6 people in my team")</f>
        <v>Work alone, Work with 2 to 3 people in my team, Work with 5 to 6 people in my team</v>
      </c>
      <c r="Q1009" s="1"/>
    </row>
    <row r="1010" spans="1:17" ht="13.2" x14ac:dyDescent="0.25">
      <c r="A1010" s="2">
        <f ca="1">IFERROR(__xludf.DUMMYFUNCTION("""COMPUTED_VALUE"""),45043.8914080324)</f>
        <v>45043.891408032403</v>
      </c>
      <c r="B1010" s="1" t="str">
        <f ca="1">IFERROR(__xludf.DUMMYFUNCTION("""COMPUTED_VALUE"""),"India")</f>
        <v>India</v>
      </c>
      <c r="C1010" s="1">
        <f ca="1">IFERROR(__xludf.DUMMYFUNCTION("""COMPUTED_VALUE"""),250002)</f>
        <v>250002</v>
      </c>
      <c r="D1010" s="3" t="str">
        <f ca="1">IFERROR(__xludf.DUMMYFUNCTION("""COMPUTED_VALUE"""),"Male")</f>
        <v>Male</v>
      </c>
      <c r="E1010" s="1" t="str">
        <f ca="1">IFERROR(__xludf.DUMMYFUNCTION("""COMPUTED_VALUE"""),"People who have changed the world for better")</f>
        <v>People who have changed the world for better</v>
      </c>
      <c r="F1010" s="1" t="str">
        <f ca="1">IFERROR(__xludf.DUMMYFUNCTION("""COMPUTED_VALUE"""),"Yes, I will earn and do that")</f>
        <v>Yes, I will earn and do that</v>
      </c>
      <c r="G1010" s="1" t="str">
        <f ca="1">IFERROR(__xludf.DUMMYFUNCTION("""COMPUTED_VALUE"""),"This will be hard to do, but if it is the right company I would try")</f>
        <v>This will be hard to do, but if it is the right company I would try</v>
      </c>
      <c r="H1010" s="1" t="str">
        <f ca="1">IFERROR(__xludf.DUMMYFUNCTION("""COMPUTED_VALUE"""),"No")</f>
        <v>No</v>
      </c>
      <c r="I1010" s="1" t="str">
        <f ca="1">IFERROR(__xludf.DUMMYFUNCTION("""COMPUTED_VALUE"""),"Will NOT work for them")</f>
        <v>Will NOT work for them</v>
      </c>
      <c r="J1010" s="1">
        <f ca="1">IFERROR(__xludf.DUMMYFUNCTION("""COMPUTED_VALUE"""),2)</f>
        <v>2</v>
      </c>
      <c r="K1010" s="1" t="str">
        <f ca="1">IFERROR(__xludf.DUMMYFUNCTION("""COMPUTED_VALUE"""),"Fully Remote with Options to travel as and when needed")</f>
        <v>Fully Remote with Options to travel as and when needed</v>
      </c>
      <c r="L1010" s="1" t="str">
        <f ca="1">IFERROR(__xludf.DUMMYFUNCTION("""COMPUTED_VALUE"""),"Employer who pushes your limits by enabling an learning environment, and rewards you at the end")</f>
        <v>Employer who pushes your limits by enabling an learning environment, and rewards you at the end</v>
      </c>
      <c r="M101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10"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10" s="1" t="str">
        <f ca="1">IFERROR(__xludf.DUMMYFUNCTION("""COMPUTED_VALUE"""),"Manager who explains what is expected, sets a goal and helps achieve it")</f>
        <v>Manager who explains what is expected, sets a goal and helps achieve it</v>
      </c>
      <c r="P1010" s="1" t="str">
        <f ca="1">IFERROR(__xludf.DUMMYFUNCTION("""COMPUTED_VALUE"""),"Work with 5 to 6 people in my team")</f>
        <v>Work with 5 to 6 people in my team</v>
      </c>
      <c r="Q1010" s="1"/>
    </row>
    <row r="1011" spans="1:17" ht="13.2" x14ac:dyDescent="0.25">
      <c r="A1011" s="2">
        <f ca="1">IFERROR(__xludf.DUMMYFUNCTION("""COMPUTED_VALUE"""),45043.8917826041)</f>
        <v>45043.8917826041</v>
      </c>
      <c r="B1011" s="1" t="str">
        <f ca="1">IFERROR(__xludf.DUMMYFUNCTION("""COMPUTED_VALUE"""),"India")</f>
        <v>India</v>
      </c>
      <c r="C1011" s="1">
        <f ca="1">IFERROR(__xludf.DUMMYFUNCTION("""COMPUTED_VALUE"""),400709)</f>
        <v>400709</v>
      </c>
      <c r="D1011" s="3" t="str">
        <f ca="1">IFERROR(__xludf.DUMMYFUNCTION("""COMPUTED_VALUE"""),"Male")</f>
        <v>Male</v>
      </c>
      <c r="E1011" s="1" t="str">
        <f ca="1">IFERROR(__xludf.DUMMYFUNCTION("""COMPUTED_VALUE"""),"Influencers who had successful careers")</f>
        <v>Influencers who had successful careers</v>
      </c>
      <c r="F1011" s="1" t="str">
        <f ca="1">IFERROR(__xludf.DUMMYFUNCTION("""COMPUTED_VALUE"""),"Yes, I will earn and do that")</f>
        <v>Yes, I will earn and do that</v>
      </c>
      <c r="G1011" s="1" t="str">
        <f ca="1">IFERROR(__xludf.DUMMYFUNCTION("""COMPUTED_VALUE"""),"No way")</f>
        <v>No way</v>
      </c>
      <c r="H1011" s="1" t="str">
        <f ca="1">IFERROR(__xludf.DUMMYFUNCTION("""COMPUTED_VALUE"""),"No")</f>
        <v>No</v>
      </c>
      <c r="I1011" s="1" t="str">
        <f ca="1">IFERROR(__xludf.DUMMYFUNCTION("""COMPUTED_VALUE"""),"Will NOT work for them")</f>
        <v>Will NOT work for them</v>
      </c>
      <c r="J1011" s="1">
        <f ca="1">IFERROR(__xludf.DUMMYFUNCTION("""COMPUTED_VALUE"""),2)</f>
        <v>2</v>
      </c>
      <c r="K1011" s="1" t="str">
        <f ca="1">IFERROR(__xludf.DUMMYFUNCTION("""COMPUTED_VALUE"""),"Every Day Office Environment")</f>
        <v>Every Day Office Environment</v>
      </c>
      <c r="L1011" s="1" t="str">
        <f ca="1">IFERROR(__xludf.DUMMYFUNCTION("""COMPUTED_VALUE"""),"Employer who pushes your limits by enabling an learning environment, and rewards you at the end")</f>
        <v>Employer who pushes your limits by enabling an learning environment, and rewards you at the end</v>
      </c>
      <c r="M101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11"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011" s="1" t="str">
        <f ca="1">IFERROR(__xludf.DUMMYFUNCTION("""COMPUTED_VALUE"""),"Manager who explains what is expected, sets a goal and helps achieve it")</f>
        <v>Manager who explains what is expected, sets a goal and helps achieve it</v>
      </c>
      <c r="P1011"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1011" s="1"/>
    </row>
    <row r="1012" spans="1:17" ht="13.2" x14ac:dyDescent="0.25">
      <c r="A1012" s="2">
        <f ca="1">IFERROR(__xludf.DUMMYFUNCTION("""COMPUTED_VALUE"""),45043.8923026736)</f>
        <v>45043.892302673601</v>
      </c>
      <c r="B1012" s="1" t="str">
        <f ca="1">IFERROR(__xludf.DUMMYFUNCTION("""COMPUTED_VALUE"""),"India")</f>
        <v>India</v>
      </c>
      <c r="C1012" s="1">
        <f ca="1">IFERROR(__xludf.DUMMYFUNCTION("""COMPUTED_VALUE"""),492001)</f>
        <v>492001</v>
      </c>
      <c r="D1012" s="3" t="str">
        <f ca="1">IFERROR(__xludf.DUMMYFUNCTION("""COMPUTED_VALUE"""),"Male")</f>
        <v>Male</v>
      </c>
      <c r="E1012" s="1" t="str">
        <f ca="1">IFERROR(__xludf.DUMMYFUNCTION("""COMPUTED_VALUE"""),"People who have changed the world for better")</f>
        <v>People who have changed the world for better</v>
      </c>
      <c r="F1012" s="1" t="str">
        <f ca="1">IFERROR(__xludf.DUMMYFUNCTION("""COMPUTED_VALUE"""),"No I would not be pursuing Higher Education outside of India")</f>
        <v>No I would not be pursuing Higher Education outside of India</v>
      </c>
      <c r="G1012" s="1" t="str">
        <f ca="1">IFERROR(__xludf.DUMMYFUNCTION("""COMPUTED_VALUE"""),"This will be hard to do, but if it is the right company I would try")</f>
        <v>This will be hard to do, but if it is the right company I would try</v>
      </c>
      <c r="H1012" s="1" t="str">
        <f ca="1">IFERROR(__xludf.DUMMYFUNCTION("""COMPUTED_VALUE"""),"No")</f>
        <v>No</v>
      </c>
      <c r="I1012" s="1" t="str">
        <f ca="1">IFERROR(__xludf.DUMMYFUNCTION("""COMPUTED_VALUE"""),"Will NOT work for them")</f>
        <v>Will NOT work for them</v>
      </c>
      <c r="J1012" s="1">
        <f ca="1">IFERROR(__xludf.DUMMYFUNCTION("""COMPUTED_VALUE"""),7)</f>
        <v>7</v>
      </c>
      <c r="K1012" s="1" t="str">
        <f ca="1">IFERROR(__xludf.DUMMYFUNCTION("""COMPUTED_VALUE"""),"Fully Remote with Options to travel as and when needed")</f>
        <v>Fully Remote with Options to travel as and when needed</v>
      </c>
      <c r="L1012" s="1" t="str">
        <f ca="1">IFERROR(__xludf.DUMMYFUNCTION("""COMPUTED_VALUE"""),"Employer who pushes your limits by enabling an learning environment, and rewards you at the end")</f>
        <v>Employer who pushes your limits by enabling an learning environment, and rewards you at the end</v>
      </c>
      <c r="M1012" s="1" t="str">
        <f ca="1">IFERROR(__xludf.DUMMYFUNCTION("""COMPUTED_VALUE"""),"Instructor or Expert Learning Programs, Learning by observing others, Manager Teaching you")</f>
        <v>Instructor or Expert Learning Programs, Learning by observing others, Manager Teaching you</v>
      </c>
      <c r="N1012"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012" s="1" t="str">
        <f ca="1">IFERROR(__xludf.DUMMYFUNCTION("""COMPUTED_VALUE"""),"Manager who explains what is expected, sets a goal and helps achieve it")</f>
        <v>Manager who explains what is expected, sets a goal and helps achieve it</v>
      </c>
      <c r="P101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012" s="1"/>
    </row>
    <row r="1013" spans="1:17" ht="13.2" x14ac:dyDescent="0.25">
      <c r="A1013" s="2">
        <f ca="1">IFERROR(__xludf.DUMMYFUNCTION("""COMPUTED_VALUE"""),45043.8924039236)</f>
        <v>45043.892403923601</v>
      </c>
      <c r="B1013" s="1" t="str">
        <f ca="1">IFERROR(__xludf.DUMMYFUNCTION("""COMPUTED_VALUE"""),"India")</f>
        <v>India</v>
      </c>
      <c r="C1013" s="1">
        <f ca="1">IFERROR(__xludf.DUMMYFUNCTION("""COMPUTED_VALUE"""),382028)</f>
        <v>382028</v>
      </c>
      <c r="D1013" s="3" t="str">
        <f ca="1">IFERROR(__xludf.DUMMYFUNCTION("""COMPUTED_VALUE"""),"Female")</f>
        <v>Female</v>
      </c>
      <c r="E1013" s="1" t="str">
        <f ca="1">IFERROR(__xludf.DUMMYFUNCTION("""COMPUTED_VALUE"""),"Influencers who had successful careers")</f>
        <v>Influencers who had successful careers</v>
      </c>
      <c r="F1013" s="1" t="str">
        <f ca="1">IFERROR(__xludf.DUMMYFUNCTION("""COMPUTED_VALUE"""),"Yes, I will earn and do that")</f>
        <v>Yes, I will earn and do that</v>
      </c>
      <c r="G1013" s="1" t="str">
        <f ca="1">IFERROR(__xludf.DUMMYFUNCTION("""COMPUTED_VALUE"""),"This will be hard to do, but if it is the right company I would try")</f>
        <v>This will be hard to do, but if it is the right company I would try</v>
      </c>
      <c r="H1013" s="1" t="str">
        <f ca="1">IFERROR(__xludf.DUMMYFUNCTION("""COMPUTED_VALUE"""),"No")</f>
        <v>No</v>
      </c>
      <c r="I1013" s="1" t="str">
        <f ca="1">IFERROR(__xludf.DUMMYFUNCTION("""COMPUTED_VALUE"""),"Will NOT work for them")</f>
        <v>Will NOT work for them</v>
      </c>
      <c r="J1013" s="1">
        <f ca="1">IFERROR(__xludf.DUMMYFUNCTION("""COMPUTED_VALUE"""),7)</f>
        <v>7</v>
      </c>
      <c r="K1013" s="1" t="str">
        <f ca="1">IFERROR(__xludf.DUMMYFUNCTION("""COMPUTED_VALUE"""),"Hybrid Working Environment with more than 15 days a month at office")</f>
        <v>Hybrid Working Environment with more than 15 days a month at office</v>
      </c>
      <c r="L1013" s="1" t="str">
        <f ca="1">IFERROR(__xludf.DUMMYFUNCTION("""COMPUTED_VALUE"""),"Employer who pushes your limits by enabling an learning environment, and rewards you at the end")</f>
        <v>Employer who pushes your limits by enabling an learning environment, and rewards you at the end</v>
      </c>
      <c r="M101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1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13" s="1" t="str">
        <f ca="1">IFERROR(__xludf.DUMMYFUNCTION("""COMPUTED_VALUE"""),"Manager who explains what is expected, sets a goal and helps achieve it")</f>
        <v>Manager who explains what is expected, sets a goal and helps achieve it</v>
      </c>
      <c r="P1013" s="1" t="str">
        <f ca="1">IFERROR(__xludf.DUMMYFUNCTION("""COMPUTED_VALUE"""),"Work alone, Work with 2 to 3 people in my team, Work with 5 to 6 people in my team")</f>
        <v>Work alone, Work with 2 to 3 people in my team, Work with 5 to 6 people in my team</v>
      </c>
      <c r="Q1013" s="1"/>
    </row>
    <row r="1014" spans="1:17" ht="13.2" x14ac:dyDescent="0.25">
      <c r="A1014" s="2">
        <f ca="1">IFERROR(__xludf.DUMMYFUNCTION("""COMPUTED_VALUE"""),45043.8927948379)</f>
        <v>45043.892794837899</v>
      </c>
      <c r="B1014" s="1" t="str">
        <f ca="1">IFERROR(__xludf.DUMMYFUNCTION("""COMPUTED_VALUE"""),"India")</f>
        <v>India</v>
      </c>
      <c r="C1014" s="1">
        <f ca="1">IFERROR(__xludf.DUMMYFUNCTION("""COMPUTED_VALUE"""),560037)</f>
        <v>560037</v>
      </c>
      <c r="D1014" s="3" t="str">
        <f ca="1">IFERROR(__xludf.DUMMYFUNCTION("""COMPUTED_VALUE"""),"Female")</f>
        <v>Female</v>
      </c>
      <c r="E1014" s="1" t="str">
        <f ca="1">IFERROR(__xludf.DUMMYFUNCTION("""COMPUTED_VALUE"""),"People who have changed the world for better")</f>
        <v>People who have changed the world for better</v>
      </c>
      <c r="F1014" s="1" t="str">
        <f ca="1">IFERROR(__xludf.DUMMYFUNCTION("""COMPUTED_VALUE"""),"Yes, I will earn and do that")</f>
        <v>Yes, I will earn and do that</v>
      </c>
      <c r="G1014" s="1" t="str">
        <f ca="1">IFERROR(__xludf.DUMMYFUNCTION("""COMPUTED_VALUE"""),"This will be hard to do, but if it is the right company I would try")</f>
        <v>This will be hard to do, but if it is the right company I would try</v>
      </c>
      <c r="H1014" s="1" t="str">
        <f ca="1">IFERROR(__xludf.DUMMYFUNCTION("""COMPUTED_VALUE"""),"No")</f>
        <v>No</v>
      </c>
      <c r="I1014" s="1" t="str">
        <f ca="1">IFERROR(__xludf.DUMMYFUNCTION("""COMPUTED_VALUE"""),"Will NOT work for them")</f>
        <v>Will NOT work for them</v>
      </c>
      <c r="J1014" s="1">
        <f ca="1">IFERROR(__xludf.DUMMYFUNCTION("""COMPUTED_VALUE"""),5)</f>
        <v>5</v>
      </c>
      <c r="K1014" s="1" t="str">
        <f ca="1">IFERROR(__xludf.DUMMYFUNCTION("""COMPUTED_VALUE"""),"Hybrid Working Environment with less than 3 days a month at office")</f>
        <v>Hybrid Working Environment with less than 3 days a month at office</v>
      </c>
      <c r="L1014" s="1" t="str">
        <f ca="1">IFERROR(__xludf.DUMMYFUNCTION("""COMPUTED_VALUE"""),"Employer who appreciates learning and enables that environment")</f>
        <v>Employer who appreciates learning and enables that environment</v>
      </c>
      <c r="M10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1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014" s="1" t="str">
        <f ca="1">IFERROR(__xludf.DUMMYFUNCTION("""COMPUTED_VALUE"""),"Manager who explains what is expected, sets a goal and helps achieve it")</f>
        <v>Manager who explains what is expected, sets a goal and helps achieve it</v>
      </c>
      <c r="P1014" s="1" t="str">
        <f ca="1">IFERROR(__xludf.DUMMYFUNCTION("""COMPUTED_VALUE"""),"Work with 7 to 10 or more people in my team, Work with more than 10 people in my team")</f>
        <v>Work with 7 to 10 or more people in my team, Work with more than 10 people in my team</v>
      </c>
      <c r="Q1014" s="1"/>
    </row>
    <row r="1015" spans="1:17" ht="13.2" x14ac:dyDescent="0.25">
      <c r="A1015" s="2">
        <f ca="1">IFERROR(__xludf.DUMMYFUNCTION("""COMPUTED_VALUE"""),45043.8929442245)</f>
        <v>45043.892944224499</v>
      </c>
      <c r="B1015" s="1" t="str">
        <f ca="1">IFERROR(__xludf.DUMMYFUNCTION("""COMPUTED_VALUE"""),"India")</f>
        <v>India</v>
      </c>
      <c r="C1015" s="1">
        <f ca="1">IFERROR(__xludf.DUMMYFUNCTION("""COMPUTED_VALUE"""),401107)</f>
        <v>401107</v>
      </c>
      <c r="D1015" s="3" t="str">
        <f ca="1">IFERROR(__xludf.DUMMYFUNCTION("""COMPUTED_VALUE"""),"Male")</f>
        <v>Male</v>
      </c>
      <c r="E1015" s="1" t="str">
        <f ca="1">IFERROR(__xludf.DUMMYFUNCTION("""COMPUTED_VALUE"""),"My Parents")</f>
        <v>My Parents</v>
      </c>
      <c r="F1015" s="1" t="str">
        <f ca="1">IFERROR(__xludf.DUMMYFUNCTION("""COMPUTED_VALUE"""),"No I would not be pursuing Higher Education outside of India")</f>
        <v>No I would not be pursuing Higher Education outside of India</v>
      </c>
      <c r="G1015" s="1" t="str">
        <f ca="1">IFERROR(__xludf.DUMMYFUNCTION("""COMPUTED_VALUE"""),"This will be hard to do, but if it is the right company I would try")</f>
        <v>This will be hard to do, but if it is the right company I would try</v>
      </c>
      <c r="H1015" s="1" t="str">
        <f ca="1">IFERROR(__xludf.DUMMYFUNCTION("""COMPUTED_VALUE"""),"Yes")</f>
        <v>Yes</v>
      </c>
      <c r="I1015" s="1" t="str">
        <f ca="1">IFERROR(__xludf.DUMMYFUNCTION("""COMPUTED_VALUE"""),"Will NOT work for them")</f>
        <v>Will NOT work for them</v>
      </c>
      <c r="J1015" s="1">
        <f ca="1">IFERROR(__xludf.DUMMYFUNCTION("""COMPUTED_VALUE"""),6)</f>
        <v>6</v>
      </c>
      <c r="K1015" s="1" t="str">
        <f ca="1">IFERROR(__xludf.DUMMYFUNCTION("""COMPUTED_VALUE"""),"Hybrid Working Environment with more than 15 days a month at office")</f>
        <v>Hybrid Working Environment with more than 15 days a month at office</v>
      </c>
      <c r="L1015" s="1" t="str">
        <f ca="1">IFERROR(__xludf.DUMMYFUNCTION("""COMPUTED_VALUE"""),"Employer who appreciates learning and enables that environment")</f>
        <v>Employer who appreciates learning and enables that environment</v>
      </c>
      <c r="M1015" s="1" t="str">
        <f ca="1">IFERROR(__xludf.DUMMYFUNCTION("""COMPUTED_VALUE"""),"Learning by observing others, Self Purchased Course from External Platforms, Manager Teaching you")</f>
        <v>Learning by observing others, Self Purchased Course from External Platforms, Manager Teaching you</v>
      </c>
      <c r="N1015"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015" s="1" t="str">
        <f ca="1">IFERROR(__xludf.DUMMYFUNCTION("""COMPUTED_VALUE"""),"Manager who explains what is expected, sets a goal and helps achieve it")</f>
        <v>Manager who explains what is expected, sets a goal and helps achieve it</v>
      </c>
      <c r="P1015" s="1" t="str">
        <f ca="1">IFERROR(__xludf.DUMMYFUNCTION("""COMPUTED_VALUE"""),"Work with 2 to 3 people in my team")</f>
        <v>Work with 2 to 3 people in my team</v>
      </c>
      <c r="Q1015" s="1"/>
    </row>
    <row r="1016" spans="1:17" ht="13.2" x14ac:dyDescent="0.25">
      <c r="A1016" s="2">
        <f ca="1">IFERROR(__xludf.DUMMYFUNCTION("""COMPUTED_VALUE"""),45043.8932961689)</f>
        <v>45043.893296168899</v>
      </c>
      <c r="B1016" s="1" t="str">
        <f ca="1">IFERROR(__xludf.DUMMYFUNCTION("""COMPUTED_VALUE"""),"India")</f>
        <v>India</v>
      </c>
      <c r="C1016" s="1">
        <f ca="1">IFERROR(__xludf.DUMMYFUNCTION("""COMPUTED_VALUE"""),534134)</f>
        <v>534134</v>
      </c>
      <c r="D1016" s="3" t="str">
        <f ca="1">IFERROR(__xludf.DUMMYFUNCTION("""COMPUTED_VALUE"""),"Female")</f>
        <v>Female</v>
      </c>
      <c r="E1016" s="1" t="str">
        <f ca="1">IFERROR(__xludf.DUMMYFUNCTION("""COMPUTED_VALUE"""),"Influencers who had successful careers")</f>
        <v>Influencers who had successful careers</v>
      </c>
      <c r="F1016" s="1" t="str">
        <f ca="1">IFERROR(__xludf.DUMMYFUNCTION("""COMPUTED_VALUE"""),"Yes, I will earn and do that")</f>
        <v>Yes, I will earn and do that</v>
      </c>
      <c r="G1016" s="1" t="str">
        <f ca="1">IFERROR(__xludf.DUMMYFUNCTION("""COMPUTED_VALUE"""),"Will work for 3 years or more")</f>
        <v>Will work for 3 years or more</v>
      </c>
      <c r="H1016" s="1" t="str">
        <f ca="1">IFERROR(__xludf.DUMMYFUNCTION("""COMPUTED_VALUE"""),"No")</f>
        <v>No</v>
      </c>
      <c r="I1016" s="1" t="str">
        <f ca="1">IFERROR(__xludf.DUMMYFUNCTION("""COMPUTED_VALUE"""),"Will work for them")</f>
        <v>Will work for them</v>
      </c>
      <c r="J1016" s="1">
        <f ca="1">IFERROR(__xludf.DUMMYFUNCTION("""COMPUTED_VALUE"""),6)</f>
        <v>6</v>
      </c>
      <c r="K1016" s="1" t="str">
        <f ca="1">IFERROR(__xludf.DUMMYFUNCTION("""COMPUTED_VALUE"""),"Fully Remote with Options to travel as and when needed")</f>
        <v>Fully Remote with Options to travel as and when needed</v>
      </c>
      <c r="L1016" s="1" t="str">
        <f ca="1">IFERROR(__xludf.DUMMYFUNCTION("""COMPUTED_VALUE"""),"Employer who appreciates learning and enables that environment")</f>
        <v>Employer who appreciates learning and enables that environment</v>
      </c>
      <c r="M10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16" s="1" t="str">
        <f ca="1">IFERROR(__xludf.DUMMYFUNCTION("""COMPUTED_VALUE"""),"Manage and drive End-to-End Projects or Products, Work as a freelancer and do my thing my way, Become a content Creator in some platform, I Want to sell things/Sales")</f>
        <v>Manage and drive End-to-End Projects or Products, Work as a freelancer and do my thing my way, Become a content Creator in some platform, I Want to sell things/Sales</v>
      </c>
      <c r="O1016" s="1" t="str">
        <f ca="1">IFERROR(__xludf.DUMMYFUNCTION("""COMPUTED_VALUE"""),"Manager who explains what is expected, sets a goal and helps achieve it")</f>
        <v>Manager who explains what is expected, sets a goal and helps achieve it</v>
      </c>
      <c r="P1016" s="1" t="str">
        <f ca="1">IFERROR(__xludf.DUMMYFUNCTION("""COMPUTED_VALUE"""),"Work with 2 to 3 people in my team")</f>
        <v>Work with 2 to 3 people in my team</v>
      </c>
      <c r="Q1016" s="1"/>
    </row>
    <row r="1017" spans="1:17" ht="13.2" x14ac:dyDescent="0.25">
      <c r="A1017" s="2">
        <f ca="1">IFERROR(__xludf.DUMMYFUNCTION("""COMPUTED_VALUE"""),45043.8934969213)</f>
        <v>45043.893496921301</v>
      </c>
      <c r="B1017" s="1" t="str">
        <f ca="1">IFERROR(__xludf.DUMMYFUNCTION("""COMPUTED_VALUE"""),"India")</f>
        <v>India</v>
      </c>
      <c r="C1017" s="1">
        <f ca="1">IFERROR(__xludf.DUMMYFUNCTION("""COMPUTED_VALUE"""),247776)</f>
        <v>247776</v>
      </c>
      <c r="D1017" s="3" t="str">
        <f ca="1">IFERROR(__xludf.DUMMYFUNCTION("""COMPUTED_VALUE"""),"Female")</f>
        <v>Female</v>
      </c>
      <c r="E1017" s="1" t="str">
        <f ca="1">IFERROR(__xludf.DUMMYFUNCTION("""COMPUTED_VALUE"""),"My Parents")</f>
        <v>My Parents</v>
      </c>
      <c r="F1017" s="1" t="str">
        <f ca="1">IFERROR(__xludf.DUMMYFUNCTION("""COMPUTED_VALUE"""),"No I would not be pursuing Higher Education outside of India")</f>
        <v>No I would not be pursuing Higher Education outside of India</v>
      </c>
      <c r="G1017" s="1" t="str">
        <f ca="1">IFERROR(__xludf.DUMMYFUNCTION("""COMPUTED_VALUE"""),"This will be hard to do, but if it is the right company I would try")</f>
        <v>This will be hard to do, but if it is the right company I would try</v>
      </c>
      <c r="H1017" s="1" t="str">
        <f ca="1">IFERROR(__xludf.DUMMYFUNCTION("""COMPUTED_VALUE"""),"No")</f>
        <v>No</v>
      </c>
      <c r="I1017" s="1" t="str">
        <f ca="1">IFERROR(__xludf.DUMMYFUNCTION("""COMPUTED_VALUE"""),"Will NOT work for them")</f>
        <v>Will NOT work for them</v>
      </c>
      <c r="J1017" s="1">
        <f ca="1">IFERROR(__xludf.DUMMYFUNCTION("""COMPUTED_VALUE"""),8)</f>
        <v>8</v>
      </c>
      <c r="K1017" s="1" t="str">
        <f ca="1">IFERROR(__xludf.DUMMYFUNCTION("""COMPUTED_VALUE"""),"Fully Remote with Options to travel as and when needed")</f>
        <v>Fully Remote with Options to travel as and when needed</v>
      </c>
      <c r="L1017" s="1" t="str">
        <f ca="1">IFERROR(__xludf.DUMMYFUNCTION("""COMPUTED_VALUE"""),"Employer who pushes your limits by enabling an learning environment, and rewards you at the end")</f>
        <v>Employer who pushes your limits by enabling an learning environment, and rewards you at the end</v>
      </c>
      <c r="M101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017" s="1" t="str">
        <f ca="1">IFERROR(__xludf.DUMMYFUNCTION("""COMPUTED_VALUE"""),"Manager who explains what is expected, sets a goal and helps achieve it")</f>
        <v>Manager who explains what is expected, sets a goal and helps achieve it</v>
      </c>
      <c r="P1017" s="1" t="str">
        <f ca="1">IFERROR(__xludf.DUMMYFUNCTION("""COMPUTED_VALUE"""),"Work with 5 to 6 people in my team")</f>
        <v>Work with 5 to 6 people in my team</v>
      </c>
      <c r="Q1017" s="1"/>
    </row>
    <row r="1018" spans="1:17" ht="13.2" x14ac:dyDescent="0.25">
      <c r="A1018" s="2">
        <f ca="1">IFERROR(__xludf.DUMMYFUNCTION("""COMPUTED_VALUE"""),45043.8943732638)</f>
        <v>45043.8943732638</v>
      </c>
      <c r="B1018" s="1" t="str">
        <f ca="1">IFERROR(__xludf.DUMMYFUNCTION("""COMPUTED_VALUE"""),"India")</f>
        <v>India</v>
      </c>
      <c r="C1018" s="1">
        <f ca="1">IFERROR(__xludf.DUMMYFUNCTION("""COMPUTED_VALUE"""),508223)</f>
        <v>508223</v>
      </c>
      <c r="D1018" s="3" t="str">
        <f ca="1">IFERROR(__xludf.DUMMYFUNCTION("""COMPUTED_VALUE"""),"Male")</f>
        <v>Male</v>
      </c>
      <c r="E1018" s="1" t="str">
        <f ca="1">IFERROR(__xludf.DUMMYFUNCTION("""COMPUTED_VALUE"""),"Social Media like LinkedIn")</f>
        <v>Social Media like LinkedIn</v>
      </c>
      <c r="F1018" s="1" t="str">
        <f ca="1">IFERROR(__xludf.DUMMYFUNCTION("""COMPUTED_VALUE"""),"Yes, I will earn and do that")</f>
        <v>Yes, I will earn and do that</v>
      </c>
      <c r="G1018" s="1" t="str">
        <f ca="1">IFERROR(__xludf.DUMMYFUNCTION("""COMPUTED_VALUE"""),"Will work for 3 years or more")</f>
        <v>Will work for 3 years or more</v>
      </c>
      <c r="H1018" s="1" t="str">
        <f ca="1">IFERROR(__xludf.DUMMYFUNCTION("""COMPUTED_VALUE"""),"No")</f>
        <v>No</v>
      </c>
      <c r="I1018" s="1" t="str">
        <f ca="1">IFERROR(__xludf.DUMMYFUNCTION("""COMPUTED_VALUE"""),"Will NOT work for them")</f>
        <v>Will NOT work for them</v>
      </c>
      <c r="J1018" s="1">
        <f ca="1">IFERROR(__xludf.DUMMYFUNCTION("""COMPUTED_VALUE"""),4)</f>
        <v>4</v>
      </c>
      <c r="K1018" s="1" t="str">
        <f ca="1">IFERROR(__xludf.DUMMYFUNCTION("""COMPUTED_VALUE"""),"Every Day Office Environment")</f>
        <v>Every Day Office Environment</v>
      </c>
      <c r="L1018" s="1" t="str">
        <f ca="1">IFERROR(__xludf.DUMMYFUNCTION("""COMPUTED_VALUE"""),"Employer who appreciates learning and enables that environment")</f>
        <v>Employer who appreciates learning and enables that environment</v>
      </c>
      <c r="M101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18"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1018" s="1" t="str">
        <f ca="1">IFERROR(__xludf.DUMMYFUNCTION("""COMPUTED_VALUE"""),"Manager who clearly describes what she/he needs")</f>
        <v>Manager who clearly describes what she/he needs</v>
      </c>
      <c r="P1018" s="1" t="str">
        <f ca="1">IFERROR(__xludf.DUMMYFUNCTION("""COMPUTED_VALUE"""),"Work alone")</f>
        <v>Work alone</v>
      </c>
      <c r="Q1018" s="1"/>
    </row>
    <row r="1019" spans="1:17" ht="13.2" x14ac:dyDescent="0.25">
      <c r="A1019" s="2">
        <f ca="1">IFERROR(__xludf.DUMMYFUNCTION("""COMPUTED_VALUE"""),45043.8944377546)</f>
        <v>45043.894437754599</v>
      </c>
      <c r="B1019" s="1" t="str">
        <f ca="1">IFERROR(__xludf.DUMMYFUNCTION("""COMPUTED_VALUE"""),"India")</f>
        <v>India</v>
      </c>
      <c r="C1019" s="1">
        <f ca="1">IFERROR(__xludf.DUMMYFUNCTION("""COMPUTED_VALUE"""),484551)</f>
        <v>484551</v>
      </c>
      <c r="D1019" s="3" t="str">
        <f ca="1">IFERROR(__xludf.DUMMYFUNCTION("""COMPUTED_VALUE"""),"Male")</f>
        <v>Male</v>
      </c>
      <c r="E1019" s="1" t="str">
        <f ca="1">IFERROR(__xludf.DUMMYFUNCTION("""COMPUTED_VALUE"""),"Influencers who had successful careers")</f>
        <v>Influencers who had successful careers</v>
      </c>
      <c r="F1019" s="1" t="str">
        <f ca="1">IFERROR(__xludf.DUMMYFUNCTION("""COMPUTED_VALUE"""),"No, But if someone could bare the cost I will")</f>
        <v>No, But if someone could bare the cost I will</v>
      </c>
      <c r="G1019" s="1" t="str">
        <f ca="1">IFERROR(__xludf.DUMMYFUNCTION("""COMPUTED_VALUE"""),"This will be hard to do, but if it is the right company I would try")</f>
        <v>This will be hard to do, but if it is the right company I would try</v>
      </c>
      <c r="H1019" s="1" t="str">
        <f ca="1">IFERROR(__xludf.DUMMYFUNCTION("""COMPUTED_VALUE"""),"Yes")</f>
        <v>Yes</v>
      </c>
      <c r="I1019" s="1" t="str">
        <f ca="1">IFERROR(__xludf.DUMMYFUNCTION("""COMPUTED_VALUE"""),"Will work for them")</f>
        <v>Will work for them</v>
      </c>
      <c r="J1019" s="1">
        <f ca="1">IFERROR(__xludf.DUMMYFUNCTION("""COMPUTED_VALUE"""),5)</f>
        <v>5</v>
      </c>
      <c r="K1019" s="1" t="str">
        <f ca="1">IFERROR(__xludf.DUMMYFUNCTION("""COMPUTED_VALUE"""),"Hybrid Working Environment with more than 15 days a month at office")</f>
        <v>Hybrid Working Environment with more than 15 days a month at office</v>
      </c>
      <c r="L1019" s="1" t="str">
        <f ca="1">IFERROR(__xludf.DUMMYFUNCTION("""COMPUTED_VALUE"""),"Employer who pushes your limits by enabling an learning environment, and rewards you at the end")</f>
        <v>Employer who pushes your limits by enabling an learning environment, and rewards you at the end</v>
      </c>
      <c r="M10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19" s="1" t="str">
        <f ca="1">IFERROR(__xludf.DUMMYFUNCTION("""COMPUTED_VALUE"""),"Business Operations in any organization, Look deeply into Data and generate insights, Work as a freelancer and do my thing my way, Become a content Creator in some platform")</f>
        <v>Business Operations in any organization, Look deeply into Data and generate insights, Work as a freelancer and do my thing my way, Become a content Creator in some platform</v>
      </c>
      <c r="O1019" s="1" t="str">
        <f ca="1">IFERROR(__xludf.DUMMYFUNCTION("""COMPUTED_VALUE"""),"Manager who explains what is expected, sets a goal and helps achieve it")</f>
        <v>Manager who explains what is expected, sets a goal and helps achieve it</v>
      </c>
      <c r="P1019" s="1" t="str">
        <f ca="1">IFERROR(__xludf.DUMMYFUNCTION("""COMPUTED_VALUE"""),"Work with 5 to 6 people in my team")</f>
        <v>Work with 5 to 6 people in my team</v>
      </c>
      <c r="Q1019" s="1"/>
    </row>
    <row r="1020" spans="1:17" ht="13.2" x14ac:dyDescent="0.25">
      <c r="A1020" s="2">
        <f ca="1">IFERROR(__xludf.DUMMYFUNCTION("""COMPUTED_VALUE"""),45043.8970999768)</f>
        <v>45043.897099976799</v>
      </c>
      <c r="B1020" s="1" t="str">
        <f ca="1">IFERROR(__xludf.DUMMYFUNCTION("""COMPUTED_VALUE"""),"India")</f>
        <v>India</v>
      </c>
      <c r="C1020" s="1">
        <f ca="1">IFERROR(__xludf.DUMMYFUNCTION("""COMPUTED_VALUE"""),560038)</f>
        <v>560038</v>
      </c>
      <c r="D1020" s="3" t="str">
        <f ca="1">IFERROR(__xludf.DUMMYFUNCTION("""COMPUTED_VALUE"""),"Male")</f>
        <v>Male</v>
      </c>
      <c r="E1020" s="1" t="str">
        <f ca="1">IFERROR(__xludf.DUMMYFUNCTION("""COMPUTED_VALUE"""),"Social Media like LinkedIn")</f>
        <v>Social Media like LinkedIn</v>
      </c>
      <c r="F1020" s="1" t="str">
        <f ca="1">IFERROR(__xludf.DUMMYFUNCTION("""COMPUTED_VALUE"""),"No I would not be pursuing Higher Education outside of India")</f>
        <v>No I would not be pursuing Higher Education outside of India</v>
      </c>
      <c r="G1020" s="1" t="str">
        <f ca="1">IFERROR(__xludf.DUMMYFUNCTION("""COMPUTED_VALUE"""),"This will be hard to do, but if it is the right company I would try")</f>
        <v>This will be hard to do, but if it is the right company I would try</v>
      </c>
      <c r="H1020" s="1" t="str">
        <f ca="1">IFERROR(__xludf.DUMMYFUNCTION("""COMPUTED_VALUE"""),"Yes")</f>
        <v>Yes</v>
      </c>
      <c r="I1020" s="1" t="str">
        <f ca="1">IFERROR(__xludf.DUMMYFUNCTION("""COMPUTED_VALUE"""),"Will NOT work for them")</f>
        <v>Will NOT work for them</v>
      </c>
      <c r="J1020" s="1">
        <f ca="1">IFERROR(__xludf.DUMMYFUNCTION("""COMPUTED_VALUE"""),8)</f>
        <v>8</v>
      </c>
      <c r="K1020" s="1" t="str">
        <f ca="1">IFERROR(__xludf.DUMMYFUNCTION("""COMPUTED_VALUE"""),"Fully Remote with Options to travel as and when needed")</f>
        <v>Fully Remote with Options to travel as and when needed</v>
      </c>
      <c r="L1020" s="1" t="str">
        <f ca="1">IFERROR(__xludf.DUMMYFUNCTION("""COMPUTED_VALUE"""),"Employer who rewards learning and enables that environment")</f>
        <v>Employer who rewards learning and enables that environment</v>
      </c>
      <c r="M102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20" s="1" t="str">
        <f ca="1">IFERROR(__xludf.DUMMYFUNCTION("""COMPUTED_VALUE"""),"Business Operations in any organization, Work as a freelancer and do my thing my way, Become a content Creator in some platform, I Want to sell things/Sales")</f>
        <v>Business Operations in any organization, Work as a freelancer and do my thing my way, Become a content Creator in some platform, I Want to sell things/Sales</v>
      </c>
      <c r="O1020" s="1" t="str">
        <f ca="1">IFERROR(__xludf.DUMMYFUNCTION("""COMPUTED_VALUE"""),"Manager who clearly describes what she/he needs")</f>
        <v>Manager who clearly describes what she/he needs</v>
      </c>
      <c r="P1020" s="1" t="str">
        <f ca="1">IFERROR(__xludf.DUMMYFUNCTION("""COMPUTED_VALUE"""),"Work with 7 to 10 or more people in my team")</f>
        <v>Work with 7 to 10 or more people in my team</v>
      </c>
      <c r="Q1020" s="1"/>
    </row>
    <row r="1021" spans="1:17" ht="13.2" x14ac:dyDescent="0.25">
      <c r="A1021" s="2">
        <f ca="1">IFERROR(__xludf.DUMMYFUNCTION("""COMPUTED_VALUE"""),45043.8972831134)</f>
        <v>45043.897283113401</v>
      </c>
      <c r="B1021" s="1" t="str">
        <f ca="1">IFERROR(__xludf.DUMMYFUNCTION("""COMPUTED_VALUE"""),"India")</f>
        <v>India</v>
      </c>
      <c r="C1021" s="1">
        <f ca="1">IFERROR(__xludf.DUMMYFUNCTION("""COMPUTED_VALUE"""),781012)</f>
        <v>781012</v>
      </c>
      <c r="D1021" s="3" t="str">
        <f ca="1">IFERROR(__xludf.DUMMYFUNCTION("""COMPUTED_VALUE"""),"Male")</f>
        <v>Male</v>
      </c>
      <c r="E1021" s="1" t="str">
        <f ca="1">IFERROR(__xludf.DUMMYFUNCTION("""COMPUTED_VALUE"""),"My Parents")</f>
        <v>My Parents</v>
      </c>
      <c r="F1021" s="1" t="str">
        <f ca="1">IFERROR(__xludf.DUMMYFUNCTION("""COMPUTED_VALUE"""),"No, But if someone could bare the cost I will")</f>
        <v>No, But if someone could bare the cost I will</v>
      </c>
      <c r="G1021" s="1" t="str">
        <f ca="1">IFERROR(__xludf.DUMMYFUNCTION("""COMPUTED_VALUE"""),"This will be hard to do, but if it is the right company I would try")</f>
        <v>This will be hard to do, but if it is the right company I would try</v>
      </c>
      <c r="H1021" s="1" t="str">
        <f ca="1">IFERROR(__xludf.DUMMYFUNCTION("""COMPUTED_VALUE"""),"No")</f>
        <v>No</v>
      </c>
      <c r="I1021" s="1" t="str">
        <f ca="1">IFERROR(__xludf.DUMMYFUNCTION("""COMPUTED_VALUE"""),"Will NOT work for them")</f>
        <v>Will NOT work for them</v>
      </c>
      <c r="J1021" s="1">
        <f ca="1">IFERROR(__xludf.DUMMYFUNCTION("""COMPUTED_VALUE"""),1)</f>
        <v>1</v>
      </c>
      <c r="K1021" s="1" t="str">
        <f ca="1">IFERROR(__xludf.DUMMYFUNCTION("""COMPUTED_VALUE"""),"Hybrid Working Environment with more than 15 days a month at office")</f>
        <v>Hybrid Working Environment with more than 15 days a month at office</v>
      </c>
      <c r="L1021" s="1" t="str">
        <f ca="1">IFERROR(__xludf.DUMMYFUNCTION("""COMPUTED_VALUE"""),"Employer who pushes your limits by enabling an learning environment, and rewards you at the end")</f>
        <v>Employer who pushes your limits by enabling an learning environment, and rewards you at the end</v>
      </c>
      <c r="M1021" s="1" t="str">
        <f ca="1">IFERROR(__xludf.DUMMYFUNCTION("""COMPUTED_VALUE"""),"Instructor or Expert Learning Programs, Learning by observing others, Manager Teaching you")</f>
        <v>Instructor or Expert Learning Programs, Learning by observing others, Manager Teaching you</v>
      </c>
      <c r="N1021"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21" s="1" t="str">
        <f ca="1">IFERROR(__xludf.DUMMYFUNCTION("""COMPUTED_VALUE"""),"Manager who explains what is expected, sets a goal and helps achieve it")</f>
        <v>Manager who explains what is expected, sets a goal and helps achieve it</v>
      </c>
      <c r="P1021" s="1" t="str">
        <f ca="1">IFERROR(__xludf.DUMMYFUNCTION("""COMPUTED_VALUE"""),"Work with 2 to 3 people in my team")</f>
        <v>Work with 2 to 3 people in my team</v>
      </c>
      <c r="Q1021" s="1"/>
    </row>
    <row r="1022" spans="1:17" ht="13.2" x14ac:dyDescent="0.25">
      <c r="A1022" s="2">
        <f ca="1">IFERROR(__xludf.DUMMYFUNCTION("""COMPUTED_VALUE"""),45043.8979126041)</f>
        <v>45043.897912604101</v>
      </c>
      <c r="B1022" s="1" t="str">
        <f ca="1">IFERROR(__xludf.DUMMYFUNCTION("""COMPUTED_VALUE"""),"India")</f>
        <v>India</v>
      </c>
      <c r="C1022" s="1">
        <f ca="1">IFERROR(__xludf.DUMMYFUNCTION("""COMPUTED_VALUE"""),508284)</f>
        <v>508284</v>
      </c>
      <c r="D1022" s="3" t="str">
        <f ca="1">IFERROR(__xludf.DUMMYFUNCTION("""COMPUTED_VALUE"""),"Male")</f>
        <v>Male</v>
      </c>
      <c r="E1022" s="1" t="str">
        <f ca="1">IFERROR(__xludf.DUMMYFUNCTION("""COMPUTED_VALUE"""),"Influencers who had successful careers")</f>
        <v>Influencers who had successful careers</v>
      </c>
      <c r="F1022" s="1" t="str">
        <f ca="1">IFERROR(__xludf.DUMMYFUNCTION("""COMPUTED_VALUE"""),"Yes, I will earn and do that")</f>
        <v>Yes, I will earn and do that</v>
      </c>
      <c r="G1022" s="1" t="str">
        <f ca="1">IFERROR(__xludf.DUMMYFUNCTION("""COMPUTED_VALUE"""),"Will work for 3 years or more")</f>
        <v>Will work for 3 years or more</v>
      </c>
      <c r="H1022" s="1" t="str">
        <f ca="1">IFERROR(__xludf.DUMMYFUNCTION("""COMPUTED_VALUE"""),"No")</f>
        <v>No</v>
      </c>
      <c r="I1022" s="1" t="str">
        <f ca="1">IFERROR(__xludf.DUMMYFUNCTION("""COMPUTED_VALUE"""),"Will NOT work for them")</f>
        <v>Will NOT work for them</v>
      </c>
      <c r="J1022" s="1">
        <f ca="1">IFERROR(__xludf.DUMMYFUNCTION("""COMPUTED_VALUE"""),4)</f>
        <v>4</v>
      </c>
      <c r="K1022" s="1" t="str">
        <f ca="1">IFERROR(__xludf.DUMMYFUNCTION("""COMPUTED_VALUE"""),"Every Day Office Environment")</f>
        <v>Every Day Office Environment</v>
      </c>
      <c r="L1022" s="1" t="str">
        <f ca="1">IFERROR(__xludf.DUMMYFUNCTION("""COMPUTED_VALUE"""),"Employer who appreciates learning and enables that environment")</f>
        <v>Employer who appreciates learning and enables that environment</v>
      </c>
      <c r="M10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2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22" s="1" t="str">
        <f ca="1">IFERROR(__xludf.DUMMYFUNCTION("""COMPUTED_VALUE"""),"Manager who explains what is expected, sets a goal and helps achieve it")</f>
        <v>Manager who explains what is expected, sets a goal and helps achieve it</v>
      </c>
      <c r="P1022" s="1" t="str">
        <f ca="1">IFERROR(__xludf.DUMMYFUNCTION("""COMPUTED_VALUE"""),"Work with 5 to 6 people in my team")</f>
        <v>Work with 5 to 6 people in my team</v>
      </c>
      <c r="Q1022" s="1"/>
    </row>
    <row r="1023" spans="1:17" ht="13.2" x14ac:dyDescent="0.25">
      <c r="A1023" s="2">
        <f ca="1">IFERROR(__xludf.DUMMYFUNCTION("""COMPUTED_VALUE"""),45043.8981961226)</f>
        <v>45043.898196122602</v>
      </c>
      <c r="B1023" s="1" t="str">
        <f ca="1">IFERROR(__xludf.DUMMYFUNCTION("""COMPUTED_VALUE"""),"Others")</f>
        <v>Others</v>
      </c>
      <c r="C1023" s="1">
        <f ca="1">IFERROR(__xludf.DUMMYFUNCTION("""COMPUTED_VALUE"""),805125)</f>
        <v>805125</v>
      </c>
      <c r="D1023" s="3" t="str">
        <f ca="1">IFERROR(__xludf.DUMMYFUNCTION("""COMPUTED_VALUE"""),"Male")</f>
        <v>Male</v>
      </c>
      <c r="E1023" s="1" t="str">
        <f ca="1">IFERROR(__xludf.DUMMYFUNCTION("""COMPUTED_VALUE"""),"People from my circle, but not family members")</f>
        <v>People from my circle, but not family members</v>
      </c>
      <c r="F1023" s="1" t="str">
        <f ca="1">IFERROR(__xludf.DUMMYFUNCTION("""COMPUTED_VALUE"""),"Yes, I will earn and do that")</f>
        <v>Yes, I will earn and do that</v>
      </c>
      <c r="G1023" s="1" t="str">
        <f ca="1">IFERROR(__xludf.DUMMYFUNCTION("""COMPUTED_VALUE"""),"This will be hard to do, but if it is the right company I would try")</f>
        <v>This will be hard to do, but if it is the right company I would try</v>
      </c>
      <c r="H1023" s="1" t="str">
        <f ca="1">IFERROR(__xludf.DUMMYFUNCTION("""COMPUTED_VALUE"""),"Yes")</f>
        <v>Yes</v>
      </c>
      <c r="I1023" s="1" t="str">
        <f ca="1">IFERROR(__xludf.DUMMYFUNCTION("""COMPUTED_VALUE"""),"Will work for them")</f>
        <v>Will work for them</v>
      </c>
      <c r="J1023" s="1">
        <f ca="1">IFERROR(__xludf.DUMMYFUNCTION("""COMPUTED_VALUE"""),7)</f>
        <v>7</v>
      </c>
      <c r="K1023" s="1" t="str">
        <f ca="1">IFERROR(__xludf.DUMMYFUNCTION("""COMPUTED_VALUE"""),"Hybrid Working Environment with more than 15 days a month at office")</f>
        <v>Hybrid Working Environment with more than 15 days a month at office</v>
      </c>
      <c r="L1023" s="1" t="str">
        <f ca="1">IFERROR(__xludf.DUMMYFUNCTION("""COMPUTED_VALUE"""),"Employer who pushes your limits by enabling an learning environment, and rewards you at the end")</f>
        <v>Employer who pushes your limits by enabling an learning environment, and rewards you at the end</v>
      </c>
      <c r="M102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23"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1023" s="1" t="str">
        <f ca="1">IFERROR(__xludf.DUMMYFUNCTION("""COMPUTED_VALUE"""),"Manager who sets unrealistic targets")</f>
        <v>Manager who sets unrealistic targets</v>
      </c>
      <c r="P1023" s="1" t="str">
        <f ca="1">IFERROR(__xludf.DUMMYFUNCTION("""COMPUTED_VALUE"""),"Work with more than 10 people in my team")</f>
        <v>Work with more than 10 people in my team</v>
      </c>
      <c r="Q1023" s="1"/>
    </row>
    <row r="1024" spans="1:17" ht="13.2" x14ac:dyDescent="0.25">
      <c r="A1024" s="2">
        <f ca="1">IFERROR(__xludf.DUMMYFUNCTION("""COMPUTED_VALUE"""),45043.8988596759)</f>
        <v>45043.898859675901</v>
      </c>
      <c r="B1024" s="1" t="str">
        <f ca="1">IFERROR(__xludf.DUMMYFUNCTION("""COMPUTED_VALUE"""),"India")</f>
        <v>India</v>
      </c>
      <c r="C1024" s="1">
        <f ca="1">IFERROR(__xludf.DUMMYFUNCTION("""COMPUTED_VALUE"""),247554)</f>
        <v>247554</v>
      </c>
      <c r="D1024" s="3" t="str">
        <f ca="1">IFERROR(__xludf.DUMMYFUNCTION("""COMPUTED_VALUE"""),"Male")</f>
        <v>Male</v>
      </c>
      <c r="E1024" s="1" t="str">
        <f ca="1">IFERROR(__xludf.DUMMYFUNCTION("""COMPUTED_VALUE"""),"My Parents")</f>
        <v>My Parents</v>
      </c>
      <c r="F1024" s="1" t="str">
        <f ca="1">IFERROR(__xludf.DUMMYFUNCTION("""COMPUTED_VALUE"""),"Yes, I will earn and do that")</f>
        <v>Yes, I will earn and do that</v>
      </c>
      <c r="G1024" s="1" t="str">
        <f ca="1">IFERROR(__xludf.DUMMYFUNCTION("""COMPUTED_VALUE"""),"This will be hard to do, but if it is the right company I would try")</f>
        <v>This will be hard to do, but if it is the right company I would try</v>
      </c>
      <c r="H1024" s="1" t="str">
        <f ca="1">IFERROR(__xludf.DUMMYFUNCTION("""COMPUTED_VALUE"""),"No")</f>
        <v>No</v>
      </c>
      <c r="I1024" s="1" t="str">
        <f ca="1">IFERROR(__xludf.DUMMYFUNCTION("""COMPUTED_VALUE"""),"Will work for them")</f>
        <v>Will work for them</v>
      </c>
      <c r="J1024" s="1">
        <f ca="1">IFERROR(__xludf.DUMMYFUNCTION("""COMPUTED_VALUE"""),7)</f>
        <v>7</v>
      </c>
      <c r="K1024" s="1" t="str">
        <f ca="1">IFERROR(__xludf.DUMMYFUNCTION("""COMPUTED_VALUE"""),"Fully Remote with Options to travel as and when needed")</f>
        <v>Fully Remote with Options to travel as and when needed</v>
      </c>
      <c r="L1024" s="1" t="str">
        <f ca="1">IFERROR(__xludf.DUMMYFUNCTION("""COMPUTED_VALUE"""),"Employer who rewards learning and enables that environment")</f>
        <v>Employer who rewards learning and enables that environment</v>
      </c>
      <c r="M1024"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024"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024" s="1" t="str">
        <f ca="1">IFERROR(__xludf.DUMMYFUNCTION("""COMPUTED_VALUE"""),"Manager who explains what is expected, sets a goal and helps achieve it")</f>
        <v>Manager who explains what is expected, sets a goal and helps achieve it</v>
      </c>
      <c r="P1024" s="1" t="str">
        <f ca="1">IFERROR(__xludf.DUMMYFUNCTION("""COMPUTED_VALUE"""),"Work alone, Work with 2 to 3 people in my team")</f>
        <v>Work alone, Work with 2 to 3 people in my team</v>
      </c>
      <c r="Q1024" s="1"/>
    </row>
    <row r="1025" spans="1:17" ht="13.2" x14ac:dyDescent="0.25">
      <c r="A1025" s="2">
        <f ca="1">IFERROR(__xludf.DUMMYFUNCTION("""COMPUTED_VALUE"""),45043.8991071527)</f>
        <v>45043.899107152698</v>
      </c>
      <c r="B1025" s="1" t="str">
        <f ca="1">IFERROR(__xludf.DUMMYFUNCTION("""COMPUTED_VALUE"""),"Others")</f>
        <v>Others</v>
      </c>
      <c r="C1025" s="1">
        <f ca="1">IFERROR(__xludf.DUMMYFUNCTION("""COMPUTED_VALUE"""),80078)</f>
        <v>80078</v>
      </c>
      <c r="D1025" s="3" t="str">
        <f ca="1">IFERROR(__xludf.DUMMYFUNCTION("""COMPUTED_VALUE"""),"Male")</f>
        <v>Male</v>
      </c>
      <c r="E1025" s="1" t="str">
        <f ca="1">IFERROR(__xludf.DUMMYFUNCTION("""COMPUTED_VALUE"""),"My Parents")</f>
        <v>My Parents</v>
      </c>
      <c r="F1025" s="1" t="str">
        <f ca="1">IFERROR(__xludf.DUMMYFUNCTION("""COMPUTED_VALUE"""),"Yes, I will earn and do that")</f>
        <v>Yes, I will earn and do that</v>
      </c>
      <c r="G1025" s="1" t="str">
        <f ca="1">IFERROR(__xludf.DUMMYFUNCTION("""COMPUTED_VALUE"""),"This will be hard to do, but if it is the right company I would try")</f>
        <v>This will be hard to do, but if it is the right company I would try</v>
      </c>
      <c r="H1025" s="1" t="str">
        <f ca="1">IFERROR(__xludf.DUMMYFUNCTION("""COMPUTED_VALUE"""),"Yes")</f>
        <v>Yes</v>
      </c>
      <c r="I1025" s="1" t="str">
        <f ca="1">IFERROR(__xludf.DUMMYFUNCTION("""COMPUTED_VALUE"""),"Will work for them")</f>
        <v>Will work for them</v>
      </c>
      <c r="J1025" s="1">
        <f ca="1">IFERROR(__xludf.DUMMYFUNCTION("""COMPUTED_VALUE"""),10)</f>
        <v>10</v>
      </c>
      <c r="K1025" s="1" t="str">
        <f ca="1">IFERROR(__xludf.DUMMYFUNCTION("""COMPUTED_VALUE"""),"Hybrid Working Environment with more than 15 days a month at office")</f>
        <v>Hybrid Working Environment with more than 15 days a month at office</v>
      </c>
      <c r="L1025" s="1" t="str">
        <f ca="1">IFERROR(__xludf.DUMMYFUNCTION("""COMPUTED_VALUE"""),"Employer who pushes your limits by enabling an learning environment, and rewards you at the end")</f>
        <v>Employer who pushes your limits by enabling an learning environment, and rewards you at the end</v>
      </c>
      <c r="M1025"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025" s="1" t="str">
        <f ca="1">IFERROR(__xludf.DUMMYFUNCTION("""COMPUTED_VALUE"""),"Design and Creative strategy in any company, Work as a freelancer and do my thing my way, Entrepreneur or Start Up, Manufacturing / Oil and Gas/ Construction / Hard Physical Work related")</f>
        <v>Design and Creative strategy in any company, Work as a freelancer and do my thing my way, Entrepreneur or Start Up, Manufacturing / Oil and Gas/ Construction / Hard Physical Work related</v>
      </c>
      <c r="O1025" s="1" t="str">
        <f ca="1">IFERROR(__xludf.DUMMYFUNCTION("""COMPUTED_VALUE"""),"Manager who clearly describes what she/he needs")</f>
        <v>Manager who clearly describes what she/he needs</v>
      </c>
      <c r="P1025" s="1" t="str">
        <f ca="1">IFERROR(__xludf.DUMMYFUNCTION("""COMPUTED_VALUE"""),"Work alone, Work with 5 to 6 people in my team")</f>
        <v>Work alone, Work with 5 to 6 people in my team</v>
      </c>
      <c r="Q1025" s="1"/>
    </row>
    <row r="1026" spans="1:17" ht="13.2" x14ac:dyDescent="0.25">
      <c r="A1026" s="2">
        <f ca="1">IFERROR(__xludf.DUMMYFUNCTION("""COMPUTED_VALUE"""),45043.9010489351)</f>
        <v>45043.901048935099</v>
      </c>
      <c r="B1026" s="1" t="str">
        <f ca="1">IFERROR(__xludf.DUMMYFUNCTION("""COMPUTED_VALUE"""),"India")</f>
        <v>India</v>
      </c>
      <c r="C1026" s="1">
        <f ca="1">IFERROR(__xludf.DUMMYFUNCTION("""COMPUTED_VALUE"""),505001)</f>
        <v>505001</v>
      </c>
      <c r="D1026" s="3" t="str">
        <f ca="1">IFERROR(__xludf.DUMMYFUNCTION("""COMPUTED_VALUE"""),"Female")</f>
        <v>Female</v>
      </c>
      <c r="E1026" s="1" t="str">
        <f ca="1">IFERROR(__xludf.DUMMYFUNCTION("""COMPUTED_VALUE"""),"People who have changed the world for better")</f>
        <v>People who have changed the world for better</v>
      </c>
      <c r="F1026" s="1" t="str">
        <f ca="1">IFERROR(__xludf.DUMMYFUNCTION("""COMPUTED_VALUE"""),"Yes, I will earn and do that")</f>
        <v>Yes, I will earn and do that</v>
      </c>
      <c r="G1026" s="1" t="str">
        <f ca="1">IFERROR(__xludf.DUMMYFUNCTION("""COMPUTED_VALUE"""),"Will work for 3 years or more")</f>
        <v>Will work for 3 years or more</v>
      </c>
      <c r="H1026" s="1" t="str">
        <f ca="1">IFERROR(__xludf.DUMMYFUNCTION("""COMPUTED_VALUE"""),"No")</f>
        <v>No</v>
      </c>
      <c r="I1026" s="1" t="str">
        <f ca="1">IFERROR(__xludf.DUMMYFUNCTION("""COMPUTED_VALUE"""),"Will NOT work for them")</f>
        <v>Will NOT work for them</v>
      </c>
      <c r="J1026" s="1">
        <f ca="1">IFERROR(__xludf.DUMMYFUNCTION("""COMPUTED_VALUE"""),8)</f>
        <v>8</v>
      </c>
      <c r="K1026" s="1" t="str">
        <f ca="1">IFERROR(__xludf.DUMMYFUNCTION("""COMPUTED_VALUE"""),"Hybrid Working Environment with less than 3 days a month at office")</f>
        <v>Hybrid Working Environment with less than 3 days a month at office</v>
      </c>
      <c r="L1026" s="1" t="str">
        <f ca="1">IFERROR(__xludf.DUMMYFUNCTION("""COMPUTED_VALUE"""),"Employer who appreciates learning and enables that environment")</f>
        <v>Employer who appreciates learning and enables that environment</v>
      </c>
      <c r="M1026" s="1" t="str">
        <f ca="1">IFERROR(__xludf.DUMMYFUNCTION("""COMPUTED_VALUE"""),"Learning by observing others, Self Purchased Course from External Platforms, Manager Teaching you")</f>
        <v>Learning by observing others, Self Purchased Course from External Platforms, Manager Teaching you</v>
      </c>
      <c r="N102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26" s="1" t="str">
        <f ca="1">IFERROR(__xludf.DUMMYFUNCTION("""COMPUTED_VALUE"""),"Manager who explains what is expected, sets a goal and helps achieve it")</f>
        <v>Manager who explains what is expected, sets a goal and helps achieve it</v>
      </c>
      <c r="P1026" s="1" t="str">
        <f ca="1">IFERROR(__xludf.DUMMYFUNCTION("""COMPUTED_VALUE"""),"Work with 2 to 3 people in my team, Work with 5 to 6 people in my team")</f>
        <v>Work with 2 to 3 people in my team, Work with 5 to 6 people in my team</v>
      </c>
      <c r="Q1026" s="1"/>
    </row>
    <row r="1027" spans="1:17" ht="13.2" x14ac:dyDescent="0.25">
      <c r="A1027" s="2">
        <f ca="1">IFERROR(__xludf.DUMMYFUNCTION("""COMPUTED_VALUE"""),45043.902888368)</f>
        <v>45043.902888368</v>
      </c>
      <c r="B1027" s="1" t="str">
        <f ca="1">IFERROR(__xludf.DUMMYFUNCTION("""COMPUTED_VALUE"""),"India")</f>
        <v>India</v>
      </c>
      <c r="C1027" s="1">
        <f ca="1">IFERROR(__xludf.DUMMYFUNCTION("""COMPUTED_VALUE"""),509216)</f>
        <v>509216</v>
      </c>
      <c r="D1027" s="3" t="str">
        <f ca="1">IFERROR(__xludf.DUMMYFUNCTION("""COMPUTED_VALUE"""),"Male")</f>
        <v>Male</v>
      </c>
      <c r="E1027" s="1" t="str">
        <f ca="1">IFERROR(__xludf.DUMMYFUNCTION("""COMPUTED_VALUE"""),"People who have changed the world for better")</f>
        <v>People who have changed the world for better</v>
      </c>
      <c r="F1027" s="1" t="str">
        <f ca="1">IFERROR(__xludf.DUMMYFUNCTION("""COMPUTED_VALUE"""),"No, But if someone could bare the cost I will")</f>
        <v>No, But if someone could bare the cost I will</v>
      </c>
      <c r="G1027" s="1" t="str">
        <f ca="1">IFERROR(__xludf.DUMMYFUNCTION("""COMPUTED_VALUE"""),"Will work for 3 years or more")</f>
        <v>Will work for 3 years or more</v>
      </c>
      <c r="H1027" s="1" t="str">
        <f ca="1">IFERROR(__xludf.DUMMYFUNCTION("""COMPUTED_VALUE"""),"No")</f>
        <v>No</v>
      </c>
      <c r="I1027" s="1" t="str">
        <f ca="1">IFERROR(__xludf.DUMMYFUNCTION("""COMPUTED_VALUE"""),"Will NOT work for them")</f>
        <v>Will NOT work for them</v>
      </c>
      <c r="J1027" s="1">
        <f ca="1">IFERROR(__xludf.DUMMYFUNCTION("""COMPUTED_VALUE"""),6)</f>
        <v>6</v>
      </c>
      <c r="K1027" s="1" t="str">
        <f ca="1">IFERROR(__xludf.DUMMYFUNCTION("""COMPUTED_VALUE"""),"Fully Remote with No option to visit offices")</f>
        <v>Fully Remote with No option to visit offices</v>
      </c>
      <c r="L1027" s="1" t="str">
        <f ca="1">IFERROR(__xludf.DUMMYFUNCTION("""COMPUTED_VALUE"""),"Employer who appreciates learning and enables that environment")</f>
        <v>Employer who appreciates learning and enables that environment</v>
      </c>
      <c r="M1027" s="1" t="str">
        <f ca="1">IFERROR(__xludf.DUMMYFUNCTION("""COMPUTED_VALUE"""),"Instructor or Expert Learning Programs, Self Purchased Course from External Platforms, Manager Teaching you")</f>
        <v>Instructor or Expert Learning Programs, Self Purchased Course from External Platforms, Manager Teaching you</v>
      </c>
      <c r="N1027" s="1" t="str">
        <f ca="1">IFERROR(__xludf.DUMMYFUNCTION("""COMPUTED_VALUE"""),"Design and Develop amazing software, Work as a freelancer and do my thing my way, Become a content Creator in some platform, An Artificial Intelligence Specialist / Talking to Robots")</f>
        <v>Design and Develop amazing software, Work as a freelancer and do my thing my way, Become a content Creator in some platform, An Artificial Intelligence Specialist / Talking to Robots</v>
      </c>
      <c r="O1027" s="1" t="str">
        <f ca="1">IFERROR(__xludf.DUMMYFUNCTION("""COMPUTED_VALUE"""),"Manager who explains what is expected, sets a goal and helps achieve it")</f>
        <v>Manager who explains what is expected, sets a goal and helps achieve it</v>
      </c>
      <c r="P1027" s="1" t="str">
        <f ca="1">IFERROR(__xludf.DUMMYFUNCTION("""COMPUTED_VALUE"""),"Work with 2 to 3 people in my team")</f>
        <v>Work with 2 to 3 people in my team</v>
      </c>
      <c r="Q1027" s="1"/>
    </row>
    <row r="1028" spans="1:17" ht="13.2" x14ac:dyDescent="0.25">
      <c r="A1028" s="2">
        <f ca="1">IFERROR(__xludf.DUMMYFUNCTION("""COMPUTED_VALUE"""),45043.9031669213)</f>
        <v>45043.9031669213</v>
      </c>
      <c r="B1028" s="1" t="str">
        <f ca="1">IFERROR(__xludf.DUMMYFUNCTION("""COMPUTED_VALUE"""),"India")</f>
        <v>India</v>
      </c>
      <c r="C1028" s="1">
        <f ca="1">IFERROR(__xludf.DUMMYFUNCTION("""COMPUTED_VALUE"""),500035)</f>
        <v>500035</v>
      </c>
      <c r="D1028" s="3" t="str">
        <f ca="1">IFERROR(__xludf.DUMMYFUNCTION("""COMPUTED_VALUE"""),"Male")</f>
        <v>Male</v>
      </c>
      <c r="E1028" s="1" t="str">
        <f ca="1">IFERROR(__xludf.DUMMYFUNCTION("""COMPUTED_VALUE"""),"Social Media like LinkedIn")</f>
        <v>Social Media like LinkedIn</v>
      </c>
      <c r="F1028" s="1" t="str">
        <f ca="1">IFERROR(__xludf.DUMMYFUNCTION("""COMPUTED_VALUE"""),"No I would not be pursuing Higher Education outside of India")</f>
        <v>No I would not be pursuing Higher Education outside of India</v>
      </c>
      <c r="G1028" s="1" t="str">
        <f ca="1">IFERROR(__xludf.DUMMYFUNCTION("""COMPUTED_VALUE"""),"This will be hard to do, but if it is the right company I would try")</f>
        <v>This will be hard to do, but if it is the right company I would try</v>
      </c>
      <c r="H1028" s="1" t="str">
        <f ca="1">IFERROR(__xludf.DUMMYFUNCTION("""COMPUTED_VALUE"""),"Yes")</f>
        <v>Yes</v>
      </c>
      <c r="I1028" s="1" t="str">
        <f ca="1">IFERROR(__xludf.DUMMYFUNCTION("""COMPUTED_VALUE"""),"Will work for them")</f>
        <v>Will work for them</v>
      </c>
      <c r="J1028" s="1">
        <f ca="1">IFERROR(__xludf.DUMMYFUNCTION("""COMPUTED_VALUE"""),8)</f>
        <v>8</v>
      </c>
      <c r="K1028" s="1" t="str">
        <f ca="1">IFERROR(__xludf.DUMMYFUNCTION("""COMPUTED_VALUE"""),"Hybrid Working Environment with more than 15 days a month at office")</f>
        <v>Hybrid Working Environment with more than 15 days a month at office</v>
      </c>
      <c r="L1028" s="1" t="str">
        <f ca="1">IFERROR(__xludf.DUMMYFUNCTION("""COMPUTED_VALUE"""),"Employer who rewards learning and enables that environment")</f>
        <v>Employer who rewards learning and enables that environment</v>
      </c>
      <c r="M102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28"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28" s="1" t="str">
        <f ca="1">IFERROR(__xludf.DUMMYFUNCTION("""COMPUTED_VALUE"""),"Manager who sets goal and helps me achieve it")</f>
        <v>Manager who sets goal and helps me achieve it</v>
      </c>
      <c r="P1028" s="1" t="str">
        <f ca="1">IFERROR(__xludf.DUMMYFUNCTION("""COMPUTED_VALUE"""),"Work with 5 to 6 people in my team")</f>
        <v>Work with 5 to 6 people in my team</v>
      </c>
      <c r="Q1028" s="1"/>
    </row>
    <row r="1029" spans="1:17" ht="13.2" x14ac:dyDescent="0.25">
      <c r="A1029" s="2">
        <f ca="1">IFERROR(__xludf.DUMMYFUNCTION("""COMPUTED_VALUE"""),45043.9036453703)</f>
        <v>45043.903645370301</v>
      </c>
      <c r="B1029" s="1" t="str">
        <f ca="1">IFERROR(__xludf.DUMMYFUNCTION("""COMPUTED_VALUE"""),"India")</f>
        <v>India</v>
      </c>
      <c r="C1029" s="1">
        <f ca="1">IFERROR(__xludf.DUMMYFUNCTION("""COMPUTED_VALUE"""),250002)</f>
        <v>250002</v>
      </c>
      <c r="D1029" s="3" t="str">
        <f ca="1">IFERROR(__xludf.DUMMYFUNCTION("""COMPUTED_VALUE"""),"Female")</f>
        <v>Female</v>
      </c>
      <c r="E1029" s="1" t="str">
        <f ca="1">IFERROR(__xludf.DUMMYFUNCTION("""COMPUTED_VALUE"""),"People who have changed the world for better")</f>
        <v>People who have changed the world for better</v>
      </c>
      <c r="F1029" s="1" t="str">
        <f ca="1">IFERROR(__xludf.DUMMYFUNCTION("""COMPUTED_VALUE"""),"No I would not be pursuing Higher Education outside of India")</f>
        <v>No I would not be pursuing Higher Education outside of India</v>
      </c>
      <c r="G1029" s="1" t="str">
        <f ca="1">IFERROR(__xludf.DUMMYFUNCTION("""COMPUTED_VALUE"""),"This will be hard to do, but if it is the right company I would try")</f>
        <v>This will be hard to do, but if it is the right company I would try</v>
      </c>
      <c r="H1029" s="1" t="str">
        <f ca="1">IFERROR(__xludf.DUMMYFUNCTION("""COMPUTED_VALUE"""),"No")</f>
        <v>No</v>
      </c>
      <c r="I1029" s="1" t="str">
        <f ca="1">IFERROR(__xludf.DUMMYFUNCTION("""COMPUTED_VALUE"""),"Will NOT work for them")</f>
        <v>Will NOT work for them</v>
      </c>
      <c r="J1029" s="1">
        <f ca="1">IFERROR(__xludf.DUMMYFUNCTION("""COMPUTED_VALUE"""),5)</f>
        <v>5</v>
      </c>
      <c r="K1029" s="1" t="str">
        <f ca="1">IFERROR(__xludf.DUMMYFUNCTION("""COMPUTED_VALUE"""),"Hybrid Working Environment with less than 3 days a month at office")</f>
        <v>Hybrid Working Environment with less than 3 days a month at office</v>
      </c>
      <c r="L1029" s="1" t="str">
        <f ca="1">IFERROR(__xludf.DUMMYFUNCTION("""COMPUTED_VALUE"""),"Employer who pushes your limits by enabling an learning environment, and rewards you at the end")</f>
        <v>Employer who pushes your limits by enabling an learning environment, and rewards you at the end</v>
      </c>
      <c r="M102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29" s="1" t="str">
        <f ca="1">IFERROR(__xludf.DUMMYFUNCTION("""COMPUTED_VALUE"""),"Build and develop a Team, Entrepreneur or Start Up, I Want to sell things/Sales, An Artificial Intelligence Specialist / Talking to Robots")</f>
        <v>Build and develop a Team, Entrepreneur or Start Up, I Want to sell things/Sales, An Artificial Intelligence Specialist / Talking to Robots</v>
      </c>
      <c r="O1029" s="1" t="str">
        <f ca="1">IFERROR(__xludf.DUMMYFUNCTION("""COMPUTED_VALUE"""),"Manager who explains what is expected, sets a goal and helps achieve it")</f>
        <v>Manager who explains what is expected, sets a goal and helps achieve it</v>
      </c>
      <c r="P1029" s="1" t="str">
        <f ca="1">IFERROR(__xludf.DUMMYFUNCTION("""COMPUTED_VALUE"""),"Work with 7 to 10 or more people in my team")</f>
        <v>Work with 7 to 10 or more people in my team</v>
      </c>
      <c r="Q1029" s="1"/>
    </row>
    <row r="1030" spans="1:17" ht="13.2" x14ac:dyDescent="0.25">
      <c r="A1030" s="2">
        <f ca="1">IFERROR(__xludf.DUMMYFUNCTION("""COMPUTED_VALUE"""),45043.9070152546)</f>
        <v>45043.907015254597</v>
      </c>
      <c r="B1030" s="1" t="str">
        <f ca="1">IFERROR(__xludf.DUMMYFUNCTION("""COMPUTED_VALUE"""),"India")</f>
        <v>India</v>
      </c>
      <c r="C1030" s="1">
        <f ca="1">IFERROR(__xludf.DUMMYFUNCTION("""COMPUTED_VALUE"""),509216)</f>
        <v>509216</v>
      </c>
      <c r="D1030" s="3" t="str">
        <f ca="1">IFERROR(__xludf.DUMMYFUNCTION("""COMPUTED_VALUE"""),"Male")</f>
        <v>Male</v>
      </c>
      <c r="E1030" s="1" t="str">
        <f ca="1">IFERROR(__xludf.DUMMYFUNCTION("""COMPUTED_VALUE"""),"Influencers who had successful careers")</f>
        <v>Influencers who had successful careers</v>
      </c>
      <c r="F1030" s="1" t="str">
        <f ca="1">IFERROR(__xludf.DUMMYFUNCTION("""COMPUTED_VALUE"""),"Yes, I will earn and do that")</f>
        <v>Yes, I will earn and do that</v>
      </c>
      <c r="G1030" s="1" t="str">
        <f ca="1">IFERROR(__xludf.DUMMYFUNCTION("""COMPUTED_VALUE"""),"This will be hard to do, but if it is the right company I would try")</f>
        <v>This will be hard to do, but if it is the right company I would try</v>
      </c>
      <c r="H1030" s="1" t="str">
        <f ca="1">IFERROR(__xludf.DUMMYFUNCTION("""COMPUTED_VALUE"""),"No")</f>
        <v>No</v>
      </c>
      <c r="I1030" s="1" t="str">
        <f ca="1">IFERROR(__xludf.DUMMYFUNCTION("""COMPUTED_VALUE"""),"Will NOT work for them")</f>
        <v>Will NOT work for them</v>
      </c>
      <c r="J1030" s="1">
        <f ca="1">IFERROR(__xludf.DUMMYFUNCTION("""COMPUTED_VALUE"""),5)</f>
        <v>5</v>
      </c>
      <c r="K1030" s="1" t="str">
        <f ca="1">IFERROR(__xludf.DUMMYFUNCTION("""COMPUTED_VALUE"""),"Hybrid Working Environment with more than 15 days a month at office")</f>
        <v>Hybrid Working Environment with more than 15 days a month at office</v>
      </c>
      <c r="L1030" s="1" t="str">
        <f ca="1">IFERROR(__xludf.DUMMYFUNCTION("""COMPUTED_VALUE"""),"Employer who pushes your limits by enabling an learning environment, and rewards you at the end")</f>
        <v>Employer who pushes your limits by enabling an learning environment, and rewards you at the end</v>
      </c>
      <c r="M1030" s="1" t="str">
        <f ca="1">IFERROR(__xludf.DUMMYFUNCTION("""COMPUTED_VALUE"""),"Self Paced Learning Portals of the Company, Instructor or Expert Learning Programs, Manager Teaching you")</f>
        <v>Self Paced Learning Portals of the Company, Instructor or Expert Learning Programs, Manager Teaching you</v>
      </c>
      <c r="N103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30" s="1" t="str">
        <f ca="1">IFERROR(__xludf.DUMMYFUNCTION("""COMPUTED_VALUE"""),"Manager who explains what is expected, sets a goal and helps achieve it")</f>
        <v>Manager who explains what is expected, sets a goal and helps achieve it</v>
      </c>
      <c r="P1030" s="1" t="str">
        <f ca="1">IFERROR(__xludf.DUMMYFUNCTION("""COMPUTED_VALUE"""),"Work with 7 to 10 or more people in my team")</f>
        <v>Work with 7 to 10 or more people in my team</v>
      </c>
      <c r="Q1030" s="1"/>
    </row>
    <row r="1031" spans="1:17" ht="13.2" x14ac:dyDescent="0.25">
      <c r="A1031" s="2">
        <f ca="1">IFERROR(__xludf.DUMMYFUNCTION("""COMPUTED_VALUE"""),45043.9077415972)</f>
        <v>45043.907741597199</v>
      </c>
      <c r="B1031" s="1" t="str">
        <f ca="1">IFERROR(__xludf.DUMMYFUNCTION("""COMPUTED_VALUE"""),"India")</f>
        <v>India</v>
      </c>
      <c r="C1031" s="1">
        <f ca="1">IFERROR(__xludf.DUMMYFUNCTION("""COMPUTED_VALUE"""),500008)</f>
        <v>500008</v>
      </c>
      <c r="D1031" s="3" t="str">
        <f ca="1">IFERROR(__xludf.DUMMYFUNCTION("""COMPUTED_VALUE"""),"Female")</f>
        <v>Female</v>
      </c>
      <c r="E1031" s="1" t="str">
        <f ca="1">IFERROR(__xludf.DUMMYFUNCTION("""COMPUTED_VALUE"""),"Influencers who had successful careers")</f>
        <v>Influencers who had successful careers</v>
      </c>
      <c r="F1031" s="1" t="str">
        <f ca="1">IFERROR(__xludf.DUMMYFUNCTION("""COMPUTED_VALUE"""),"No I would not be pursuing Higher Education outside of India")</f>
        <v>No I would not be pursuing Higher Education outside of India</v>
      </c>
      <c r="G1031" s="1" t="str">
        <f ca="1">IFERROR(__xludf.DUMMYFUNCTION("""COMPUTED_VALUE"""),"Will work for 3 years or more")</f>
        <v>Will work for 3 years or more</v>
      </c>
      <c r="H1031" s="1" t="str">
        <f ca="1">IFERROR(__xludf.DUMMYFUNCTION("""COMPUTED_VALUE"""),"No")</f>
        <v>No</v>
      </c>
      <c r="I1031" s="1" t="str">
        <f ca="1">IFERROR(__xludf.DUMMYFUNCTION("""COMPUTED_VALUE"""),"Will work for them")</f>
        <v>Will work for them</v>
      </c>
      <c r="J1031" s="1">
        <f ca="1">IFERROR(__xludf.DUMMYFUNCTION("""COMPUTED_VALUE"""),8)</f>
        <v>8</v>
      </c>
      <c r="K1031" s="1" t="str">
        <f ca="1">IFERROR(__xludf.DUMMYFUNCTION("""COMPUTED_VALUE"""),"Every Day Office Environment")</f>
        <v>Every Day Office Environment</v>
      </c>
      <c r="L1031" s="1" t="str">
        <f ca="1">IFERROR(__xludf.DUMMYFUNCTION("""COMPUTED_VALUE"""),"Employer who pushes your limits by enabling an learning environment, and rewards you at the end")</f>
        <v>Employer who pushes your limits by enabling an learning environment, and rewards you at the end</v>
      </c>
      <c r="M103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3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31" s="1" t="str">
        <f ca="1">IFERROR(__xludf.DUMMYFUNCTION("""COMPUTED_VALUE"""),"Manager who explains what is expected, sets a goal and helps achieve it")</f>
        <v>Manager who explains what is expected, sets a goal and helps achieve it</v>
      </c>
      <c r="P1031"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031" s="1"/>
    </row>
    <row r="1032" spans="1:17" ht="13.2" x14ac:dyDescent="0.25">
      <c r="A1032" s="2">
        <f ca="1">IFERROR(__xludf.DUMMYFUNCTION("""COMPUTED_VALUE"""),45043.9103905902)</f>
        <v>45043.910390590201</v>
      </c>
      <c r="B1032" s="1" t="str">
        <f ca="1">IFERROR(__xludf.DUMMYFUNCTION("""COMPUTED_VALUE"""),"India")</f>
        <v>India</v>
      </c>
      <c r="C1032" s="1">
        <f ca="1">IFERROR(__xludf.DUMMYFUNCTION("""COMPUTED_VALUE"""),500092)</f>
        <v>500092</v>
      </c>
      <c r="D1032" s="3" t="str">
        <f ca="1">IFERROR(__xludf.DUMMYFUNCTION("""COMPUTED_VALUE"""),"Male")</f>
        <v>Male</v>
      </c>
      <c r="E1032" s="1" t="str">
        <f ca="1">IFERROR(__xludf.DUMMYFUNCTION("""COMPUTED_VALUE"""),"People from my circle, but not family members")</f>
        <v>People from my circle, but not family members</v>
      </c>
      <c r="F1032" s="1" t="str">
        <f ca="1">IFERROR(__xludf.DUMMYFUNCTION("""COMPUTED_VALUE"""),"Yes, I will earn and do that")</f>
        <v>Yes, I will earn and do that</v>
      </c>
      <c r="G1032" s="1" t="str">
        <f ca="1">IFERROR(__xludf.DUMMYFUNCTION("""COMPUTED_VALUE"""),"This will be hard to do, but if it is the right company I would try")</f>
        <v>This will be hard to do, but if it is the right company I would try</v>
      </c>
      <c r="H1032" s="1" t="str">
        <f ca="1">IFERROR(__xludf.DUMMYFUNCTION("""COMPUTED_VALUE"""),"No")</f>
        <v>No</v>
      </c>
      <c r="I1032" s="1" t="str">
        <f ca="1">IFERROR(__xludf.DUMMYFUNCTION("""COMPUTED_VALUE"""),"Will NOT work for them")</f>
        <v>Will NOT work for them</v>
      </c>
      <c r="J1032" s="1">
        <f ca="1">IFERROR(__xludf.DUMMYFUNCTION("""COMPUTED_VALUE"""),5)</f>
        <v>5</v>
      </c>
      <c r="K1032" s="1" t="str">
        <f ca="1">IFERROR(__xludf.DUMMYFUNCTION("""COMPUTED_VALUE"""),"Fully Remote with Options to travel as and when needed")</f>
        <v>Fully Remote with Options to travel as and when needed</v>
      </c>
      <c r="L1032" s="1" t="str">
        <f ca="1">IFERROR(__xludf.DUMMYFUNCTION("""COMPUTED_VALUE"""),"Employer who pushes your limits by enabling an learning environment, and rewards you at the end")</f>
        <v>Employer who pushes your limits by enabling an learning environment, and rewards you at the end</v>
      </c>
      <c r="M103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32"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032" s="1" t="str">
        <f ca="1">IFERROR(__xludf.DUMMYFUNCTION("""COMPUTED_VALUE"""),"Manager who explains what is expected, sets a goal and helps achieve it")</f>
        <v>Manager who explains what is expected, sets a goal and helps achieve it</v>
      </c>
      <c r="P1032" s="1" t="str">
        <f ca="1">IFERROR(__xludf.DUMMYFUNCTION("""COMPUTED_VALUE"""),"Work with 2 to 3 people in my team, Work with 5 to 6 people in my team")</f>
        <v>Work with 2 to 3 people in my team, Work with 5 to 6 people in my team</v>
      </c>
      <c r="Q1032" s="1"/>
    </row>
    <row r="1033" spans="1:17" ht="13.2" x14ac:dyDescent="0.25">
      <c r="A1033" s="2">
        <f ca="1">IFERROR(__xludf.DUMMYFUNCTION("""COMPUTED_VALUE"""),45043.9137175694)</f>
        <v>45043.913717569398</v>
      </c>
      <c r="B1033" s="1" t="str">
        <f ca="1">IFERROR(__xludf.DUMMYFUNCTION("""COMPUTED_VALUE"""),"India")</f>
        <v>India</v>
      </c>
      <c r="C1033" s="1">
        <f ca="1">IFERROR(__xludf.DUMMYFUNCTION("""COMPUTED_VALUE"""),500016)</f>
        <v>500016</v>
      </c>
      <c r="D1033" s="3" t="str">
        <f ca="1">IFERROR(__xludf.DUMMYFUNCTION("""COMPUTED_VALUE"""),"Female")</f>
        <v>Female</v>
      </c>
      <c r="E1033" s="1" t="str">
        <f ca="1">IFERROR(__xludf.DUMMYFUNCTION("""COMPUTED_VALUE"""),"People who have changed the world for better")</f>
        <v>People who have changed the world for better</v>
      </c>
      <c r="F1033" s="1" t="str">
        <f ca="1">IFERROR(__xludf.DUMMYFUNCTION("""COMPUTED_VALUE"""),"No I would not be pursuing Higher Education outside of India")</f>
        <v>No I would not be pursuing Higher Education outside of India</v>
      </c>
      <c r="G1033" s="1" t="str">
        <f ca="1">IFERROR(__xludf.DUMMYFUNCTION("""COMPUTED_VALUE"""),"Will work for 3 years or more")</f>
        <v>Will work for 3 years or more</v>
      </c>
      <c r="H1033" s="1" t="str">
        <f ca="1">IFERROR(__xludf.DUMMYFUNCTION("""COMPUTED_VALUE"""),"Yes")</f>
        <v>Yes</v>
      </c>
      <c r="I1033" s="1" t="str">
        <f ca="1">IFERROR(__xludf.DUMMYFUNCTION("""COMPUTED_VALUE"""),"Will NOT work for them")</f>
        <v>Will NOT work for them</v>
      </c>
      <c r="J1033" s="1">
        <f ca="1">IFERROR(__xludf.DUMMYFUNCTION("""COMPUTED_VALUE"""),4)</f>
        <v>4</v>
      </c>
      <c r="K1033" s="1" t="str">
        <f ca="1">IFERROR(__xludf.DUMMYFUNCTION("""COMPUTED_VALUE"""),"Every Day Office Environment")</f>
        <v>Every Day Office Environment</v>
      </c>
      <c r="L1033" s="1" t="str">
        <f ca="1">IFERROR(__xludf.DUMMYFUNCTION("""COMPUTED_VALUE"""),"Employer who pushes your limits by enabling an learning environment, and rewards you at the end")</f>
        <v>Employer who pushes your limits by enabling an learning environment, and rewards you at the end</v>
      </c>
      <c r="M1033" s="1" t="str">
        <f ca="1">IFERROR(__xludf.DUMMYFUNCTION("""COMPUTED_VALUE"""),"Instructor or Expert Learning Programs, Learning by observing others, Manager Teaching you")</f>
        <v>Instructor or Expert Learning Programs, Learning by observing others, Manager Teaching you</v>
      </c>
      <c r="N103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3" s="1" t="str">
        <f ca="1">IFERROR(__xludf.DUMMYFUNCTION("""COMPUTED_VALUE"""),"Manager who explains what is expected, sets a goal and helps achieve it")</f>
        <v>Manager who explains what is expected, sets a goal and helps achieve it</v>
      </c>
      <c r="P1033" s="1" t="str">
        <f ca="1">IFERROR(__xludf.DUMMYFUNCTION("""COMPUTED_VALUE"""),"Work with 2 to 3 people in my team")</f>
        <v>Work with 2 to 3 people in my team</v>
      </c>
      <c r="Q1033" s="1"/>
    </row>
    <row r="1034" spans="1:17" ht="13.2" x14ac:dyDescent="0.25">
      <c r="A1034" s="2">
        <f ca="1">IFERROR(__xludf.DUMMYFUNCTION("""COMPUTED_VALUE"""),45043.9147123958)</f>
        <v>45043.914712395803</v>
      </c>
      <c r="B1034" s="1" t="str">
        <f ca="1">IFERROR(__xludf.DUMMYFUNCTION("""COMPUTED_VALUE"""),"India")</f>
        <v>India</v>
      </c>
      <c r="C1034" s="1">
        <f ca="1">IFERROR(__xludf.DUMMYFUNCTION("""COMPUTED_VALUE"""),509385)</f>
        <v>509385</v>
      </c>
      <c r="D1034" s="3" t="str">
        <f ca="1">IFERROR(__xludf.DUMMYFUNCTION("""COMPUTED_VALUE"""),"Female")</f>
        <v>Female</v>
      </c>
      <c r="E1034" s="1" t="str">
        <f ca="1">IFERROR(__xludf.DUMMYFUNCTION("""COMPUTED_VALUE"""),"People who have changed the world for better")</f>
        <v>People who have changed the world for better</v>
      </c>
      <c r="F1034" s="1" t="str">
        <f ca="1">IFERROR(__xludf.DUMMYFUNCTION("""COMPUTED_VALUE"""),"Yes, I will earn and do that")</f>
        <v>Yes, I will earn and do that</v>
      </c>
      <c r="G1034" s="1" t="str">
        <f ca="1">IFERROR(__xludf.DUMMYFUNCTION("""COMPUTED_VALUE"""),"Will work for 3 years or more")</f>
        <v>Will work for 3 years or more</v>
      </c>
      <c r="H1034" s="1" t="str">
        <f ca="1">IFERROR(__xludf.DUMMYFUNCTION("""COMPUTED_VALUE"""),"No")</f>
        <v>No</v>
      </c>
      <c r="I1034" s="1" t="str">
        <f ca="1">IFERROR(__xludf.DUMMYFUNCTION("""COMPUTED_VALUE"""),"Will NOT work for them")</f>
        <v>Will NOT work for them</v>
      </c>
      <c r="J1034" s="1">
        <f ca="1">IFERROR(__xludf.DUMMYFUNCTION("""COMPUTED_VALUE"""),8)</f>
        <v>8</v>
      </c>
      <c r="K1034" s="1" t="str">
        <f ca="1">IFERROR(__xludf.DUMMYFUNCTION("""COMPUTED_VALUE"""),"Every Day Office Environment")</f>
        <v>Every Day Office Environment</v>
      </c>
      <c r="L1034" s="1" t="str">
        <f ca="1">IFERROR(__xludf.DUMMYFUNCTION("""COMPUTED_VALUE"""),"Employer who appreciates learning and enables that environment")</f>
        <v>Employer who appreciates learning and enables that environment</v>
      </c>
      <c r="M1034" s="1" t="str">
        <f ca="1">IFERROR(__xludf.DUMMYFUNCTION("""COMPUTED_VALUE"""),"Self Paced Learning Portals of the Company, Learning by observing others, Manager Teaching you")</f>
        <v>Self Paced Learning Portals of the Company, Learning by observing others, Manager Teaching you</v>
      </c>
      <c r="N103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034" s="1" t="str">
        <f ca="1">IFERROR(__xludf.DUMMYFUNCTION("""COMPUTED_VALUE"""),"Manager who explains what is expected, sets a goal and helps achieve it")</f>
        <v>Manager who explains what is expected, sets a goal and helps achieve it</v>
      </c>
      <c r="P1034" s="1" t="str">
        <f ca="1">IFERROR(__xludf.DUMMYFUNCTION("""COMPUTED_VALUE"""),"Work with more than 10 people in my team")</f>
        <v>Work with more than 10 people in my team</v>
      </c>
      <c r="Q1034" s="1"/>
    </row>
    <row r="1035" spans="1:17" ht="13.2" x14ac:dyDescent="0.25">
      <c r="A1035" s="2">
        <f ca="1">IFERROR(__xludf.DUMMYFUNCTION("""COMPUTED_VALUE"""),45043.915758368)</f>
        <v>45043.915758367999</v>
      </c>
      <c r="B1035" s="1" t="str">
        <f ca="1">IFERROR(__xludf.DUMMYFUNCTION("""COMPUTED_VALUE"""),"India")</f>
        <v>India</v>
      </c>
      <c r="C1035" s="1">
        <f ca="1">IFERROR(__xludf.DUMMYFUNCTION("""COMPUTED_VALUE"""),110085)</f>
        <v>110085</v>
      </c>
      <c r="D1035" s="3" t="str">
        <f ca="1">IFERROR(__xludf.DUMMYFUNCTION("""COMPUTED_VALUE"""),"Female")</f>
        <v>Female</v>
      </c>
      <c r="E1035" s="1" t="str">
        <f ca="1">IFERROR(__xludf.DUMMYFUNCTION("""COMPUTED_VALUE"""),"People who have changed the world for better")</f>
        <v>People who have changed the world for better</v>
      </c>
      <c r="F1035" s="1" t="str">
        <f ca="1">IFERROR(__xludf.DUMMYFUNCTION("""COMPUTED_VALUE"""),"Yes, I will earn and do that")</f>
        <v>Yes, I will earn and do that</v>
      </c>
      <c r="G1035" s="1" t="str">
        <f ca="1">IFERROR(__xludf.DUMMYFUNCTION("""COMPUTED_VALUE"""),"This will be hard to do, but if it is the right company I would try")</f>
        <v>This will be hard to do, but if it is the right company I would try</v>
      </c>
      <c r="H1035" s="1" t="str">
        <f ca="1">IFERROR(__xludf.DUMMYFUNCTION("""COMPUTED_VALUE"""),"No")</f>
        <v>No</v>
      </c>
      <c r="I1035" s="1" t="str">
        <f ca="1">IFERROR(__xludf.DUMMYFUNCTION("""COMPUTED_VALUE"""),"Will NOT work for them")</f>
        <v>Will NOT work for them</v>
      </c>
      <c r="J1035" s="1">
        <f ca="1">IFERROR(__xludf.DUMMYFUNCTION("""COMPUTED_VALUE"""),4)</f>
        <v>4</v>
      </c>
      <c r="K1035" s="1" t="str">
        <f ca="1">IFERROR(__xludf.DUMMYFUNCTION("""COMPUTED_VALUE"""),"Hybrid Working Environment with more than 15 days a month at office")</f>
        <v>Hybrid Working Environment with more than 15 days a month at office</v>
      </c>
      <c r="L1035" s="1" t="str">
        <f ca="1">IFERROR(__xludf.DUMMYFUNCTION("""COMPUTED_VALUE"""),"Employer who pushes your limits by enabling an learning environment, and rewards you at the end")</f>
        <v>Employer who pushes your limits by enabling an learning environment, and rewards you at the end</v>
      </c>
      <c r="M103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3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035" s="1" t="str">
        <f ca="1">IFERROR(__xludf.DUMMYFUNCTION("""COMPUTED_VALUE"""),"Manager who sets goal and helps me achieve it")</f>
        <v>Manager who sets goal and helps me achieve it</v>
      </c>
      <c r="P1035" s="1" t="str">
        <f ca="1">IFERROR(__xludf.DUMMYFUNCTION("""COMPUTED_VALUE"""),"Work with 5 to 6 people in my team")</f>
        <v>Work with 5 to 6 people in my team</v>
      </c>
      <c r="Q1035" s="1"/>
    </row>
    <row r="1036" spans="1:17" ht="13.2" x14ac:dyDescent="0.25">
      <c r="A1036" s="2">
        <f ca="1">IFERROR(__xludf.DUMMYFUNCTION("""COMPUTED_VALUE"""),45043.91646603)</f>
        <v>45043.916466030001</v>
      </c>
      <c r="B1036" s="1" t="str">
        <f ca="1">IFERROR(__xludf.DUMMYFUNCTION("""COMPUTED_VALUE"""),"India")</f>
        <v>India</v>
      </c>
      <c r="C1036" s="1">
        <f ca="1">IFERROR(__xludf.DUMMYFUNCTION("""COMPUTED_VALUE"""),501504)</f>
        <v>501504</v>
      </c>
      <c r="D1036" s="3" t="str">
        <f ca="1">IFERROR(__xludf.DUMMYFUNCTION("""COMPUTED_VALUE"""),"Male")</f>
        <v>Male</v>
      </c>
      <c r="E1036" s="1" t="str">
        <f ca="1">IFERROR(__xludf.DUMMYFUNCTION("""COMPUTED_VALUE"""),"My Parents")</f>
        <v>My Parents</v>
      </c>
      <c r="F1036" s="1" t="str">
        <f ca="1">IFERROR(__xludf.DUMMYFUNCTION("""COMPUTED_VALUE"""),"No, But if someone could bare the cost I will")</f>
        <v>No, But if someone could bare the cost I will</v>
      </c>
      <c r="G1036" s="1" t="str">
        <f ca="1">IFERROR(__xludf.DUMMYFUNCTION("""COMPUTED_VALUE"""),"This will be hard to do, but if it is the right company I would try")</f>
        <v>This will be hard to do, but if it is the right company I would try</v>
      </c>
      <c r="H1036" s="1" t="str">
        <f ca="1">IFERROR(__xludf.DUMMYFUNCTION("""COMPUTED_VALUE"""),"Yes")</f>
        <v>Yes</v>
      </c>
      <c r="I1036" s="1" t="str">
        <f ca="1">IFERROR(__xludf.DUMMYFUNCTION("""COMPUTED_VALUE"""),"Will NOT work for them")</f>
        <v>Will NOT work for them</v>
      </c>
      <c r="J1036" s="1">
        <f ca="1">IFERROR(__xludf.DUMMYFUNCTION("""COMPUTED_VALUE"""),5)</f>
        <v>5</v>
      </c>
      <c r="K1036" s="1" t="str">
        <f ca="1">IFERROR(__xludf.DUMMYFUNCTION("""COMPUTED_VALUE"""),"Hybrid Working Environment with less than 3 days a month at office")</f>
        <v>Hybrid Working Environment with less than 3 days a month at office</v>
      </c>
      <c r="L1036" s="1" t="str">
        <f ca="1">IFERROR(__xludf.DUMMYFUNCTION("""COMPUTED_VALUE"""),"Employer who pushes your limits by enabling an learning environment, and rewards you at the end")</f>
        <v>Employer who pushes your limits by enabling an learning environment, and rewards you at the end</v>
      </c>
      <c r="M1036" s="1" t="str">
        <f ca="1">IFERROR(__xludf.DUMMYFUNCTION("""COMPUTED_VALUE"""),"Self Paced Learning Portals of the Company, Learning by observing others, Manager Teaching you")</f>
        <v>Self Paced Learning Portals of the Company, Learning by observing others, Manager Teaching you</v>
      </c>
      <c r="N1036" s="1" t="str">
        <f ca="1">IFERROR(__xludf.DUMMYFUNCTION("""COMPUTED_VALUE"""),"Design and Creative strategy in any company, Build and develop a Team, Entrepreneur or Start Up, Manufacturing / Oil and Gas/ Construction / Hard Physical Work related")</f>
        <v>Design and Creative strategy in any company, Build and develop a Team, Entrepreneur or Start Up, Manufacturing / Oil and Gas/ Construction / Hard Physical Work related</v>
      </c>
      <c r="O1036" s="1" t="str">
        <f ca="1">IFERROR(__xludf.DUMMYFUNCTION("""COMPUTED_VALUE"""),"Manager who clearly describes what she/he needs")</f>
        <v>Manager who clearly describes what she/he needs</v>
      </c>
      <c r="P1036" s="1" t="str">
        <f ca="1">IFERROR(__xludf.DUMMYFUNCTION("""COMPUTED_VALUE"""),"Work with 2 to 3 people in my team")</f>
        <v>Work with 2 to 3 people in my team</v>
      </c>
      <c r="Q1036" s="1"/>
    </row>
    <row r="1037" spans="1:17" ht="13.2" x14ac:dyDescent="0.25">
      <c r="A1037" s="2">
        <f ca="1">IFERROR(__xludf.DUMMYFUNCTION("""COMPUTED_VALUE"""),45043.9166903588)</f>
        <v>45043.916690358797</v>
      </c>
      <c r="B1037" s="1" t="str">
        <f ca="1">IFERROR(__xludf.DUMMYFUNCTION("""COMPUTED_VALUE"""),"India")</f>
        <v>India</v>
      </c>
      <c r="C1037" s="1">
        <f ca="1">IFERROR(__xludf.DUMMYFUNCTION("""COMPUTED_VALUE"""),500037)</f>
        <v>500037</v>
      </c>
      <c r="D1037" s="3" t="str">
        <f ca="1">IFERROR(__xludf.DUMMYFUNCTION("""COMPUTED_VALUE"""),"Female")</f>
        <v>Female</v>
      </c>
      <c r="E1037" s="1" t="str">
        <f ca="1">IFERROR(__xludf.DUMMYFUNCTION("""COMPUTED_VALUE"""),"My Parents")</f>
        <v>My Parents</v>
      </c>
      <c r="F1037" s="1" t="str">
        <f ca="1">IFERROR(__xludf.DUMMYFUNCTION("""COMPUTED_VALUE"""),"Yes, I will earn and do that")</f>
        <v>Yes, I will earn and do that</v>
      </c>
      <c r="G1037" s="1" t="str">
        <f ca="1">IFERROR(__xludf.DUMMYFUNCTION("""COMPUTED_VALUE"""),"This will be hard to do, but if it is the right company I would try")</f>
        <v>This will be hard to do, but if it is the right company I would try</v>
      </c>
      <c r="H1037" s="1" t="str">
        <f ca="1">IFERROR(__xludf.DUMMYFUNCTION("""COMPUTED_VALUE"""),"No")</f>
        <v>No</v>
      </c>
      <c r="I1037" s="1" t="str">
        <f ca="1">IFERROR(__xludf.DUMMYFUNCTION("""COMPUTED_VALUE"""),"Will NOT work for them")</f>
        <v>Will NOT work for them</v>
      </c>
      <c r="J1037" s="1">
        <f ca="1">IFERROR(__xludf.DUMMYFUNCTION("""COMPUTED_VALUE"""),4)</f>
        <v>4</v>
      </c>
      <c r="K1037" s="1" t="str">
        <f ca="1">IFERROR(__xludf.DUMMYFUNCTION("""COMPUTED_VALUE"""),"Fully Remote with Options to travel as and when needed")</f>
        <v>Fully Remote with Options to travel as and when needed</v>
      </c>
      <c r="L1037" s="1" t="str">
        <f ca="1">IFERROR(__xludf.DUMMYFUNCTION("""COMPUTED_VALUE"""),"Employer who pushes your limits by enabling an learning environment, and rewards you at the end")</f>
        <v>Employer who pushes your limits by enabling an learning environment, and rewards you at the end</v>
      </c>
      <c r="M103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7" s="1" t="str">
        <f ca="1">IFERROR(__xludf.DUMMYFUNCTION("""COMPUTED_VALUE"""),"Manager who explains what is expected, sets a goal and helps achieve it")</f>
        <v>Manager who explains what is expected, sets a goal and helps achieve it</v>
      </c>
      <c r="P1037" s="1" t="str">
        <f ca="1">IFERROR(__xludf.DUMMYFUNCTION("""COMPUTED_VALUE"""),"Work with 5 to 6 people in my team")</f>
        <v>Work with 5 to 6 people in my team</v>
      </c>
      <c r="Q1037" s="1"/>
    </row>
    <row r="1038" spans="1:17" ht="13.2" x14ac:dyDescent="0.25">
      <c r="A1038" s="2">
        <f ca="1">IFERROR(__xludf.DUMMYFUNCTION("""COMPUTED_VALUE"""),45043.9182390625)</f>
        <v>45043.918239062499</v>
      </c>
      <c r="B1038" s="1" t="str">
        <f ca="1">IFERROR(__xludf.DUMMYFUNCTION("""COMPUTED_VALUE"""),"India")</f>
        <v>India</v>
      </c>
      <c r="C1038" s="1">
        <f ca="1">IFERROR(__xludf.DUMMYFUNCTION("""COMPUTED_VALUE"""),506002)</f>
        <v>506002</v>
      </c>
      <c r="D1038" s="3" t="str">
        <f ca="1">IFERROR(__xludf.DUMMYFUNCTION("""COMPUTED_VALUE"""),"Male")</f>
        <v>Male</v>
      </c>
      <c r="E1038" s="1" t="str">
        <f ca="1">IFERROR(__xludf.DUMMYFUNCTION("""COMPUTED_VALUE"""),"Influencers who had successful careers")</f>
        <v>Influencers who had successful careers</v>
      </c>
      <c r="F1038" s="1" t="str">
        <f ca="1">IFERROR(__xludf.DUMMYFUNCTION("""COMPUTED_VALUE"""),"Yes, I will earn and do that")</f>
        <v>Yes, I will earn and do that</v>
      </c>
      <c r="G1038" s="1" t="str">
        <f ca="1">IFERROR(__xludf.DUMMYFUNCTION("""COMPUTED_VALUE"""),"No way")</f>
        <v>No way</v>
      </c>
      <c r="H1038" s="1" t="str">
        <f ca="1">IFERROR(__xludf.DUMMYFUNCTION("""COMPUTED_VALUE"""),"No")</f>
        <v>No</v>
      </c>
      <c r="I1038" s="1" t="str">
        <f ca="1">IFERROR(__xludf.DUMMYFUNCTION("""COMPUTED_VALUE"""),"Will NOT work for them")</f>
        <v>Will NOT work for them</v>
      </c>
      <c r="J1038" s="1">
        <f ca="1">IFERROR(__xludf.DUMMYFUNCTION("""COMPUTED_VALUE"""),2)</f>
        <v>2</v>
      </c>
      <c r="K1038" s="1" t="str">
        <f ca="1">IFERROR(__xludf.DUMMYFUNCTION("""COMPUTED_VALUE"""),"Fully Remote with Options to travel as and when needed")</f>
        <v>Fully Remote with Options to travel as and when needed</v>
      </c>
      <c r="L1038" s="1" t="str">
        <f ca="1">IFERROR(__xludf.DUMMYFUNCTION("""COMPUTED_VALUE"""),"Employer who pushes your limits by enabling an learning environment, and rewards you at the end")</f>
        <v>Employer who pushes your limits by enabling an learning environment, and rewards you at the end</v>
      </c>
      <c r="M103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38"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38" s="1" t="str">
        <f ca="1">IFERROR(__xludf.DUMMYFUNCTION("""COMPUTED_VALUE"""),"Manager who sets goal and helps me achieve it")</f>
        <v>Manager who sets goal and helps me achieve it</v>
      </c>
      <c r="P1038" s="1" t="str">
        <f ca="1">IFERROR(__xludf.DUMMYFUNCTION("""COMPUTED_VALUE"""),"Work with 2 to 3 people in my team")</f>
        <v>Work with 2 to 3 people in my team</v>
      </c>
      <c r="Q1038" s="1"/>
    </row>
    <row r="1039" spans="1:17" ht="13.2" x14ac:dyDescent="0.25">
      <c r="A1039" s="2">
        <f ca="1">IFERROR(__xludf.DUMMYFUNCTION("""COMPUTED_VALUE"""),45043.9222481944)</f>
        <v>45043.922248194402</v>
      </c>
      <c r="B1039" s="1" t="str">
        <f ca="1">IFERROR(__xludf.DUMMYFUNCTION("""COMPUTED_VALUE"""),"India")</f>
        <v>India</v>
      </c>
      <c r="C1039" s="1">
        <f ca="1">IFERROR(__xludf.DUMMYFUNCTION("""COMPUTED_VALUE"""),564114)</f>
        <v>564114</v>
      </c>
      <c r="D1039" s="3" t="str">
        <f ca="1">IFERROR(__xludf.DUMMYFUNCTION("""COMPUTED_VALUE"""),"Female")</f>
        <v>Female</v>
      </c>
      <c r="E1039" s="1" t="str">
        <f ca="1">IFERROR(__xludf.DUMMYFUNCTION("""COMPUTED_VALUE"""),"Influencers who had successful careers")</f>
        <v>Influencers who had successful careers</v>
      </c>
      <c r="F1039" s="1" t="str">
        <f ca="1">IFERROR(__xludf.DUMMYFUNCTION("""COMPUTED_VALUE"""),"No I would not be pursuing Higher Education outside of India")</f>
        <v>No I would not be pursuing Higher Education outside of India</v>
      </c>
      <c r="G1039" s="1" t="str">
        <f ca="1">IFERROR(__xludf.DUMMYFUNCTION("""COMPUTED_VALUE"""),"This will be hard to do, but if it is the right company I would try")</f>
        <v>This will be hard to do, but if it is the right company I would try</v>
      </c>
      <c r="H1039" s="1" t="str">
        <f ca="1">IFERROR(__xludf.DUMMYFUNCTION("""COMPUTED_VALUE"""),"Yes")</f>
        <v>Yes</v>
      </c>
      <c r="I1039" s="1" t="str">
        <f ca="1">IFERROR(__xludf.DUMMYFUNCTION("""COMPUTED_VALUE"""),"Will NOT work for them")</f>
        <v>Will NOT work for them</v>
      </c>
      <c r="J1039" s="1">
        <f ca="1">IFERROR(__xludf.DUMMYFUNCTION("""COMPUTED_VALUE"""),7)</f>
        <v>7</v>
      </c>
      <c r="K1039" s="1" t="str">
        <f ca="1">IFERROR(__xludf.DUMMYFUNCTION("""COMPUTED_VALUE"""),"Hybrid Working Environment with more than 15 days a month at office")</f>
        <v>Hybrid Working Environment with more than 15 days a month at office</v>
      </c>
      <c r="L1039" s="1" t="str">
        <f ca="1">IFERROR(__xludf.DUMMYFUNCTION("""COMPUTED_VALUE"""),"Employer who appreciates learning and enables that environment")</f>
        <v>Employer who appreciates learning and enables that environment</v>
      </c>
      <c r="M103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39"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1039" s="1" t="str">
        <f ca="1">IFERROR(__xludf.DUMMYFUNCTION("""COMPUTED_VALUE"""),"Manager who explains what is expected, sets a goal and helps achieve it")</f>
        <v>Manager who explains what is expected, sets a goal and helps achieve it</v>
      </c>
      <c r="P1039" s="1" t="str">
        <f ca="1">IFERROR(__xludf.DUMMYFUNCTION("""COMPUTED_VALUE"""),"Work with 2 to 3 people in my team")</f>
        <v>Work with 2 to 3 people in my team</v>
      </c>
      <c r="Q1039" s="1"/>
    </row>
    <row r="1040" spans="1:17" ht="13.2" x14ac:dyDescent="0.25">
      <c r="A1040" s="2">
        <f ca="1">IFERROR(__xludf.DUMMYFUNCTION("""COMPUTED_VALUE"""),45043.9226165393)</f>
        <v>45043.922616539297</v>
      </c>
      <c r="B1040" s="1" t="str">
        <f ca="1">IFERROR(__xludf.DUMMYFUNCTION("""COMPUTED_VALUE"""),"India")</f>
        <v>India</v>
      </c>
      <c r="C1040" s="1">
        <f ca="1">IFERROR(__xludf.DUMMYFUNCTION("""COMPUTED_VALUE"""),501504)</f>
        <v>501504</v>
      </c>
      <c r="D1040" s="3" t="str">
        <f ca="1">IFERROR(__xludf.DUMMYFUNCTION("""COMPUTED_VALUE"""),"Female")</f>
        <v>Female</v>
      </c>
      <c r="E1040" s="1" t="str">
        <f ca="1">IFERROR(__xludf.DUMMYFUNCTION("""COMPUTED_VALUE"""),"My Parents")</f>
        <v>My Parents</v>
      </c>
      <c r="F1040" s="1" t="str">
        <f ca="1">IFERROR(__xludf.DUMMYFUNCTION("""COMPUTED_VALUE"""),"Yes, I will earn and do that")</f>
        <v>Yes, I will earn and do that</v>
      </c>
      <c r="G1040" s="1" t="str">
        <f ca="1">IFERROR(__xludf.DUMMYFUNCTION("""COMPUTED_VALUE"""),"This will be hard to do, but if it is the right company I would try")</f>
        <v>This will be hard to do, but if it is the right company I would try</v>
      </c>
      <c r="H1040" s="1" t="str">
        <f ca="1">IFERROR(__xludf.DUMMYFUNCTION("""COMPUTED_VALUE"""),"No")</f>
        <v>No</v>
      </c>
      <c r="I1040" s="1" t="str">
        <f ca="1">IFERROR(__xludf.DUMMYFUNCTION("""COMPUTED_VALUE"""),"Will NOT work for them")</f>
        <v>Will NOT work for them</v>
      </c>
      <c r="J1040" s="1">
        <f ca="1">IFERROR(__xludf.DUMMYFUNCTION("""COMPUTED_VALUE"""),5)</f>
        <v>5</v>
      </c>
      <c r="K1040" s="1" t="str">
        <f ca="1">IFERROR(__xludf.DUMMYFUNCTION("""COMPUTED_VALUE"""),"Hybrid Working Environment with more than 15 days a month at office")</f>
        <v>Hybrid Working Environment with more than 15 days a month at office</v>
      </c>
      <c r="L1040" s="1" t="str">
        <f ca="1">IFERROR(__xludf.DUMMYFUNCTION("""COMPUTED_VALUE"""),"Employer who appreciates learning and enables that environment")</f>
        <v>Employer who appreciates learning and enables that environment</v>
      </c>
      <c r="M1040" s="1" t="str">
        <f ca="1">IFERROR(__xludf.DUMMYFUNCTION("""COMPUTED_VALUE"""),"Self Paced Learning Portals of the Company, Instructor or Expert Learning Programs, Manager Teaching you")</f>
        <v>Self Paced Learning Portals of the Company, Instructor or Expert Learning Programs, Manager Teaching you</v>
      </c>
      <c r="N1040"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040" s="1" t="str">
        <f ca="1">IFERROR(__xludf.DUMMYFUNCTION("""COMPUTED_VALUE"""),"Manager who explains what is expected, sets a goal and helps achieve it")</f>
        <v>Manager who explains what is expected, sets a goal and helps achieve it</v>
      </c>
      <c r="P1040" s="1" t="str">
        <f ca="1">IFERROR(__xludf.DUMMYFUNCTION("""COMPUTED_VALUE"""),"Work with 5 to 6 people in my team")</f>
        <v>Work with 5 to 6 people in my team</v>
      </c>
      <c r="Q1040" s="1"/>
    </row>
    <row r="1041" spans="1:17" ht="13.2" x14ac:dyDescent="0.25">
      <c r="A1041" s="2">
        <f ca="1">IFERROR(__xludf.DUMMYFUNCTION("""COMPUTED_VALUE"""),45043.9228111226)</f>
        <v>45043.922811122597</v>
      </c>
      <c r="B1041" s="1" t="str">
        <f ca="1">IFERROR(__xludf.DUMMYFUNCTION("""COMPUTED_VALUE"""),"India")</f>
        <v>India</v>
      </c>
      <c r="C1041" s="1">
        <f ca="1">IFERROR(__xludf.DUMMYFUNCTION("""COMPUTED_VALUE"""),741121)</f>
        <v>741121</v>
      </c>
      <c r="D1041" s="3" t="str">
        <f ca="1">IFERROR(__xludf.DUMMYFUNCTION("""COMPUTED_VALUE"""),"Female")</f>
        <v>Female</v>
      </c>
      <c r="E1041" s="1" t="str">
        <f ca="1">IFERROR(__xludf.DUMMYFUNCTION("""COMPUTED_VALUE"""),"Influencers who had successful careers")</f>
        <v>Influencers who had successful careers</v>
      </c>
      <c r="F1041" s="1" t="str">
        <f ca="1">IFERROR(__xludf.DUMMYFUNCTION("""COMPUTED_VALUE"""),"No I would not be pursuing Higher Education outside of India")</f>
        <v>No I would not be pursuing Higher Education outside of India</v>
      </c>
      <c r="G1041" s="1" t="str">
        <f ca="1">IFERROR(__xludf.DUMMYFUNCTION("""COMPUTED_VALUE"""),"This will be hard to do, but if it is the right company I would try")</f>
        <v>This will be hard to do, but if it is the right company I would try</v>
      </c>
      <c r="H1041" s="1" t="str">
        <f ca="1">IFERROR(__xludf.DUMMYFUNCTION("""COMPUTED_VALUE"""),"No")</f>
        <v>No</v>
      </c>
      <c r="I1041" s="1" t="str">
        <f ca="1">IFERROR(__xludf.DUMMYFUNCTION("""COMPUTED_VALUE"""),"Will NOT work for them")</f>
        <v>Will NOT work for them</v>
      </c>
      <c r="J1041" s="1">
        <f ca="1">IFERROR(__xludf.DUMMYFUNCTION("""COMPUTED_VALUE"""),8)</f>
        <v>8</v>
      </c>
      <c r="K1041" s="1" t="str">
        <f ca="1">IFERROR(__xludf.DUMMYFUNCTION("""COMPUTED_VALUE"""),"Fully Remote with Options to travel as and when needed")</f>
        <v>Fully Remote with Options to travel as and when needed</v>
      </c>
      <c r="L1041" s="1" t="str">
        <f ca="1">IFERROR(__xludf.DUMMYFUNCTION("""COMPUTED_VALUE"""),"Employer who pushes your limits by enabling an learning environment, and rewards you at the end")</f>
        <v>Employer who pushes your limits by enabling an learning environment, and rewards you at the end</v>
      </c>
      <c r="M104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1"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041" s="1" t="str">
        <f ca="1">IFERROR(__xludf.DUMMYFUNCTION("""COMPUTED_VALUE"""),"Manager who sets goal and helps me achieve it")</f>
        <v>Manager who sets goal and helps me achieve it</v>
      </c>
      <c r="P1041" s="1" t="str">
        <f ca="1">IFERROR(__xludf.DUMMYFUNCTION("""COMPUTED_VALUE"""),"Work with 2 to 3 people in my team")</f>
        <v>Work with 2 to 3 people in my team</v>
      </c>
      <c r="Q1041" s="1"/>
    </row>
    <row r="1042" spans="1:17" ht="13.2" x14ac:dyDescent="0.25">
      <c r="A1042" s="2">
        <f ca="1">IFERROR(__xludf.DUMMYFUNCTION("""COMPUTED_VALUE"""),45043.9242005324)</f>
        <v>45043.924200532398</v>
      </c>
      <c r="B1042" s="1" t="str">
        <f ca="1">IFERROR(__xludf.DUMMYFUNCTION("""COMPUTED_VALUE"""),"India")</f>
        <v>India</v>
      </c>
      <c r="C1042" s="1">
        <f ca="1">IFERROR(__xludf.DUMMYFUNCTION("""COMPUTED_VALUE"""),755051)</f>
        <v>755051</v>
      </c>
      <c r="D1042" s="3" t="str">
        <f ca="1">IFERROR(__xludf.DUMMYFUNCTION("""COMPUTED_VALUE"""),"Female")</f>
        <v>Female</v>
      </c>
      <c r="E1042" s="1" t="str">
        <f ca="1">IFERROR(__xludf.DUMMYFUNCTION("""COMPUTED_VALUE"""),"Social Media like LinkedIn")</f>
        <v>Social Media like LinkedIn</v>
      </c>
      <c r="F1042" s="1" t="str">
        <f ca="1">IFERROR(__xludf.DUMMYFUNCTION("""COMPUTED_VALUE"""),"No I would not be pursuing Higher Education outside of India")</f>
        <v>No I would not be pursuing Higher Education outside of India</v>
      </c>
      <c r="G1042" s="1" t="str">
        <f ca="1">IFERROR(__xludf.DUMMYFUNCTION("""COMPUTED_VALUE"""),"This will be hard to do, but if it is the right company I would try")</f>
        <v>This will be hard to do, but if it is the right company I would try</v>
      </c>
      <c r="H1042" s="1" t="str">
        <f ca="1">IFERROR(__xludf.DUMMYFUNCTION("""COMPUTED_VALUE"""),"No")</f>
        <v>No</v>
      </c>
      <c r="I1042" s="1" t="str">
        <f ca="1">IFERROR(__xludf.DUMMYFUNCTION("""COMPUTED_VALUE"""),"Will NOT work for them")</f>
        <v>Will NOT work for them</v>
      </c>
      <c r="J1042" s="1">
        <f ca="1">IFERROR(__xludf.DUMMYFUNCTION("""COMPUTED_VALUE"""),5)</f>
        <v>5</v>
      </c>
      <c r="K1042" s="1" t="str">
        <f ca="1">IFERROR(__xludf.DUMMYFUNCTION("""COMPUTED_VALUE"""),"Hybrid Working Environment with more than 15 days a month at office")</f>
        <v>Hybrid Working Environment with more than 15 days a month at office</v>
      </c>
      <c r="L1042" s="1" t="str">
        <f ca="1">IFERROR(__xludf.DUMMYFUNCTION("""COMPUTED_VALUE"""),"Employer who pushes your limits by enabling an learning environment, and rewards you at the end")</f>
        <v>Employer who pushes your limits by enabling an learning environment, and rewards you at the end</v>
      </c>
      <c r="M104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2"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042" s="1" t="str">
        <f ca="1">IFERROR(__xludf.DUMMYFUNCTION("""COMPUTED_VALUE"""),"Manager who explains what is expected, sets a goal and helps achieve it")</f>
        <v>Manager who explains what is expected, sets a goal and helps achieve it</v>
      </c>
      <c r="P1042" s="1" t="str">
        <f ca="1">IFERROR(__xludf.DUMMYFUNCTION("""COMPUTED_VALUE"""),"Work with more than 10 people in my team")</f>
        <v>Work with more than 10 people in my team</v>
      </c>
      <c r="Q1042" s="1"/>
    </row>
    <row r="1043" spans="1:17" ht="13.2" x14ac:dyDescent="0.25">
      <c r="A1043" s="2">
        <f ca="1">IFERROR(__xludf.DUMMYFUNCTION("""COMPUTED_VALUE"""),45043.9246146296)</f>
        <v>45043.924614629599</v>
      </c>
      <c r="B1043" s="1" t="str">
        <f ca="1">IFERROR(__xludf.DUMMYFUNCTION("""COMPUTED_VALUE"""),"India")</f>
        <v>India</v>
      </c>
      <c r="C1043" s="1">
        <f ca="1">IFERROR(__xludf.DUMMYFUNCTION("""COMPUTED_VALUE"""),506315)</f>
        <v>506315</v>
      </c>
      <c r="D1043" s="3" t="str">
        <f ca="1">IFERROR(__xludf.DUMMYFUNCTION("""COMPUTED_VALUE"""),"Male")</f>
        <v>Male</v>
      </c>
      <c r="E1043" s="1" t="str">
        <f ca="1">IFERROR(__xludf.DUMMYFUNCTION("""COMPUTED_VALUE"""),"People who have changed the world for better")</f>
        <v>People who have changed the world for better</v>
      </c>
      <c r="F1043" s="1" t="str">
        <f ca="1">IFERROR(__xludf.DUMMYFUNCTION("""COMPUTED_VALUE"""),"No, But if someone could bare the cost I will")</f>
        <v>No, But if someone could bare the cost I will</v>
      </c>
      <c r="G1043" s="1" t="str">
        <f ca="1">IFERROR(__xludf.DUMMYFUNCTION("""COMPUTED_VALUE"""),"This will be hard to do, but if it is the right company I would try")</f>
        <v>This will be hard to do, but if it is the right company I would try</v>
      </c>
      <c r="H1043" s="1" t="str">
        <f ca="1">IFERROR(__xludf.DUMMYFUNCTION("""COMPUTED_VALUE"""),"No")</f>
        <v>No</v>
      </c>
      <c r="I1043" s="1" t="str">
        <f ca="1">IFERROR(__xludf.DUMMYFUNCTION("""COMPUTED_VALUE"""),"Will NOT work for them")</f>
        <v>Will NOT work for them</v>
      </c>
      <c r="J1043" s="1">
        <f ca="1">IFERROR(__xludf.DUMMYFUNCTION("""COMPUTED_VALUE"""),5)</f>
        <v>5</v>
      </c>
      <c r="K1043" s="1" t="str">
        <f ca="1">IFERROR(__xludf.DUMMYFUNCTION("""COMPUTED_VALUE"""),"Fully Remote with No option to visit offices")</f>
        <v>Fully Remote with No option to visit offices</v>
      </c>
      <c r="L1043" s="1" t="str">
        <f ca="1">IFERROR(__xludf.DUMMYFUNCTION("""COMPUTED_VALUE"""),"Employer who pushes your limits by enabling an learning environment, and rewards you at the end")</f>
        <v>Employer who pushes your limits by enabling an learning environment, and rewards you at the end</v>
      </c>
      <c r="M104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3"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1043" s="1" t="str">
        <f ca="1">IFERROR(__xludf.DUMMYFUNCTION("""COMPUTED_VALUE"""),"Manager who sets goal and helps me achieve it")</f>
        <v>Manager who sets goal and helps me achieve it</v>
      </c>
      <c r="P1043" s="1" t="str">
        <f ca="1">IFERROR(__xludf.DUMMYFUNCTION("""COMPUTED_VALUE"""),"Work with 5 to 6 people in my team, Work with 7 to 10 or more people in my team")</f>
        <v>Work with 5 to 6 people in my team, Work with 7 to 10 or more people in my team</v>
      </c>
      <c r="Q1043" s="1"/>
    </row>
    <row r="1044" spans="1:17" ht="13.2" x14ac:dyDescent="0.25">
      <c r="A1044" s="2">
        <f ca="1">IFERROR(__xludf.DUMMYFUNCTION("""COMPUTED_VALUE"""),45043.9266736689)</f>
        <v>45043.926673668902</v>
      </c>
      <c r="B1044" s="1" t="str">
        <f ca="1">IFERROR(__xludf.DUMMYFUNCTION("""COMPUTED_VALUE"""),"India")</f>
        <v>India</v>
      </c>
      <c r="C1044" s="1">
        <f ca="1">IFERROR(__xludf.DUMMYFUNCTION("""COMPUTED_VALUE"""),600056)</f>
        <v>600056</v>
      </c>
      <c r="D1044" s="3" t="str">
        <f ca="1">IFERROR(__xludf.DUMMYFUNCTION("""COMPUTED_VALUE"""),"Female")</f>
        <v>Female</v>
      </c>
      <c r="E1044" s="1" t="str">
        <f ca="1">IFERROR(__xludf.DUMMYFUNCTION("""COMPUTED_VALUE"""),"Influencers who had successful careers")</f>
        <v>Influencers who had successful careers</v>
      </c>
      <c r="F1044" s="1" t="str">
        <f ca="1">IFERROR(__xludf.DUMMYFUNCTION("""COMPUTED_VALUE"""),"No I would not be pursuing Higher Education outside of India")</f>
        <v>No I would not be pursuing Higher Education outside of India</v>
      </c>
      <c r="G1044" s="1" t="str">
        <f ca="1">IFERROR(__xludf.DUMMYFUNCTION("""COMPUTED_VALUE"""),"This will be hard to do, but if it is the right company I would try")</f>
        <v>This will be hard to do, but if it is the right company I would try</v>
      </c>
      <c r="H1044" s="1" t="str">
        <f ca="1">IFERROR(__xludf.DUMMYFUNCTION("""COMPUTED_VALUE"""),"No")</f>
        <v>No</v>
      </c>
      <c r="I1044" s="1" t="str">
        <f ca="1">IFERROR(__xludf.DUMMYFUNCTION("""COMPUTED_VALUE"""),"Will NOT work for them")</f>
        <v>Will NOT work for them</v>
      </c>
      <c r="J1044" s="1">
        <f ca="1">IFERROR(__xludf.DUMMYFUNCTION("""COMPUTED_VALUE"""),5)</f>
        <v>5</v>
      </c>
      <c r="K1044" s="1" t="str">
        <f ca="1">IFERROR(__xludf.DUMMYFUNCTION("""COMPUTED_VALUE"""),"Fully Remote with Options to travel as and when needed")</f>
        <v>Fully Remote with Options to travel as and when needed</v>
      </c>
      <c r="L1044" s="1" t="str">
        <f ca="1">IFERROR(__xludf.DUMMYFUNCTION("""COMPUTED_VALUE"""),"Employer who appreciates learning and enables that environment")</f>
        <v>Employer who appreciates learning and enables that environment</v>
      </c>
      <c r="M104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44"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1044" s="1" t="str">
        <f ca="1">IFERROR(__xludf.DUMMYFUNCTION("""COMPUTED_VALUE"""),"Manager who clearly describes what she/he needs")</f>
        <v>Manager who clearly describes what she/he needs</v>
      </c>
      <c r="P1044" s="1" t="str">
        <f ca="1">IFERROR(__xludf.DUMMYFUNCTION("""COMPUTED_VALUE"""),"Work alone, Work with 2 to 3 people in my team")</f>
        <v>Work alone, Work with 2 to 3 people in my team</v>
      </c>
      <c r="Q1044" s="1"/>
    </row>
    <row r="1045" spans="1:17" ht="13.2" x14ac:dyDescent="0.25">
      <c r="A1045" s="2">
        <f ca="1">IFERROR(__xludf.DUMMYFUNCTION("""COMPUTED_VALUE"""),45043.9269128587)</f>
        <v>45043.926912858697</v>
      </c>
      <c r="B1045" s="1" t="str">
        <f ca="1">IFERROR(__xludf.DUMMYFUNCTION("""COMPUTED_VALUE"""),"India")</f>
        <v>India</v>
      </c>
      <c r="C1045" s="1">
        <f ca="1">IFERROR(__xludf.DUMMYFUNCTION("""COMPUTED_VALUE"""),500053)</f>
        <v>500053</v>
      </c>
      <c r="D1045" s="3" t="str">
        <f ca="1">IFERROR(__xludf.DUMMYFUNCTION("""COMPUTED_VALUE"""),"Male")</f>
        <v>Male</v>
      </c>
      <c r="E1045" s="1" t="str">
        <f ca="1">IFERROR(__xludf.DUMMYFUNCTION("""COMPUTED_VALUE"""),"Social Media like LinkedIn")</f>
        <v>Social Media like LinkedIn</v>
      </c>
      <c r="F1045" s="1" t="str">
        <f ca="1">IFERROR(__xludf.DUMMYFUNCTION("""COMPUTED_VALUE"""),"Yes, I will earn and do that")</f>
        <v>Yes, I will earn and do that</v>
      </c>
      <c r="G1045" s="1" t="str">
        <f ca="1">IFERROR(__xludf.DUMMYFUNCTION("""COMPUTED_VALUE"""),"Will work for 3 years or more")</f>
        <v>Will work for 3 years or more</v>
      </c>
      <c r="H1045" s="1" t="str">
        <f ca="1">IFERROR(__xludf.DUMMYFUNCTION("""COMPUTED_VALUE"""),"No")</f>
        <v>No</v>
      </c>
      <c r="I1045" s="1" t="str">
        <f ca="1">IFERROR(__xludf.DUMMYFUNCTION("""COMPUTED_VALUE"""),"Will NOT work for them")</f>
        <v>Will NOT work for them</v>
      </c>
      <c r="J1045" s="1">
        <f ca="1">IFERROR(__xludf.DUMMYFUNCTION("""COMPUTED_VALUE"""),6)</f>
        <v>6</v>
      </c>
      <c r="K1045" s="1" t="str">
        <f ca="1">IFERROR(__xludf.DUMMYFUNCTION("""COMPUTED_VALUE"""),"Hybrid Working Environment with more than 15 days a month at office")</f>
        <v>Hybrid Working Environment with more than 15 days a month at office</v>
      </c>
      <c r="L1045" s="1" t="str">
        <f ca="1">IFERROR(__xludf.DUMMYFUNCTION("""COMPUTED_VALUE"""),"Employer who pushes your limits by enabling an learning environment, and rewards you at the end")</f>
        <v>Employer who pushes your limits by enabling an learning environment, and rewards you at the end</v>
      </c>
      <c r="M104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45"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045" s="1" t="str">
        <f ca="1">IFERROR(__xludf.DUMMYFUNCTION("""COMPUTED_VALUE"""),"Manager who explains what is expected, sets a goal and helps achieve it")</f>
        <v>Manager who explains what is expected, sets a goal and helps achieve it</v>
      </c>
      <c r="P1045" s="1" t="str">
        <f ca="1">IFERROR(__xludf.DUMMYFUNCTION("""COMPUTED_VALUE"""),"Work with 5 to 6 people in my team")</f>
        <v>Work with 5 to 6 people in my team</v>
      </c>
      <c r="Q1045" s="1"/>
    </row>
    <row r="1046" spans="1:17" ht="13.2" x14ac:dyDescent="0.25">
      <c r="A1046" s="2">
        <f ca="1">IFERROR(__xludf.DUMMYFUNCTION("""COMPUTED_VALUE"""),45043.9271459375)</f>
        <v>45043.927145937501</v>
      </c>
      <c r="B1046" s="1" t="str">
        <f ca="1">IFERROR(__xludf.DUMMYFUNCTION("""COMPUTED_VALUE"""),"India")</f>
        <v>India</v>
      </c>
      <c r="C1046" s="1">
        <f ca="1">IFERROR(__xludf.DUMMYFUNCTION("""COMPUTED_VALUE"""),402030)</f>
        <v>402030</v>
      </c>
      <c r="D1046" s="3" t="str">
        <f ca="1">IFERROR(__xludf.DUMMYFUNCTION("""COMPUTED_VALUE"""),"Female")</f>
        <v>Female</v>
      </c>
      <c r="E1046" s="1" t="str">
        <f ca="1">IFERROR(__xludf.DUMMYFUNCTION("""COMPUTED_VALUE"""),"People from my circle, but not family members")</f>
        <v>People from my circle, but not family members</v>
      </c>
      <c r="F1046" s="1" t="str">
        <f ca="1">IFERROR(__xludf.DUMMYFUNCTION("""COMPUTED_VALUE"""),"No I would not be pursuing Higher Education outside of India")</f>
        <v>No I would not be pursuing Higher Education outside of India</v>
      </c>
      <c r="G1046" s="1" t="str">
        <f ca="1">IFERROR(__xludf.DUMMYFUNCTION("""COMPUTED_VALUE"""),"This will be hard to do, but if it is the right company I would try")</f>
        <v>This will be hard to do, but if it is the right company I would try</v>
      </c>
      <c r="H1046" s="1" t="str">
        <f ca="1">IFERROR(__xludf.DUMMYFUNCTION("""COMPUTED_VALUE"""),"Yes")</f>
        <v>Yes</v>
      </c>
      <c r="I1046" s="1" t="str">
        <f ca="1">IFERROR(__xludf.DUMMYFUNCTION("""COMPUTED_VALUE"""),"Will NOT work for them")</f>
        <v>Will NOT work for them</v>
      </c>
      <c r="J1046" s="1">
        <f ca="1">IFERROR(__xludf.DUMMYFUNCTION("""COMPUTED_VALUE"""),6)</f>
        <v>6</v>
      </c>
      <c r="K1046" s="1" t="str">
        <f ca="1">IFERROR(__xludf.DUMMYFUNCTION("""COMPUTED_VALUE"""),"Every Day Office Environment")</f>
        <v>Every Day Office Environment</v>
      </c>
      <c r="L1046" s="1" t="str">
        <f ca="1">IFERROR(__xludf.DUMMYFUNCTION("""COMPUTED_VALUE"""),"Employer who pushes your limits by enabling an learning environment, and rewards you at the end")</f>
        <v>Employer who pushes your limits by enabling an learning environment, and rewards you at the end</v>
      </c>
      <c r="M104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46"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046" s="1" t="str">
        <f ca="1">IFERROR(__xludf.DUMMYFUNCTION("""COMPUTED_VALUE"""),"Manager who explains what is expected, sets a goal and helps achieve it")</f>
        <v>Manager who explains what is expected, sets a goal and helps achieve it</v>
      </c>
      <c r="P1046" s="1" t="str">
        <f ca="1">IFERROR(__xludf.DUMMYFUNCTION("""COMPUTED_VALUE"""),"Work alone, Work with 2 to 3 people in my team, Work with 5 to 6 people in my team")</f>
        <v>Work alone, Work with 2 to 3 people in my team, Work with 5 to 6 people in my team</v>
      </c>
      <c r="Q1046" s="1"/>
    </row>
    <row r="1047" spans="1:17" ht="13.2" x14ac:dyDescent="0.25">
      <c r="A1047" s="2">
        <f ca="1">IFERROR(__xludf.DUMMYFUNCTION("""COMPUTED_VALUE"""),45043.9274724421)</f>
        <v>45043.927472442097</v>
      </c>
      <c r="B1047" s="1" t="str">
        <f ca="1">IFERROR(__xludf.DUMMYFUNCTION("""COMPUTED_VALUE"""),"India")</f>
        <v>India</v>
      </c>
      <c r="C1047" s="1">
        <f ca="1">IFERROR(__xludf.DUMMYFUNCTION("""COMPUTED_VALUE"""),503201)</f>
        <v>503201</v>
      </c>
      <c r="D1047" s="3" t="str">
        <f ca="1">IFERROR(__xludf.DUMMYFUNCTION("""COMPUTED_VALUE"""),"Male")</f>
        <v>Male</v>
      </c>
      <c r="E1047" s="1" t="str">
        <f ca="1">IFERROR(__xludf.DUMMYFUNCTION("""COMPUTED_VALUE"""),"People who have changed the world for better")</f>
        <v>People who have changed the world for better</v>
      </c>
      <c r="F1047" s="1" t="str">
        <f ca="1">IFERROR(__xludf.DUMMYFUNCTION("""COMPUTED_VALUE"""),"No, But if someone could bare the cost I will")</f>
        <v>No, But if someone could bare the cost I will</v>
      </c>
      <c r="G1047" s="1" t="str">
        <f ca="1">IFERROR(__xludf.DUMMYFUNCTION("""COMPUTED_VALUE"""),"This will be hard to do, but if it is the right company I would try")</f>
        <v>This will be hard to do, but if it is the right company I would try</v>
      </c>
      <c r="H1047" s="1" t="str">
        <f ca="1">IFERROR(__xludf.DUMMYFUNCTION("""COMPUTED_VALUE"""),"Yes")</f>
        <v>Yes</v>
      </c>
      <c r="I1047" s="1" t="str">
        <f ca="1">IFERROR(__xludf.DUMMYFUNCTION("""COMPUTED_VALUE"""),"Will NOT work for them")</f>
        <v>Will NOT work for them</v>
      </c>
      <c r="J1047" s="1">
        <f ca="1">IFERROR(__xludf.DUMMYFUNCTION("""COMPUTED_VALUE"""),8)</f>
        <v>8</v>
      </c>
      <c r="K1047" s="1" t="str">
        <f ca="1">IFERROR(__xludf.DUMMYFUNCTION("""COMPUTED_VALUE"""),"Fully Remote with Options to travel as and when needed")</f>
        <v>Fully Remote with Options to travel as and when needed</v>
      </c>
      <c r="L1047" s="1" t="str">
        <f ca="1">IFERROR(__xludf.DUMMYFUNCTION("""COMPUTED_VALUE"""),"Employer who pushes your limits by enabling an learning environment, and rewards you at the end")</f>
        <v>Employer who pushes your limits by enabling an learning environment, and rewards you at the end</v>
      </c>
      <c r="M104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47"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1047" s="1" t="str">
        <f ca="1">IFERROR(__xludf.DUMMYFUNCTION("""COMPUTED_VALUE"""),"Manager who explains what is expected, sets a goal and helps achieve it")</f>
        <v>Manager who explains what is expected, sets a goal and helps achieve it</v>
      </c>
      <c r="P1047" s="1" t="str">
        <f ca="1">IFERROR(__xludf.DUMMYFUNCTION("""COMPUTED_VALUE"""),"Work with more than 10 people in my team")</f>
        <v>Work with more than 10 people in my team</v>
      </c>
      <c r="Q1047" s="1"/>
    </row>
    <row r="1048" spans="1:17" ht="13.2" x14ac:dyDescent="0.25">
      <c r="A1048" s="2">
        <f ca="1">IFERROR(__xludf.DUMMYFUNCTION("""COMPUTED_VALUE"""),45043.9277236805)</f>
        <v>45043.927723680499</v>
      </c>
      <c r="B1048" s="1" t="str">
        <f ca="1">IFERROR(__xludf.DUMMYFUNCTION("""COMPUTED_VALUE"""),"India")</f>
        <v>India</v>
      </c>
      <c r="C1048" s="1">
        <f ca="1">IFERROR(__xludf.DUMMYFUNCTION("""COMPUTED_VALUE"""),500074)</f>
        <v>500074</v>
      </c>
      <c r="D1048" s="3" t="str">
        <f ca="1">IFERROR(__xludf.DUMMYFUNCTION("""COMPUTED_VALUE"""),"Female")</f>
        <v>Female</v>
      </c>
      <c r="E1048" s="1" t="str">
        <f ca="1">IFERROR(__xludf.DUMMYFUNCTION("""COMPUTED_VALUE"""),"My Parents")</f>
        <v>My Parents</v>
      </c>
      <c r="F1048" s="1" t="str">
        <f ca="1">IFERROR(__xludf.DUMMYFUNCTION("""COMPUTED_VALUE"""),"Yes, I will earn and do that")</f>
        <v>Yes, I will earn and do that</v>
      </c>
      <c r="G1048" s="1" t="str">
        <f ca="1">IFERROR(__xludf.DUMMYFUNCTION("""COMPUTED_VALUE"""),"Will work for 3 years or more")</f>
        <v>Will work for 3 years or more</v>
      </c>
      <c r="H1048" s="1" t="str">
        <f ca="1">IFERROR(__xludf.DUMMYFUNCTION("""COMPUTED_VALUE"""),"No")</f>
        <v>No</v>
      </c>
      <c r="I1048" s="1" t="str">
        <f ca="1">IFERROR(__xludf.DUMMYFUNCTION("""COMPUTED_VALUE"""),"Will work for them")</f>
        <v>Will work for them</v>
      </c>
      <c r="J1048" s="1">
        <f ca="1">IFERROR(__xludf.DUMMYFUNCTION("""COMPUTED_VALUE"""),1)</f>
        <v>1</v>
      </c>
      <c r="K1048" s="1" t="str">
        <f ca="1">IFERROR(__xludf.DUMMYFUNCTION("""COMPUTED_VALUE"""),"Fully Remote with Options to travel as and when needed")</f>
        <v>Fully Remote with Options to travel as and when needed</v>
      </c>
      <c r="L1048" s="1" t="str">
        <f ca="1">IFERROR(__xludf.DUMMYFUNCTION("""COMPUTED_VALUE"""),"Employer who pushes your limits by enabling an learning environment, and rewards you at the end")</f>
        <v>Employer who pushes your limits by enabling an learning environment, and rewards you at the end</v>
      </c>
      <c r="M104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4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048" s="1" t="str">
        <f ca="1">IFERROR(__xludf.DUMMYFUNCTION("""COMPUTED_VALUE"""),"Manager who clearly describes what she/he needs")</f>
        <v>Manager who clearly describes what she/he needs</v>
      </c>
      <c r="P1048" s="1" t="str">
        <f ca="1">IFERROR(__xludf.DUMMYFUNCTION("""COMPUTED_VALUE"""),"Work with 2 to 3 people in my team, Work with 5 to 6 people in my team, Work with more than 10 people in my team")</f>
        <v>Work with 2 to 3 people in my team, Work with 5 to 6 people in my team, Work with more than 10 people in my team</v>
      </c>
      <c r="Q1048" s="1"/>
    </row>
    <row r="1049" spans="1:17" ht="13.2" x14ac:dyDescent="0.25">
      <c r="A1049" s="2">
        <f ca="1">IFERROR(__xludf.DUMMYFUNCTION("""COMPUTED_VALUE"""),45043.9278896296)</f>
        <v>45043.927889629602</v>
      </c>
      <c r="B1049" s="1" t="str">
        <f ca="1">IFERROR(__xludf.DUMMYFUNCTION("""COMPUTED_VALUE"""),"India")</f>
        <v>India</v>
      </c>
      <c r="C1049" s="1">
        <f ca="1">IFERROR(__xludf.DUMMYFUNCTION("""COMPUTED_VALUE"""),600044)</f>
        <v>600044</v>
      </c>
      <c r="D1049" s="3" t="str">
        <f ca="1">IFERROR(__xludf.DUMMYFUNCTION("""COMPUTED_VALUE"""),"Male")</f>
        <v>Male</v>
      </c>
      <c r="E1049" s="1" t="str">
        <f ca="1">IFERROR(__xludf.DUMMYFUNCTION("""COMPUTED_VALUE"""),"Social Media like LinkedIn")</f>
        <v>Social Media like LinkedIn</v>
      </c>
      <c r="F1049" s="1" t="str">
        <f ca="1">IFERROR(__xludf.DUMMYFUNCTION("""COMPUTED_VALUE"""),"No, But if someone could bare the cost I will")</f>
        <v>No, But if someone could bare the cost I will</v>
      </c>
      <c r="G1049" s="1" t="str">
        <f ca="1">IFERROR(__xludf.DUMMYFUNCTION("""COMPUTED_VALUE"""),"This will be hard to do, but if it is the right company I would try")</f>
        <v>This will be hard to do, but if it is the right company I would try</v>
      </c>
      <c r="H1049" s="1" t="str">
        <f ca="1">IFERROR(__xludf.DUMMYFUNCTION("""COMPUTED_VALUE"""),"Yes")</f>
        <v>Yes</v>
      </c>
      <c r="I1049" s="1" t="str">
        <f ca="1">IFERROR(__xludf.DUMMYFUNCTION("""COMPUTED_VALUE"""),"Will NOT work for them")</f>
        <v>Will NOT work for them</v>
      </c>
      <c r="J1049" s="1">
        <f ca="1">IFERROR(__xludf.DUMMYFUNCTION("""COMPUTED_VALUE"""),8)</f>
        <v>8</v>
      </c>
      <c r="K1049" s="1" t="str">
        <f ca="1">IFERROR(__xludf.DUMMYFUNCTION("""COMPUTED_VALUE"""),"Hybrid Working Environment with less than 3 days a month at office")</f>
        <v>Hybrid Working Environment with less than 3 days a month at office</v>
      </c>
      <c r="L1049" s="1" t="str">
        <f ca="1">IFERROR(__xludf.DUMMYFUNCTION("""COMPUTED_VALUE"""),"Employer who appreciates learning and enables that environment")</f>
        <v>Employer who appreciates learning and enables that environment</v>
      </c>
      <c r="M1049" s="1" t="str">
        <f ca="1">IFERROR(__xludf.DUMMYFUNCTION("""COMPUTED_VALUE"""),"Instructor or Expert Learning Programs, Learning by observing others, Manager Teaching you")</f>
        <v>Instructor or Expert Learning Programs, Learning by observing others, Manager Teaching you</v>
      </c>
      <c r="N104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49" s="1" t="str">
        <f ca="1">IFERROR(__xludf.DUMMYFUNCTION("""COMPUTED_VALUE"""),"Manager who explains what is expected, sets a goal and helps achieve it")</f>
        <v>Manager who explains what is expected, sets a goal and helps achieve it</v>
      </c>
      <c r="P1049" s="1" t="str">
        <f ca="1">IFERROR(__xludf.DUMMYFUNCTION("""COMPUTED_VALUE"""),"Work with 5 to 6 people in my team")</f>
        <v>Work with 5 to 6 people in my team</v>
      </c>
      <c r="Q1049" s="1"/>
    </row>
    <row r="1050" spans="1:17" ht="13.2" x14ac:dyDescent="0.25">
      <c r="A1050" s="2">
        <f ca="1">IFERROR(__xludf.DUMMYFUNCTION("""COMPUTED_VALUE"""),45043.9280240162)</f>
        <v>45043.928024016197</v>
      </c>
      <c r="B1050" s="1" t="str">
        <f ca="1">IFERROR(__xludf.DUMMYFUNCTION("""COMPUTED_VALUE"""),"India")</f>
        <v>India</v>
      </c>
      <c r="C1050" s="1">
        <f ca="1">IFERROR(__xludf.DUMMYFUNCTION("""COMPUTED_VALUE"""),759107)</f>
        <v>759107</v>
      </c>
      <c r="D1050" s="3" t="str">
        <f ca="1">IFERROR(__xludf.DUMMYFUNCTION("""COMPUTED_VALUE"""),"Female")</f>
        <v>Female</v>
      </c>
      <c r="E1050" s="1" t="str">
        <f ca="1">IFERROR(__xludf.DUMMYFUNCTION("""COMPUTED_VALUE"""),"People from my circle, but not family members")</f>
        <v>People from my circle, but not family members</v>
      </c>
      <c r="F1050" s="1" t="str">
        <f ca="1">IFERROR(__xludf.DUMMYFUNCTION("""COMPUTED_VALUE"""),"No I would not be pursuing Higher Education outside of India")</f>
        <v>No I would not be pursuing Higher Education outside of India</v>
      </c>
      <c r="G1050" s="1" t="str">
        <f ca="1">IFERROR(__xludf.DUMMYFUNCTION("""COMPUTED_VALUE"""),"No way")</f>
        <v>No way</v>
      </c>
      <c r="H1050" s="1" t="str">
        <f ca="1">IFERROR(__xludf.DUMMYFUNCTION("""COMPUTED_VALUE"""),"No")</f>
        <v>No</v>
      </c>
      <c r="I1050" s="1" t="str">
        <f ca="1">IFERROR(__xludf.DUMMYFUNCTION("""COMPUTED_VALUE"""),"Will NOT work for them")</f>
        <v>Will NOT work for them</v>
      </c>
      <c r="J1050" s="1">
        <f ca="1">IFERROR(__xludf.DUMMYFUNCTION("""COMPUTED_VALUE"""),2)</f>
        <v>2</v>
      </c>
      <c r="K1050" s="1" t="str">
        <f ca="1">IFERROR(__xludf.DUMMYFUNCTION("""COMPUTED_VALUE"""),"Fully Remote with Options to travel as and when needed")</f>
        <v>Fully Remote with Options to travel as and when needed</v>
      </c>
      <c r="L1050" s="1" t="str">
        <f ca="1">IFERROR(__xludf.DUMMYFUNCTION("""COMPUTED_VALUE"""),"Employer who appreciates learning and enables that environment")</f>
        <v>Employer who appreciates learning and enables that environment</v>
      </c>
      <c r="M10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50"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50" s="1" t="str">
        <f ca="1">IFERROR(__xludf.DUMMYFUNCTION("""COMPUTED_VALUE"""),"Manager who explains what is expected, sets a goal and helps achieve it")</f>
        <v>Manager who explains what is expected, sets a goal and helps achieve it</v>
      </c>
      <c r="P1050" s="1" t="str">
        <f ca="1">IFERROR(__xludf.DUMMYFUNCTION("""COMPUTED_VALUE"""),"Work with 2 to 3 people in my team")</f>
        <v>Work with 2 to 3 people in my team</v>
      </c>
      <c r="Q1050" s="1"/>
    </row>
    <row r="1051" spans="1:17" ht="13.2" x14ac:dyDescent="0.25">
      <c r="A1051" s="2">
        <f ca="1">IFERROR(__xludf.DUMMYFUNCTION("""COMPUTED_VALUE"""),45043.9282011226)</f>
        <v>45043.928201122602</v>
      </c>
      <c r="B1051" s="1" t="str">
        <f ca="1">IFERROR(__xludf.DUMMYFUNCTION("""COMPUTED_VALUE"""),"India")</f>
        <v>India</v>
      </c>
      <c r="C1051" s="1">
        <f ca="1">IFERROR(__xludf.DUMMYFUNCTION("""COMPUTED_VALUE"""),201002)</f>
        <v>201002</v>
      </c>
      <c r="D1051" s="3" t="str">
        <f ca="1">IFERROR(__xludf.DUMMYFUNCTION("""COMPUTED_VALUE"""),"Female")</f>
        <v>Female</v>
      </c>
      <c r="E1051" s="1" t="str">
        <f ca="1">IFERROR(__xludf.DUMMYFUNCTION("""COMPUTED_VALUE"""),"Social Media like LinkedIn")</f>
        <v>Social Media like LinkedIn</v>
      </c>
      <c r="F1051" s="1" t="str">
        <f ca="1">IFERROR(__xludf.DUMMYFUNCTION("""COMPUTED_VALUE"""),"No I would not be pursuing Higher Education outside of India")</f>
        <v>No I would not be pursuing Higher Education outside of India</v>
      </c>
      <c r="G1051" s="1" t="str">
        <f ca="1">IFERROR(__xludf.DUMMYFUNCTION("""COMPUTED_VALUE"""),"Will work for 3 years or more")</f>
        <v>Will work for 3 years or more</v>
      </c>
      <c r="H1051" s="1" t="str">
        <f ca="1">IFERROR(__xludf.DUMMYFUNCTION("""COMPUTED_VALUE"""),"No")</f>
        <v>No</v>
      </c>
      <c r="I1051" s="1" t="str">
        <f ca="1">IFERROR(__xludf.DUMMYFUNCTION("""COMPUTED_VALUE"""),"Will NOT work for them")</f>
        <v>Will NOT work for them</v>
      </c>
      <c r="J1051" s="1">
        <f ca="1">IFERROR(__xludf.DUMMYFUNCTION("""COMPUTED_VALUE"""),7)</f>
        <v>7</v>
      </c>
      <c r="K1051" s="1" t="str">
        <f ca="1">IFERROR(__xludf.DUMMYFUNCTION("""COMPUTED_VALUE"""),"Hybrid Working Environment with more than 15 days a month at office")</f>
        <v>Hybrid Working Environment with more than 15 days a month at office</v>
      </c>
      <c r="L1051" s="1" t="str">
        <f ca="1">IFERROR(__xludf.DUMMYFUNCTION("""COMPUTED_VALUE"""),"Employer who pushes your limits by enabling an learning environment, and rewards you at the end")</f>
        <v>Employer who pushes your limits by enabling an learning environment, and rewards you at the end</v>
      </c>
      <c r="M105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051"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1051" s="1" t="str">
        <f ca="1">IFERROR(__xludf.DUMMYFUNCTION("""COMPUTED_VALUE"""),"Manager who explains what is expected, sets a goal and helps achieve it")</f>
        <v>Manager who explains what is expected, sets a goal and helps achieve it</v>
      </c>
      <c r="P1051" s="1" t="str">
        <f ca="1">IFERROR(__xludf.DUMMYFUNCTION("""COMPUTED_VALUE"""),"Work with 7 to 10 or more people in my team")</f>
        <v>Work with 7 to 10 or more people in my team</v>
      </c>
      <c r="Q1051" s="1"/>
    </row>
    <row r="1052" spans="1:17" ht="13.2" x14ac:dyDescent="0.25">
      <c r="A1052" s="2">
        <f ca="1">IFERROR(__xludf.DUMMYFUNCTION("""COMPUTED_VALUE"""),45043.9306859259)</f>
        <v>45043.930685925901</v>
      </c>
      <c r="B1052" s="1" t="str">
        <f ca="1">IFERROR(__xludf.DUMMYFUNCTION("""COMPUTED_VALUE"""),"India")</f>
        <v>India</v>
      </c>
      <c r="C1052" s="1">
        <f ca="1">IFERROR(__xludf.DUMMYFUNCTION("""COMPUTED_VALUE"""),560091)</f>
        <v>560091</v>
      </c>
      <c r="D1052" s="3" t="str">
        <f ca="1">IFERROR(__xludf.DUMMYFUNCTION("""COMPUTED_VALUE"""),"Male")</f>
        <v>Male</v>
      </c>
      <c r="E1052" s="1" t="str">
        <f ca="1">IFERROR(__xludf.DUMMYFUNCTION("""COMPUTED_VALUE"""),"People from my circle, but not family members")</f>
        <v>People from my circle, but not family members</v>
      </c>
      <c r="F1052" s="1" t="str">
        <f ca="1">IFERROR(__xludf.DUMMYFUNCTION("""COMPUTED_VALUE"""),"Yes, I will earn and do that")</f>
        <v>Yes, I will earn and do that</v>
      </c>
      <c r="G1052" s="1" t="str">
        <f ca="1">IFERROR(__xludf.DUMMYFUNCTION("""COMPUTED_VALUE"""),"This will be hard to do, but if it is the right company I would try")</f>
        <v>This will be hard to do, but if it is the right company I would try</v>
      </c>
      <c r="H1052" s="1" t="str">
        <f ca="1">IFERROR(__xludf.DUMMYFUNCTION("""COMPUTED_VALUE"""),"No")</f>
        <v>No</v>
      </c>
      <c r="I1052" s="1" t="str">
        <f ca="1">IFERROR(__xludf.DUMMYFUNCTION("""COMPUTED_VALUE"""),"Will work for them")</f>
        <v>Will work for them</v>
      </c>
      <c r="J1052" s="1">
        <f ca="1">IFERROR(__xludf.DUMMYFUNCTION("""COMPUTED_VALUE"""),10)</f>
        <v>10</v>
      </c>
      <c r="K1052" s="1" t="str">
        <f ca="1">IFERROR(__xludf.DUMMYFUNCTION("""COMPUTED_VALUE"""),"Hybrid Working Environment with less than 3 days a month at office")</f>
        <v>Hybrid Working Environment with less than 3 days a month at office</v>
      </c>
      <c r="L1052" s="1" t="str">
        <f ca="1">IFERROR(__xludf.DUMMYFUNCTION("""COMPUTED_VALUE"""),"Employer who pushes your limits by enabling an learning environment, and rewards you at the end")</f>
        <v>Employer who pushes your limits by enabling an learning environment, and rewards you at the end</v>
      </c>
      <c r="M105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52"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52" s="1" t="str">
        <f ca="1">IFERROR(__xludf.DUMMYFUNCTION("""COMPUTED_VALUE"""),"Manager who clearly describes what she/he needs")</f>
        <v>Manager who clearly describes what she/he needs</v>
      </c>
      <c r="P1052" s="1" t="str">
        <f ca="1">IFERROR(__xludf.DUMMYFUNCTION("""COMPUTED_VALUE"""),"Work with 2 to 3 people in my team")</f>
        <v>Work with 2 to 3 people in my team</v>
      </c>
      <c r="Q1052" s="1"/>
    </row>
    <row r="1053" spans="1:17" ht="13.2" x14ac:dyDescent="0.25">
      <c r="A1053" s="2">
        <f ca="1">IFERROR(__xludf.DUMMYFUNCTION("""COMPUTED_VALUE"""),45043.9311880208)</f>
        <v>45043.931188020797</v>
      </c>
      <c r="B1053" s="1" t="str">
        <f ca="1">IFERROR(__xludf.DUMMYFUNCTION("""COMPUTED_VALUE"""),"India")</f>
        <v>India</v>
      </c>
      <c r="C1053" s="1">
        <f ca="1">IFERROR(__xludf.DUMMYFUNCTION("""COMPUTED_VALUE"""),425310)</f>
        <v>425310</v>
      </c>
      <c r="D1053" s="3" t="str">
        <f ca="1">IFERROR(__xludf.DUMMYFUNCTION("""COMPUTED_VALUE"""),"Female")</f>
        <v>Female</v>
      </c>
      <c r="E1053" s="1" t="str">
        <f ca="1">IFERROR(__xludf.DUMMYFUNCTION("""COMPUTED_VALUE"""),"Influencers who had successful careers")</f>
        <v>Influencers who had successful careers</v>
      </c>
      <c r="F1053" s="1" t="str">
        <f ca="1">IFERROR(__xludf.DUMMYFUNCTION("""COMPUTED_VALUE"""),"Yes, I will earn and do that")</f>
        <v>Yes, I will earn and do that</v>
      </c>
      <c r="G1053" s="1" t="str">
        <f ca="1">IFERROR(__xludf.DUMMYFUNCTION("""COMPUTED_VALUE"""),"This will be hard to do, but if it is the right company I would try")</f>
        <v>This will be hard to do, but if it is the right company I would try</v>
      </c>
      <c r="H1053" s="1" t="str">
        <f ca="1">IFERROR(__xludf.DUMMYFUNCTION("""COMPUTED_VALUE"""),"No")</f>
        <v>No</v>
      </c>
      <c r="I1053" s="1" t="str">
        <f ca="1">IFERROR(__xludf.DUMMYFUNCTION("""COMPUTED_VALUE"""),"Will NOT work for them")</f>
        <v>Will NOT work for them</v>
      </c>
      <c r="J1053" s="1">
        <f ca="1">IFERROR(__xludf.DUMMYFUNCTION("""COMPUTED_VALUE"""),5)</f>
        <v>5</v>
      </c>
      <c r="K1053" s="1" t="str">
        <f ca="1">IFERROR(__xludf.DUMMYFUNCTION("""COMPUTED_VALUE"""),"Hybrid Working Environment with more than 15 days a month at office")</f>
        <v>Hybrid Working Environment with more than 15 days a month at office</v>
      </c>
      <c r="L1053" s="1" t="str">
        <f ca="1">IFERROR(__xludf.DUMMYFUNCTION("""COMPUTED_VALUE"""),"Employer who appreciates learning and enables that environment")</f>
        <v>Employer who appreciates learning and enables that environment</v>
      </c>
      <c r="M10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5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53" s="1" t="str">
        <f ca="1">IFERROR(__xludf.DUMMYFUNCTION("""COMPUTED_VALUE"""),"Manager who explains what is expected, sets a goal and helps achieve it")</f>
        <v>Manager who explains what is expected, sets a goal and helps achieve it</v>
      </c>
      <c r="P1053" s="1" t="str">
        <f ca="1">IFERROR(__xludf.DUMMYFUNCTION("""COMPUTED_VALUE"""),"Work alone")</f>
        <v>Work alone</v>
      </c>
      <c r="Q1053" s="1"/>
    </row>
    <row r="1054" spans="1:17" ht="13.2" x14ac:dyDescent="0.25">
      <c r="A1054" s="2">
        <f ca="1">IFERROR(__xludf.DUMMYFUNCTION("""COMPUTED_VALUE"""),45043.9312067592)</f>
        <v>45043.931206759204</v>
      </c>
      <c r="B1054" s="1" t="str">
        <f ca="1">IFERROR(__xludf.DUMMYFUNCTION("""COMPUTED_VALUE"""),"India")</f>
        <v>India</v>
      </c>
      <c r="C1054" s="1">
        <f ca="1">IFERROR(__xludf.DUMMYFUNCTION("""COMPUTED_VALUE"""),251201)</f>
        <v>251201</v>
      </c>
      <c r="D1054" s="3" t="str">
        <f ca="1">IFERROR(__xludf.DUMMYFUNCTION("""COMPUTED_VALUE"""),"Female")</f>
        <v>Female</v>
      </c>
      <c r="E1054" s="1" t="str">
        <f ca="1">IFERROR(__xludf.DUMMYFUNCTION("""COMPUTED_VALUE"""),"People who have changed the world for better")</f>
        <v>People who have changed the world for better</v>
      </c>
      <c r="F1054" s="1" t="str">
        <f ca="1">IFERROR(__xludf.DUMMYFUNCTION("""COMPUTED_VALUE"""),"No I would not be pursuing Higher Education outside of India")</f>
        <v>No I would not be pursuing Higher Education outside of India</v>
      </c>
      <c r="G1054" s="1" t="str">
        <f ca="1">IFERROR(__xludf.DUMMYFUNCTION("""COMPUTED_VALUE"""),"This will be hard to do, but if it is the right company I would try")</f>
        <v>This will be hard to do, but if it is the right company I would try</v>
      </c>
      <c r="H1054" s="1" t="str">
        <f ca="1">IFERROR(__xludf.DUMMYFUNCTION("""COMPUTED_VALUE"""),"No")</f>
        <v>No</v>
      </c>
      <c r="I1054" s="1" t="str">
        <f ca="1">IFERROR(__xludf.DUMMYFUNCTION("""COMPUTED_VALUE"""),"Will NOT work for them")</f>
        <v>Will NOT work for them</v>
      </c>
      <c r="J1054" s="1">
        <f ca="1">IFERROR(__xludf.DUMMYFUNCTION("""COMPUTED_VALUE"""),1)</f>
        <v>1</v>
      </c>
      <c r="K1054" s="1" t="str">
        <f ca="1">IFERROR(__xludf.DUMMYFUNCTION("""COMPUTED_VALUE"""),"Fully Remote with Options to travel as and when needed")</f>
        <v>Fully Remote with Options to travel as and when needed</v>
      </c>
      <c r="L1054" s="1" t="str">
        <f ca="1">IFERROR(__xludf.DUMMYFUNCTION("""COMPUTED_VALUE"""),"Employer who pushes your limits by enabling an learning environment, and rewards you at the end")</f>
        <v>Employer who pushes your limits by enabling an learning environment, and rewards you at the end</v>
      </c>
      <c r="M1054" s="1" t="str">
        <f ca="1">IFERROR(__xludf.DUMMYFUNCTION("""COMPUTED_VALUE"""),"Instructor or Expert Learning Programs, Learning by observing others, Manager Teaching you")</f>
        <v>Instructor or Expert Learning Programs, Learning by observing others, Manager Teaching you</v>
      </c>
      <c r="N105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054" s="1" t="str">
        <f ca="1">IFERROR(__xludf.DUMMYFUNCTION("""COMPUTED_VALUE"""),"Manager who explains what is expected, sets a goal and helps achieve it")</f>
        <v>Manager who explains what is expected, sets a goal and helps achieve it</v>
      </c>
      <c r="P1054" s="1" t="str">
        <f ca="1">IFERROR(__xludf.DUMMYFUNCTION("""COMPUTED_VALUE"""),"Work with 5 to 6 people in my team")</f>
        <v>Work with 5 to 6 people in my team</v>
      </c>
      <c r="Q1054" s="1"/>
    </row>
    <row r="1055" spans="1:17" ht="13.2" x14ac:dyDescent="0.25">
      <c r="A1055" s="2">
        <f ca="1">IFERROR(__xludf.DUMMYFUNCTION("""COMPUTED_VALUE"""),45043.9321820023)</f>
        <v>45043.932182002303</v>
      </c>
      <c r="B1055" s="1" t="str">
        <f ca="1">IFERROR(__xludf.DUMMYFUNCTION("""COMPUTED_VALUE"""),"India")</f>
        <v>India</v>
      </c>
      <c r="C1055" s="1">
        <f ca="1">IFERROR(__xludf.DUMMYFUNCTION("""COMPUTED_VALUE"""),600025)</f>
        <v>600025</v>
      </c>
      <c r="D1055" s="3" t="str">
        <f ca="1">IFERROR(__xludf.DUMMYFUNCTION("""COMPUTED_VALUE"""),"Male")</f>
        <v>Male</v>
      </c>
      <c r="E1055" s="1" t="str">
        <f ca="1">IFERROR(__xludf.DUMMYFUNCTION("""COMPUTED_VALUE"""),"My Parents")</f>
        <v>My Parents</v>
      </c>
      <c r="F1055" s="1" t="str">
        <f ca="1">IFERROR(__xludf.DUMMYFUNCTION("""COMPUTED_VALUE"""),"Yes, I will earn and do that")</f>
        <v>Yes, I will earn and do that</v>
      </c>
      <c r="G1055" s="1" t="str">
        <f ca="1">IFERROR(__xludf.DUMMYFUNCTION("""COMPUTED_VALUE"""),"This will be hard to do, but if it is the right company I would try")</f>
        <v>This will be hard to do, but if it is the right company I would try</v>
      </c>
      <c r="H1055" s="1" t="str">
        <f ca="1">IFERROR(__xludf.DUMMYFUNCTION("""COMPUTED_VALUE"""),"Yes")</f>
        <v>Yes</v>
      </c>
      <c r="I1055" s="1" t="str">
        <f ca="1">IFERROR(__xludf.DUMMYFUNCTION("""COMPUTED_VALUE"""),"Will work for them")</f>
        <v>Will work for them</v>
      </c>
      <c r="J1055" s="1">
        <f ca="1">IFERROR(__xludf.DUMMYFUNCTION("""COMPUTED_VALUE"""),5)</f>
        <v>5</v>
      </c>
      <c r="K1055" s="1" t="str">
        <f ca="1">IFERROR(__xludf.DUMMYFUNCTION("""COMPUTED_VALUE"""),"Every Day Office Environment")</f>
        <v>Every Day Office Environment</v>
      </c>
      <c r="L1055" s="1" t="str">
        <f ca="1">IFERROR(__xludf.DUMMYFUNCTION("""COMPUTED_VALUE"""),"Employer who pushes your limits by enabling an learning environment, and rewards you at the end")</f>
        <v>Employer who pushes your limits by enabling an learning environment, and rewards you at the end</v>
      </c>
      <c r="M105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55" s="1" t="str">
        <f ca="1">IFERROR(__xludf.DUMMYFUNCTION("""COMPUTED_VALUE"""),"Manager who clearly describes what she/he needs")</f>
        <v>Manager who clearly describes what she/he needs</v>
      </c>
      <c r="P1055" s="1" t="str">
        <f ca="1">IFERROR(__xludf.DUMMYFUNCTION("""COMPUTED_VALUE"""),"Work alone")</f>
        <v>Work alone</v>
      </c>
      <c r="Q1055" s="1"/>
    </row>
    <row r="1056" spans="1:17" ht="13.2" x14ac:dyDescent="0.25">
      <c r="A1056" s="2">
        <f ca="1">IFERROR(__xludf.DUMMYFUNCTION("""COMPUTED_VALUE"""),45043.9326134838)</f>
        <v>45043.932613483797</v>
      </c>
      <c r="B1056" s="1" t="str">
        <f ca="1">IFERROR(__xludf.DUMMYFUNCTION("""COMPUTED_VALUE"""),"India")</f>
        <v>India</v>
      </c>
      <c r="C1056" s="1">
        <f ca="1">IFERROR(__xludf.DUMMYFUNCTION("""COMPUTED_VALUE"""),500076)</f>
        <v>500076</v>
      </c>
      <c r="D1056" s="3" t="str">
        <f ca="1">IFERROR(__xludf.DUMMYFUNCTION("""COMPUTED_VALUE"""),"Female")</f>
        <v>Female</v>
      </c>
      <c r="E1056" s="1" t="str">
        <f ca="1">IFERROR(__xludf.DUMMYFUNCTION("""COMPUTED_VALUE"""),"People who have changed the world for better")</f>
        <v>People who have changed the world for better</v>
      </c>
      <c r="F1056" s="1" t="str">
        <f ca="1">IFERROR(__xludf.DUMMYFUNCTION("""COMPUTED_VALUE"""),"Yes, I will earn and do that")</f>
        <v>Yes, I will earn and do that</v>
      </c>
      <c r="G1056" s="1" t="str">
        <f ca="1">IFERROR(__xludf.DUMMYFUNCTION("""COMPUTED_VALUE"""),"Will work for 3 years or more")</f>
        <v>Will work for 3 years or more</v>
      </c>
      <c r="H1056" s="1" t="str">
        <f ca="1">IFERROR(__xludf.DUMMYFUNCTION("""COMPUTED_VALUE"""),"No")</f>
        <v>No</v>
      </c>
      <c r="I1056" s="1" t="str">
        <f ca="1">IFERROR(__xludf.DUMMYFUNCTION("""COMPUTED_VALUE"""),"Will NOT work for them")</f>
        <v>Will NOT work for them</v>
      </c>
      <c r="J1056" s="1">
        <f ca="1">IFERROR(__xludf.DUMMYFUNCTION("""COMPUTED_VALUE"""),5)</f>
        <v>5</v>
      </c>
      <c r="K1056" s="1" t="str">
        <f ca="1">IFERROR(__xludf.DUMMYFUNCTION("""COMPUTED_VALUE"""),"Fully Remote with Options to travel as and when needed")</f>
        <v>Fully Remote with Options to travel as and when needed</v>
      </c>
      <c r="L1056" s="1" t="str">
        <f ca="1">IFERROR(__xludf.DUMMYFUNCTION("""COMPUTED_VALUE"""),"Employer who pushes your limits by enabling an learning environment, and rewards you at the end")</f>
        <v>Employer who pushes your limits by enabling an learning environment, and rewards you at the end</v>
      </c>
      <c r="M10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56"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056" s="1" t="str">
        <f ca="1">IFERROR(__xludf.DUMMYFUNCTION("""COMPUTED_VALUE"""),"Manager who explains what is expected, sets a goal and helps achieve it")</f>
        <v>Manager who explains what is expected, sets a goal and helps achieve it</v>
      </c>
      <c r="P1056" s="1" t="str">
        <f ca="1">IFERROR(__xludf.DUMMYFUNCTION("""COMPUTED_VALUE"""),"Work with 7 to 10 or more people in my team")</f>
        <v>Work with 7 to 10 or more people in my team</v>
      </c>
      <c r="Q1056" s="1"/>
    </row>
    <row r="1057" spans="1:17" ht="13.2" x14ac:dyDescent="0.25">
      <c r="A1057" s="2">
        <f ca="1">IFERROR(__xludf.DUMMYFUNCTION("""COMPUTED_VALUE"""),45043.9326739351)</f>
        <v>45043.932673935102</v>
      </c>
      <c r="B1057" s="1" t="str">
        <f ca="1">IFERROR(__xludf.DUMMYFUNCTION("""COMPUTED_VALUE"""),"India")</f>
        <v>India</v>
      </c>
      <c r="C1057" s="1">
        <f ca="1">IFERROR(__xludf.DUMMYFUNCTION("""COMPUTED_VALUE"""),263139)</f>
        <v>263139</v>
      </c>
      <c r="D1057" s="3" t="str">
        <f ca="1">IFERROR(__xludf.DUMMYFUNCTION("""COMPUTED_VALUE"""),"Male")</f>
        <v>Male</v>
      </c>
      <c r="E1057" s="1" t="str">
        <f ca="1">IFERROR(__xludf.DUMMYFUNCTION("""COMPUTED_VALUE"""),"Social Media like LinkedIn")</f>
        <v>Social Media like LinkedIn</v>
      </c>
      <c r="F1057" s="1" t="str">
        <f ca="1">IFERROR(__xludf.DUMMYFUNCTION("""COMPUTED_VALUE"""),"No I would not be pursuing Higher Education outside of India")</f>
        <v>No I would not be pursuing Higher Education outside of India</v>
      </c>
      <c r="G1057" s="1" t="str">
        <f ca="1">IFERROR(__xludf.DUMMYFUNCTION("""COMPUTED_VALUE"""),"This will be hard to do, but if it is the right company I would try")</f>
        <v>This will be hard to do, but if it is the right company I would try</v>
      </c>
      <c r="H1057" s="1" t="str">
        <f ca="1">IFERROR(__xludf.DUMMYFUNCTION("""COMPUTED_VALUE"""),"No")</f>
        <v>No</v>
      </c>
      <c r="I1057" s="1" t="str">
        <f ca="1">IFERROR(__xludf.DUMMYFUNCTION("""COMPUTED_VALUE"""),"Will NOT work for them")</f>
        <v>Will NOT work for them</v>
      </c>
      <c r="J1057" s="1">
        <f ca="1">IFERROR(__xludf.DUMMYFUNCTION("""COMPUTED_VALUE"""),8)</f>
        <v>8</v>
      </c>
      <c r="K1057" s="1" t="str">
        <f ca="1">IFERROR(__xludf.DUMMYFUNCTION("""COMPUTED_VALUE"""),"Fully Remote with Options to travel as and when needed")</f>
        <v>Fully Remote with Options to travel as and when needed</v>
      </c>
      <c r="L1057" s="1" t="str">
        <f ca="1">IFERROR(__xludf.DUMMYFUNCTION("""COMPUTED_VALUE"""),"Employer who pushes your limits by enabling an learning environment, and rewards you at the end")</f>
        <v>Employer who pushes your limits by enabling an learning environment, and rewards you at the end</v>
      </c>
      <c r="M105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5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57" s="1" t="str">
        <f ca="1">IFERROR(__xludf.DUMMYFUNCTION("""COMPUTED_VALUE"""),"Manager who explains what is expected, sets a goal and helps achieve it")</f>
        <v>Manager who explains what is expected, sets a goal and helps achieve it</v>
      </c>
      <c r="P1057" s="1" t="str">
        <f ca="1">IFERROR(__xludf.DUMMYFUNCTION("""COMPUTED_VALUE"""),"Work with 5 to 6 people in my team")</f>
        <v>Work with 5 to 6 people in my team</v>
      </c>
      <c r="Q1057" s="1"/>
    </row>
    <row r="1058" spans="1:17" ht="13.2" x14ac:dyDescent="0.25">
      <c r="A1058" s="2">
        <f ca="1">IFERROR(__xludf.DUMMYFUNCTION("""COMPUTED_VALUE"""),45043.9338199768)</f>
        <v>45043.933819976803</v>
      </c>
      <c r="B1058" s="1" t="str">
        <f ca="1">IFERROR(__xludf.DUMMYFUNCTION("""COMPUTED_VALUE"""),"India")</f>
        <v>India</v>
      </c>
      <c r="C1058" s="1">
        <f ca="1">IFERROR(__xludf.DUMMYFUNCTION("""COMPUTED_VALUE"""),600107)</f>
        <v>600107</v>
      </c>
      <c r="D1058" s="3" t="str">
        <f ca="1">IFERROR(__xludf.DUMMYFUNCTION("""COMPUTED_VALUE"""),"Female")</f>
        <v>Female</v>
      </c>
      <c r="E1058" s="1" t="str">
        <f ca="1">IFERROR(__xludf.DUMMYFUNCTION("""COMPUTED_VALUE"""),"My Parents")</f>
        <v>My Parents</v>
      </c>
      <c r="F1058" s="1" t="str">
        <f ca="1">IFERROR(__xludf.DUMMYFUNCTION("""COMPUTED_VALUE"""),"Yes, I will earn and do that")</f>
        <v>Yes, I will earn and do that</v>
      </c>
      <c r="G1058" s="1" t="str">
        <f ca="1">IFERROR(__xludf.DUMMYFUNCTION("""COMPUTED_VALUE"""),"Will work for 3 years or more")</f>
        <v>Will work for 3 years or more</v>
      </c>
      <c r="H1058" s="1" t="str">
        <f ca="1">IFERROR(__xludf.DUMMYFUNCTION("""COMPUTED_VALUE"""),"No")</f>
        <v>No</v>
      </c>
      <c r="I1058" s="1" t="str">
        <f ca="1">IFERROR(__xludf.DUMMYFUNCTION("""COMPUTED_VALUE"""),"Will NOT work for them")</f>
        <v>Will NOT work for them</v>
      </c>
      <c r="J1058" s="1">
        <f ca="1">IFERROR(__xludf.DUMMYFUNCTION("""COMPUTED_VALUE"""),10)</f>
        <v>10</v>
      </c>
      <c r="K1058" s="1" t="str">
        <f ca="1">IFERROR(__xludf.DUMMYFUNCTION("""COMPUTED_VALUE"""),"Every Day Office Environment")</f>
        <v>Every Day Office Environment</v>
      </c>
      <c r="L1058" s="1" t="str">
        <f ca="1">IFERROR(__xludf.DUMMYFUNCTION("""COMPUTED_VALUE"""),"Employer who appreciates learning and enables that environment")</f>
        <v>Employer who appreciates learning and enables that environment</v>
      </c>
      <c r="M105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5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58" s="1" t="str">
        <f ca="1">IFERROR(__xludf.DUMMYFUNCTION("""COMPUTED_VALUE"""),"Manager who clearly describes what she/he needs")</f>
        <v>Manager who clearly describes what she/he needs</v>
      </c>
      <c r="P1058" s="1" t="str">
        <f ca="1">IFERROR(__xludf.DUMMYFUNCTION("""COMPUTED_VALUE"""),"Work with 2 to 3 people in my team")</f>
        <v>Work with 2 to 3 people in my team</v>
      </c>
      <c r="Q1058" s="1"/>
    </row>
    <row r="1059" spans="1:17" ht="13.2" x14ac:dyDescent="0.25">
      <c r="A1059" s="2">
        <f ca="1">IFERROR(__xludf.DUMMYFUNCTION("""COMPUTED_VALUE"""),45043.9346025)</f>
        <v>45043.934602499998</v>
      </c>
      <c r="B1059" s="1" t="str">
        <f ca="1">IFERROR(__xludf.DUMMYFUNCTION("""COMPUTED_VALUE"""),"India")</f>
        <v>India</v>
      </c>
      <c r="C1059" s="1">
        <f ca="1">IFERROR(__xludf.DUMMYFUNCTION("""COMPUTED_VALUE"""),600056)</f>
        <v>600056</v>
      </c>
      <c r="D1059" s="3" t="str">
        <f ca="1">IFERROR(__xludf.DUMMYFUNCTION("""COMPUTED_VALUE"""),"Female")</f>
        <v>Female</v>
      </c>
      <c r="E1059" s="1" t="str">
        <f ca="1">IFERROR(__xludf.DUMMYFUNCTION("""COMPUTED_VALUE"""),"People who have changed the world for better")</f>
        <v>People who have changed the world for better</v>
      </c>
      <c r="F1059" s="1" t="str">
        <f ca="1">IFERROR(__xludf.DUMMYFUNCTION("""COMPUTED_VALUE"""),"No, But if someone could bare the cost I will")</f>
        <v>No, But if someone could bare the cost I will</v>
      </c>
      <c r="G1059" s="1" t="str">
        <f ca="1">IFERROR(__xludf.DUMMYFUNCTION("""COMPUTED_VALUE"""),"This will be hard to do, but if it is the right company I would try")</f>
        <v>This will be hard to do, but if it is the right company I would try</v>
      </c>
      <c r="H1059" s="1" t="str">
        <f ca="1">IFERROR(__xludf.DUMMYFUNCTION("""COMPUTED_VALUE"""),"No")</f>
        <v>No</v>
      </c>
      <c r="I1059" s="1" t="str">
        <f ca="1">IFERROR(__xludf.DUMMYFUNCTION("""COMPUTED_VALUE"""),"Will NOT work for them")</f>
        <v>Will NOT work for them</v>
      </c>
      <c r="J1059" s="1">
        <f ca="1">IFERROR(__xludf.DUMMYFUNCTION("""COMPUTED_VALUE"""),2)</f>
        <v>2</v>
      </c>
      <c r="K1059" s="1" t="str">
        <f ca="1">IFERROR(__xludf.DUMMYFUNCTION("""COMPUTED_VALUE"""),"Fully Remote with Options to travel as and when needed")</f>
        <v>Fully Remote with Options to travel as and when needed</v>
      </c>
      <c r="L1059" s="1" t="str">
        <f ca="1">IFERROR(__xludf.DUMMYFUNCTION("""COMPUTED_VALUE"""),"Employer who pushes your limits by enabling an learning environment, and rewards you at the end")</f>
        <v>Employer who pushes your limits by enabling an learning environment, and rewards you at the end</v>
      </c>
      <c r="M10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59"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059" s="1" t="str">
        <f ca="1">IFERROR(__xludf.DUMMYFUNCTION("""COMPUTED_VALUE"""),"Manager who clearly describes what she/he needs")</f>
        <v>Manager who clearly describes what she/he needs</v>
      </c>
      <c r="P1059" s="1" t="str">
        <f ca="1">IFERROR(__xludf.DUMMYFUNCTION("""COMPUTED_VALUE"""),"Work with 5 to 6 people in my team")</f>
        <v>Work with 5 to 6 people in my team</v>
      </c>
      <c r="Q1059" s="1"/>
    </row>
    <row r="1060" spans="1:17" ht="13.2" x14ac:dyDescent="0.25">
      <c r="A1060" s="2">
        <f ca="1">IFERROR(__xludf.DUMMYFUNCTION("""COMPUTED_VALUE"""),45043.9376346527)</f>
        <v>45043.937634652699</v>
      </c>
      <c r="B1060" s="1" t="str">
        <f ca="1">IFERROR(__xludf.DUMMYFUNCTION("""COMPUTED_VALUE"""),"India")</f>
        <v>India</v>
      </c>
      <c r="C1060" s="1">
        <f ca="1">IFERROR(__xludf.DUMMYFUNCTION("""COMPUTED_VALUE"""),831013)</f>
        <v>831013</v>
      </c>
      <c r="D1060" s="3" t="str">
        <f ca="1">IFERROR(__xludf.DUMMYFUNCTION("""COMPUTED_VALUE"""),"Female")</f>
        <v>Female</v>
      </c>
      <c r="E1060" s="1" t="str">
        <f ca="1">IFERROR(__xludf.DUMMYFUNCTION("""COMPUTED_VALUE"""),"My Parents")</f>
        <v>My Parents</v>
      </c>
      <c r="F1060" s="1" t="str">
        <f ca="1">IFERROR(__xludf.DUMMYFUNCTION("""COMPUTED_VALUE"""),"Yes, I will earn and do that")</f>
        <v>Yes, I will earn and do that</v>
      </c>
      <c r="G1060" s="1" t="str">
        <f ca="1">IFERROR(__xludf.DUMMYFUNCTION("""COMPUTED_VALUE"""),"This will be hard to do, but if it is the right company I would try")</f>
        <v>This will be hard to do, but if it is the right company I would try</v>
      </c>
      <c r="H1060" s="1" t="str">
        <f ca="1">IFERROR(__xludf.DUMMYFUNCTION("""COMPUTED_VALUE"""),"No")</f>
        <v>No</v>
      </c>
      <c r="I1060" s="1" t="str">
        <f ca="1">IFERROR(__xludf.DUMMYFUNCTION("""COMPUTED_VALUE"""),"Will NOT work for them")</f>
        <v>Will NOT work for them</v>
      </c>
      <c r="J1060" s="1">
        <f ca="1">IFERROR(__xludf.DUMMYFUNCTION("""COMPUTED_VALUE"""),4)</f>
        <v>4</v>
      </c>
      <c r="K1060" s="1" t="str">
        <f ca="1">IFERROR(__xludf.DUMMYFUNCTION("""COMPUTED_VALUE"""),"Fully Remote with Options to travel as and when needed")</f>
        <v>Fully Remote with Options to travel as and when needed</v>
      </c>
      <c r="L1060" s="1" t="str">
        <f ca="1">IFERROR(__xludf.DUMMYFUNCTION("""COMPUTED_VALUE"""),"Employer who rewards learning and enables that environment")</f>
        <v>Employer who rewards learning and enables that environment</v>
      </c>
      <c r="M1060" s="1" t="str">
        <f ca="1">IFERROR(__xludf.DUMMYFUNCTION("""COMPUTED_VALUE"""),"Self Paced Learning Portals of the Company, Instructor or Expert Learning Programs, Manager Teaching you")</f>
        <v>Self Paced Learning Portals of the Company, Instructor or Expert Learning Programs, Manager Teaching you</v>
      </c>
      <c r="N1060"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060" s="1" t="str">
        <f ca="1">IFERROR(__xludf.DUMMYFUNCTION("""COMPUTED_VALUE"""),"Manager who sets goal and helps me achieve it")</f>
        <v>Manager who sets goal and helps me achieve it</v>
      </c>
      <c r="P1060" s="1" t="str">
        <f ca="1">IFERROR(__xludf.DUMMYFUNCTION("""COMPUTED_VALUE"""),"Work with 5 to 6 people in my team, Work with 7 to 10 or more people in my team")</f>
        <v>Work with 5 to 6 people in my team, Work with 7 to 10 or more people in my team</v>
      </c>
      <c r="Q1060" s="1"/>
    </row>
    <row r="1061" spans="1:17" ht="13.2" x14ac:dyDescent="0.25">
      <c r="A1061" s="2">
        <f ca="1">IFERROR(__xludf.DUMMYFUNCTION("""COMPUTED_VALUE"""),45043.9389921296)</f>
        <v>45043.938992129602</v>
      </c>
      <c r="B1061" s="1" t="str">
        <f ca="1">IFERROR(__xludf.DUMMYFUNCTION("""COMPUTED_VALUE"""),"India")</f>
        <v>India</v>
      </c>
      <c r="C1061" s="1">
        <f ca="1">IFERROR(__xludf.DUMMYFUNCTION("""COMPUTED_VALUE"""),462030)</f>
        <v>462030</v>
      </c>
      <c r="D1061" s="3" t="str">
        <f ca="1">IFERROR(__xludf.DUMMYFUNCTION("""COMPUTED_VALUE"""),"Female")</f>
        <v>Female</v>
      </c>
      <c r="E1061" s="1" t="str">
        <f ca="1">IFERROR(__xludf.DUMMYFUNCTION("""COMPUTED_VALUE"""),"People who have changed the world for better")</f>
        <v>People who have changed the world for better</v>
      </c>
      <c r="F1061" s="1" t="str">
        <f ca="1">IFERROR(__xludf.DUMMYFUNCTION("""COMPUTED_VALUE"""),"No, But if someone could bare the cost I will")</f>
        <v>No, But if someone could bare the cost I will</v>
      </c>
      <c r="G1061" s="1" t="str">
        <f ca="1">IFERROR(__xludf.DUMMYFUNCTION("""COMPUTED_VALUE"""),"Will work for 3 years or more")</f>
        <v>Will work for 3 years or more</v>
      </c>
      <c r="H1061" s="1" t="str">
        <f ca="1">IFERROR(__xludf.DUMMYFUNCTION("""COMPUTED_VALUE"""),"No")</f>
        <v>No</v>
      </c>
      <c r="I1061" s="1" t="str">
        <f ca="1">IFERROR(__xludf.DUMMYFUNCTION("""COMPUTED_VALUE"""),"Will NOT work for them")</f>
        <v>Will NOT work for them</v>
      </c>
      <c r="J1061" s="1">
        <f ca="1">IFERROR(__xludf.DUMMYFUNCTION("""COMPUTED_VALUE"""),6)</f>
        <v>6</v>
      </c>
      <c r="K1061" s="1" t="str">
        <f ca="1">IFERROR(__xludf.DUMMYFUNCTION("""COMPUTED_VALUE"""),"Hybrid Working Environment with less than 3 days a month at office")</f>
        <v>Hybrid Working Environment with less than 3 days a month at office</v>
      </c>
      <c r="L1061" s="1" t="str">
        <f ca="1">IFERROR(__xludf.DUMMYFUNCTION("""COMPUTED_VALUE"""),"Employer who pushes your limits by enabling an learning environment, and rewards you at the end")</f>
        <v>Employer who pushes your limits by enabling an learning environment, and rewards you at the end</v>
      </c>
      <c r="M10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6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061" s="1" t="str">
        <f ca="1">IFERROR(__xludf.DUMMYFUNCTION("""COMPUTED_VALUE"""),"Manager who explains what is expected, sets a goal and helps achieve it")</f>
        <v>Manager who explains what is expected, sets a goal and helps achieve it</v>
      </c>
      <c r="P1061" s="1" t="str">
        <f ca="1">IFERROR(__xludf.DUMMYFUNCTION("""COMPUTED_VALUE"""),"Work with 2 to 3 people in my team, Work with 5 to 6 people in my team")</f>
        <v>Work with 2 to 3 people in my team, Work with 5 to 6 people in my team</v>
      </c>
      <c r="Q1061" s="1"/>
    </row>
    <row r="1062" spans="1:17" ht="13.2" x14ac:dyDescent="0.25">
      <c r="A1062" s="2">
        <f ca="1">IFERROR(__xludf.DUMMYFUNCTION("""COMPUTED_VALUE"""),45043.9390910763)</f>
        <v>45043.939091076303</v>
      </c>
      <c r="B1062" s="1" t="str">
        <f ca="1">IFERROR(__xludf.DUMMYFUNCTION("""COMPUTED_VALUE"""),"India")</f>
        <v>India</v>
      </c>
      <c r="C1062" s="1">
        <f ca="1">IFERROR(__xludf.DUMMYFUNCTION("""COMPUTED_VALUE"""),492008)</f>
        <v>492008</v>
      </c>
      <c r="D1062" s="3" t="str">
        <f ca="1">IFERROR(__xludf.DUMMYFUNCTION("""COMPUTED_VALUE"""),"Male")</f>
        <v>Male</v>
      </c>
      <c r="E1062" s="1" t="str">
        <f ca="1">IFERROR(__xludf.DUMMYFUNCTION("""COMPUTED_VALUE"""),"Influencers who had successful careers")</f>
        <v>Influencers who had successful careers</v>
      </c>
      <c r="F1062" s="1" t="str">
        <f ca="1">IFERROR(__xludf.DUMMYFUNCTION("""COMPUTED_VALUE"""),"Yes, I will earn and do that")</f>
        <v>Yes, I will earn and do that</v>
      </c>
      <c r="G1062" s="1" t="str">
        <f ca="1">IFERROR(__xludf.DUMMYFUNCTION("""COMPUTED_VALUE"""),"This will be hard to do, but if it is the right company I would try")</f>
        <v>This will be hard to do, but if it is the right company I would try</v>
      </c>
      <c r="H1062" s="1" t="str">
        <f ca="1">IFERROR(__xludf.DUMMYFUNCTION("""COMPUTED_VALUE"""),"Yes")</f>
        <v>Yes</v>
      </c>
      <c r="I1062" s="1" t="str">
        <f ca="1">IFERROR(__xludf.DUMMYFUNCTION("""COMPUTED_VALUE"""),"Will work for them")</f>
        <v>Will work for them</v>
      </c>
      <c r="J1062" s="1">
        <f ca="1">IFERROR(__xludf.DUMMYFUNCTION("""COMPUTED_VALUE"""),6)</f>
        <v>6</v>
      </c>
      <c r="K1062" s="1" t="str">
        <f ca="1">IFERROR(__xludf.DUMMYFUNCTION("""COMPUTED_VALUE"""),"Every Day Office Environment")</f>
        <v>Every Day Office Environment</v>
      </c>
      <c r="L1062" s="1" t="str">
        <f ca="1">IFERROR(__xludf.DUMMYFUNCTION("""COMPUTED_VALUE"""),"Employer who pushes your limits by enabling an learning environment, and rewards you at the end")</f>
        <v>Employer who pushes your limits by enabling an learning environment, and rewards you at the end</v>
      </c>
      <c r="M106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062" s="1" t="str">
        <f ca="1">IFERROR(__xludf.DUMMYFUNCTION("""COMPUTED_VALUE"""),"Manager who sets goal and helps me achieve it")</f>
        <v>Manager who sets goal and helps me achieve it</v>
      </c>
      <c r="P1062" s="1" t="str">
        <f ca="1">IFERROR(__xludf.DUMMYFUNCTION("""COMPUTED_VALUE"""),"Work with more than 10 people in my team")</f>
        <v>Work with more than 10 people in my team</v>
      </c>
      <c r="Q1062" s="1"/>
    </row>
    <row r="1063" spans="1:17" ht="13.2" x14ac:dyDescent="0.25">
      <c r="A1063" s="2">
        <f ca="1">IFERROR(__xludf.DUMMYFUNCTION("""COMPUTED_VALUE"""),45043.9426491666)</f>
        <v>45043.942649166602</v>
      </c>
      <c r="B1063" s="1" t="str">
        <f ca="1">IFERROR(__xludf.DUMMYFUNCTION("""COMPUTED_VALUE"""),"India")</f>
        <v>India</v>
      </c>
      <c r="C1063" s="1">
        <f ca="1">IFERROR(__xludf.DUMMYFUNCTION("""COMPUTED_VALUE"""),530051)</f>
        <v>530051</v>
      </c>
      <c r="D1063" s="3" t="str">
        <f ca="1">IFERROR(__xludf.DUMMYFUNCTION("""COMPUTED_VALUE"""),"Female")</f>
        <v>Female</v>
      </c>
      <c r="E1063" s="1" t="str">
        <f ca="1">IFERROR(__xludf.DUMMYFUNCTION("""COMPUTED_VALUE"""),"My Parents")</f>
        <v>My Parents</v>
      </c>
      <c r="F1063" s="1" t="str">
        <f ca="1">IFERROR(__xludf.DUMMYFUNCTION("""COMPUTED_VALUE"""),"Yes, I will earn and do that")</f>
        <v>Yes, I will earn and do that</v>
      </c>
      <c r="G1063" s="1" t="str">
        <f ca="1">IFERROR(__xludf.DUMMYFUNCTION("""COMPUTED_VALUE"""),"Will work for 3 years or more")</f>
        <v>Will work for 3 years or more</v>
      </c>
      <c r="H1063" s="1" t="str">
        <f ca="1">IFERROR(__xludf.DUMMYFUNCTION("""COMPUTED_VALUE"""),"No")</f>
        <v>No</v>
      </c>
      <c r="I1063" s="1" t="str">
        <f ca="1">IFERROR(__xludf.DUMMYFUNCTION("""COMPUTED_VALUE"""),"Will NOT work for them")</f>
        <v>Will NOT work for them</v>
      </c>
      <c r="J1063" s="1">
        <f ca="1">IFERROR(__xludf.DUMMYFUNCTION("""COMPUTED_VALUE"""),5)</f>
        <v>5</v>
      </c>
      <c r="K1063" s="1" t="str">
        <f ca="1">IFERROR(__xludf.DUMMYFUNCTION("""COMPUTED_VALUE"""),"Fully Remote with Options to travel as and when needed")</f>
        <v>Fully Remote with Options to travel as and when needed</v>
      </c>
      <c r="L1063" s="1" t="str">
        <f ca="1">IFERROR(__xludf.DUMMYFUNCTION("""COMPUTED_VALUE"""),"Employer who pushes your limits by enabling an learning environment, and rewards you at the end")</f>
        <v>Employer who pushes your limits by enabling an learning environment, and rewards you at the end</v>
      </c>
      <c r="M106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63" s="1" t="str">
        <f ca="1">IFERROR(__xludf.DUMMYFUNCTION("""COMPUTED_VALUE"""),"Manager who explains what is expected, sets a goal and helps achieve it")</f>
        <v>Manager who explains what is expected, sets a goal and helps achieve it</v>
      </c>
      <c r="P1063" s="1" t="str">
        <f ca="1">IFERROR(__xludf.DUMMYFUNCTION("""COMPUTED_VALUE"""),"Work alone, Work with 2 to 3 people in my team, Work with 5 to 6 people in my team")</f>
        <v>Work alone, Work with 2 to 3 people in my team, Work with 5 to 6 people in my team</v>
      </c>
      <c r="Q1063" s="1"/>
    </row>
    <row r="1064" spans="1:17" ht="13.2" x14ac:dyDescent="0.25">
      <c r="A1064" s="2">
        <f ca="1">IFERROR(__xludf.DUMMYFUNCTION("""COMPUTED_VALUE"""),45043.943020081)</f>
        <v>45043.943020081002</v>
      </c>
      <c r="B1064" s="1" t="str">
        <f ca="1">IFERROR(__xludf.DUMMYFUNCTION("""COMPUTED_VALUE"""),"India")</f>
        <v>India</v>
      </c>
      <c r="C1064" s="1">
        <f ca="1">IFERROR(__xludf.DUMMYFUNCTION("""COMPUTED_VALUE"""),500097)</f>
        <v>500097</v>
      </c>
      <c r="D1064" s="3" t="str">
        <f ca="1">IFERROR(__xludf.DUMMYFUNCTION("""COMPUTED_VALUE"""),"Female")</f>
        <v>Female</v>
      </c>
      <c r="E1064" s="1" t="str">
        <f ca="1">IFERROR(__xludf.DUMMYFUNCTION("""COMPUTED_VALUE"""),"My Parents")</f>
        <v>My Parents</v>
      </c>
      <c r="F1064" s="1" t="str">
        <f ca="1">IFERROR(__xludf.DUMMYFUNCTION("""COMPUTED_VALUE"""),"Yes, I will earn and do that")</f>
        <v>Yes, I will earn and do that</v>
      </c>
      <c r="G1064" s="1" t="str">
        <f ca="1">IFERROR(__xludf.DUMMYFUNCTION("""COMPUTED_VALUE"""),"This will be hard to do, but if it is the right company I would try")</f>
        <v>This will be hard to do, but if it is the right company I would try</v>
      </c>
      <c r="H1064" s="1" t="str">
        <f ca="1">IFERROR(__xludf.DUMMYFUNCTION("""COMPUTED_VALUE"""),"No")</f>
        <v>No</v>
      </c>
      <c r="I1064" s="1" t="str">
        <f ca="1">IFERROR(__xludf.DUMMYFUNCTION("""COMPUTED_VALUE"""),"Will NOT work for them")</f>
        <v>Will NOT work for them</v>
      </c>
      <c r="J1064" s="1">
        <f ca="1">IFERROR(__xludf.DUMMYFUNCTION("""COMPUTED_VALUE"""),7)</f>
        <v>7</v>
      </c>
      <c r="K1064" s="1" t="str">
        <f ca="1">IFERROR(__xludf.DUMMYFUNCTION("""COMPUTED_VALUE"""),"Every Day Office Environment")</f>
        <v>Every Day Office Environment</v>
      </c>
      <c r="L1064" s="1" t="str">
        <f ca="1">IFERROR(__xludf.DUMMYFUNCTION("""COMPUTED_VALUE"""),"Employer who appreciates learning and enables that environment")</f>
        <v>Employer who appreciates learning and enables that environment</v>
      </c>
      <c r="M1064" s="1" t="str">
        <f ca="1">IFERROR(__xludf.DUMMYFUNCTION("""COMPUTED_VALUE"""),"Self Paced Learning Portals of the Company, Learning by observing others, Manager Teaching you")</f>
        <v>Self Paced Learning Portals of the Company, Learning by observing others, Manager Teaching you</v>
      </c>
      <c r="N1064"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64" s="1" t="str">
        <f ca="1">IFERROR(__xludf.DUMMYFUNCTION("""COMPUTED_VALUE"""),"Manager who explains what is expected, sets a goal and helps achieve it")</f>
        <v>Manager who explains what is expected, sets a goal and helps achieve it</v>
      </c>
      <c r="P1064" s="1" t="str">
        <f ca="1">IFERROR(__xludf.DUMMYFUNCTION("""COMPUTED_VALUE"""),"Work with 5 to 6 people in my team")</f>
        <v>Work with 5 to 6 people in my team</v>
      </c>
      <c r="Q1064" s="1"/>
    </row>
    <row r="1065" spans="1:17" ht="13.2" x14ac:dyDescent="0.25">
      <c r="A1065" s="2">
        <f ca="1">IFERROR(__xludf.DUMMYFUNCTION("""COMPUTED_VALUE"""),45043.9439383449)</f>
        <v>45043.943938344899</v>
      </c>
      <c r="B1065" s="1" t="str">
        <f ca="1">IFERROR(__xludf.DUMMYFUNCTION("""COMPUTED_VALUE"""),"India")</f>
        <v>India</v>
      </c>
      <c r="C1065" s="1">
        <f ca="1">IFERROR(__xludf.DUMMYFUNCTION("""COMPUTED_VALUE"""),411027)</f>
        <v>411027</v>
      </c>
      <c r="D1065" s="3" t="str">
        <f ca="1">IFERROR(__xludf.DUMMYFUNCTION("""COMPUTED_VALUE"""),"Male")</f>
        <v>Male</v>
      </c>
      <c r="E1065" s="1" t="str">
        <f ca="1">IFERROR(__xludf.DUMMYFUNCTION("""COMPUTED_VALUE"""),"Social Media like LinkedIn")</f>
        <v>Social Media like LinkedIn</v>
      </c>
      <c r="F1065" s="1" t="str">
        <f ca="1">IFERROR(__xludf.DUMMYFUNCTION("""COMPUTED_VALUE"""),"Yes, I will earn and do that")</f>
        <v>Yes, I will earn and do that</v>
      </c>
      <c r="G1065" s="1" t="str">
        <f ca="1">IFERROR(__xludf.DUMMYFUNCTION("""COMPUTED_VALUE"""),"Will work for 3 years or more")</f>
        <v>Will work for 3 years or more</v>
      </c>
      <c r="H1065" s="1" t="str">
        <f ca="1">IFERROR(__xludf.DUMMYFUNCTION("""COMPUTED_VALUE"""),"No")</f>
        <v>No</v>
      </c>
      <c r="I1065" s="1" t="str">
        <f ca="1">IFERROR(__xludf.DUMMYFUNCTION("""COMPUTED_VALUE"""),"Will NOT work for them")</f>
        <v>Will NOT work for them</v>
      </c>
      <c r="J1065" s="1">
        <f ca="1">IFERROR(__xludf.DUMMYFUNCTION("""COMPUTED_VALUE"""),10)</f>
        <v>10</v>
      </c>
      <c r="K1065" s="1" t="str">
        <f ca="1">IFERROR(__xludf.DUMMYFUNCTION("""COMPUTED_VALUE"""),"Every Day Office Environment")</f>
        <v>Every Day Office Environment</v>
      </c>
      <c r="L1065" s="1" t="str">
        <f ca="1">IFERROR(__xludf.DUMMYFUNCTION("""COMPUTED_VALUE"""),"Employer who pushes your limits by enabling an learning environment, and rewards you at the end")</f>
        <v>Employer who pushes your limits by enabling an learning environment, and rewards you at the end</v>
      </c>
      <c r="M1065" s="1" t="str">
        <f ca="1">IFERROR(__xludf.DUMMYFUNCTION("""COMPUTED_VALUE"""),"Instructor or Expert Learning Programs, Learning by observing others, Manager Teaching you")</f>
        <v>Instructor or Expert Learning Programs, Learning by observing others, Manager Teaching you</v>
      </c>
      <c r="N1065"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1065" s="1" t="str">
        <f ca="1">IFERROR(__xludf.DUMMYFUNCTION("""COMPUTED_VALUE"""),"Manager who explains what is expected, sets a goal and helps achieve it")</f>
        <v>Manager who explains what is expected, sets a goal and helps achieve it</v>
      </c>
      <c r="P1065" s="1" t="str">
        <f ca="1">IFERROR(__xludf.DUMMYFUNCTION("""COMPUTED_VALUE"""),"Work with 7 to 10 or more people in my team, Work with more than 10 people in my team")</f>
        <v>Work with 7 to 10 or more people in my team, Work with more than 10 people in my team</v>
      </c>
      <c r="Q1065" s="1"/>
    </row>
    <row r="1066" spans="1:17" ht="13.2" x14ac:dyDescent="0.25">
      <c r="A1066" s="2">
        <f ca="1">IFERROR(__xludf.DUMMYFUNCTION("""COMPUTED_VALUE"""),45043.9440781018)</f>
        <v>45043.944078101798</v>
      </c>
      <c r="B1066" s="1" t="str">
        <f ca="1">IFERROR(__xludf.DUMMYFUNCTION("""COMPUTED_VALUE"""),"India")</f>
        <v>India</v>
      </c>
      <c r="C1066" s="1">
        <f ca="1">IFERROR(__xludf.DUMMYFUNCTION("""COMPUTED_VALUE"""),492001)</f>
        <v>492001</v>
      </c>
      <c r="D1066" s="3" t="str">
        <f ca="1">IFERROR(__xludf.DUMMYFUNCTION("""COMPUTED_VALUE"""),"Female")</f>
        <v>Female</v>
      </c>
      <c r="E1066" s="1" t="str">
        <f ca="1">IFERROR(__xludf.DUMMYFUNCTION("""COMPUTED_VALUE"""),"My Parents")</f>
        <v>My Parents</v>
      </c>
      <c r="F1066" s="1" t="str">
        <f ca="1">IFERROR(__xludf.DUMMYFUNCTION("""COMPUTED_VALUE"""),"No, But if someone could bare the cost I will")</f>
        <v>No, But if someone could bare the cost I will</v>
      </c>
      <c r="G1066" s="1" t="str">
        <f ca="1">IFERROR(__xludf.DUMMYFUNCTION("""COMPUTED_VALUE"""),"This will be hard to do, but if it is the right company I would try")</f>
        <v>This will be hard to do, but if it is the right company I would try</v>
      </c>
      <c r="H1066" s="1" t="str">
        <f ca="1">IFERROR(__xludf.DUMMYFUNCTION("""COMPUTED_VALUE"""),"No")</f>
        <v>No</v>
      </c>
      <c r="I1066" s="1" t="str">
        <f ca="1">IFERROR(__xludf.DUMMYFUNCTION("""COMPUTED_VALUE"""),"Will work for them")</f>
        <v>Will work for them</v>
      </c>
      <c r="J1066" s="1">
        <f ca="1">IFERROR(__xludf.DUMMYFUNCTION("""COMPUTED_VALUE"""),7)</f>
        <v>7</v>
      </c>
      <c r="K1066" s="1" t="str">
        <f ca="1">IFERROR(__xludf.DUMMYFUNCTION("""COMPUTED_VALUE"""),"Fully Remote with Options to travel as and when needed")</f>
        <v>Fully Remote with Options to travel as and when needed</v>
      </c>
      <c r="L1066" s="1" t="str">
        <f ca="1">IFERROR(__xludf.DUMMYFUNCTION("""COMPUTED_VALUE"""),"Employer who pushes your limits by enabling an learning environment, and rewards you at the end")</f>
        <v>Employer who pushes your limits by enabling an learning environment, and rewards you at the end</v>
      </c>
      <c r="M1066" s="1" t="str">
        <f ca="1">IFERROR(__xludf.DUMMYFUNCTION("""COMPUTED_VALUE"""),"Self Paced Learning Portals of the Company, Learning by observing others, Manager Teaching you")</f>
        <v>Self Paced Learning Portals of the Company, Learning by observing others, Manager Teaching you</v>
      </c>
      <c r="N1066"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066" s="1" t="str">
        <f ca="1">IFERROR(__xludf.DUMMYFUNCTION("""COMPUTED_VALUE"""),"Manager who clearly describes what she/he needs")</f>
        <v>Manager who clearly describes what she/he needs</v>
      </c>
      <c r="P1066" s="1" t="str">
        <f ca="1">IFERROR(__xludf.DUMMYFUNCTION("""COMPUTED_VALUE"""),"Work alone, Work with 2 to 3 people in my team")</f>
        <v>Work alone, Work with 2 to 3 people in my team</v>
      </c>
      <c r="Q1066" s="1"/>
    </row>
    <row r="1067" spans="1:17" ht="13.2" x14ac:dyDescent="0.25">
      <c r="A1067" s="2">
        <f ca="1">IFERROR(__xludf.DUMMYFUNCTION("""COMPUTED_VALUE"""),45043.9441305671)</f>
        <v>45043.944130567099</v>
      </c>
      <c r="B1067" s="1" t="str">
        <f ca="1">IFERROR(__xludf.DUMMYFUNCTION("""COMPUTED_VALUE"""),"India")</f>
        <v>India</v>
      </c>
      <c r="C1067" s="1">
        <f ca="1">IFERROR(__xludf.DUMMYFUNCTION("""COMPUTED_VALUE"""),411027)</f>
        <v>411027</v>
      </c>
      <c r="D1067" s="3" t="str">
        <f ca="1">IFERROR(__xludf.DUMMYFUNCTION("""COMPUTED_VALUE"""),"Male")</f>
        <v>Male</v>
      </c>
      <c r="E1067" s="1" t="str">
        <f ca="1">IFERROR(__xludf.DUMMYFUNCTION("""COMPUTED_VALUE"""),"People who have changed the world for better")</f>
        <v>People who have changed the world for better</v>
      </c>
      <c r="F1067" s="1" t="str">
        <f ca="1">IFERROR(__xludf.DUMMYFUNCTION("""COMPUTED_VALUE"""),"No I would not be pursuing Higher Education outside of India")</f>
        <v>No I would not be pursuing Higher Education outside of India</v>
      </c>
      <c r="G1067" s="1" t="str">
        <f ca="1">IFERROR(__xludf.DUMMYFUNCTION("""COMPUTED_VALUE"""),"This will be hard to do, but if it is the right company I would try")</f>
        <v>This will be hard to do, but if it is the right company I would try</v>
      </c>
      <c r="H1067" s="1" t="str">
        <f ca="1">IFERROR(__xludf.DUMMYFUNCTION("""COMPUTED_VALUE"""),"Yes")</f>
        <v>Yes</v>
      </c>
      <c r="I1067" s="1" t="str">
        <f ca="1">IFERROR(__xludf.DUMMYFUNCTION("""COMPUTED_VALUE"""),"Will NOT work for them")</f>
        <v>Will NOT work for them</v>
      </c>
      <c r="J1067" s="1">
        <f ca="1">IFERROR(__xludf.DUMMYFUNCTION("""COMPUTED_VALUE"""),8)</f>
        <v>8</v>
      </c>
      <c r="K1067" s="1" t="str">
        <f ca="1">IFERROR(__xludf.DUMMYFUNCTION("""COMPUTED_VALUE"""),"Fully Remote with Options to travel as and when needed")</f>
        <v>Fully Remote with Options to travel as and when needed</v>
      </c>
      <c r="L1067" s="1" t="str">
        <f ca="1">IFERROR(__xludf.DUMMYFUNCTION("""COMPUTED_VALUE"""),"Employer who pushes your limits by enabling an learning environment, and rewards you at the end")</f>
        <v>Employer who pushes your limits by enabling an learning environment, and rewards you at the end</v>
      </c>
      <c r="M106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7" s="1" t="str">
        <f ca="1">IFERROR(__xludf.DUMMYFUNCTION("""COMPUTED_VALUE"""),"Design and Creative strategy in any company, Design and Develop amazing software, Work as a freelancer and do my thing my way, An Artificial Intelligence Specialist / Talking to Robots")</f>
        <v>Design and Creative strategy in any company, Design and Develop amazing software, Work as a freelancer and do my thing my way, An Artificial Intelligence Specialist / Talking to Robots</v>
      </c>
      <c r="O1067" s="1" t="str">
        <f ca="1">IFERROR(__xludf.DUMMYFUNCTION("""COMPUTED_VALUE"""),"Manager who explains what is expected, sets a goal and helps achieve it")</f>
        <v>Manager who explains what is expected, sets a goal and helps achieve it</v>
      </c>
      <c r="P1067" s="1" t="str">
        <f ca="1">IFERROR(__xludf.DUMMYFUNCTION("""COMPUTED_VALUE"""),"Work with 5 to 6 people in my team")</f>
        <v>Work with 5 to 6 people in my team</v>
      </c>
      <c r="Q1067" s="1"/>
    </row>
    <row r="1068" spans="1:17" ht="13.2" x14ac:dyDescent="0.25">
      <c r="A1068" s="2">
        <f ca="1">IFERROR(__xludf.DUMMYFUNCTION("""COMPUTED_VALUE"""),45043.9458601041)</f>
        <v>45043.945860104097</v>
      </c>
      <c r="B1068" s="1" t="str">
        <f ca="1">IFERROR(__xludf.DUMMYFUNCTION("""COMPUTED_VALUE"""),"India")</f>
        <v>India</v>
      </c>
      <c r="C1068" s="1">
        <f ca="1">IFERROR(__xludf.DUMMYFUNCTION("""COMPUTED_VALUE"""),191103)</f>
        <v>191103</v>
      </c>
      <c r="D1068" s="3" t="str">
        <f ca="1">IFERROR(__xludf.DUMMYFUNCTION("""COMPUTED_VALUE"""),"Male")</f>
        <v>Male</v>
      </c>
      <c r="E1068" s="1" t="str">
        <f ca="1">IFERROR(__xludf.DUMMYFUNCTION("""COMPUTED_VALUE"""),"My Parents")</f>
        <v>My Parents</v>
      </c>
      <c r="F1068" s="1" t="str">
        <f ca="1">IFERROR(__xludf.DUMMYFUNCTION("""COMPUTED_VALUE"""),"No I would not be pursuing Higher Education outside of India")</f>
        <v>No I would not be pursuing Higher Education outside of India</v>
      </c>
      <c r="G1068" s="1" t="str">
        <f ca="1">IFERROR(__xludf.DUMMYFUNCTION("""COMPUTED_VALUE"""),"This will be hard to do, but if it is the right company I would try")</f>
        <v>This will be hard to do, but if it is the right company I would try</v>
      </c>
      <c r="H1068" s="1" t="str">
        <f ca="1">IFERROR(__xludf.DUMMYFUNCTION("""COMPUTED_VALUE"""),"No")</f>
        <v>No</v>
      </c>
      <c r="I1068" s="1" t="str">
        <f ca="1">IFERROR(__xludf.DUMMYFUNCTION("""COMPUTED_VALUE"""),"Will NOT work for them")</f>
        <v>Will NOT work for them</v>
      </c>
      <c r="J1068" s="1">
        <f ca="1">IFERROR(__xludf.DUMMYFUNCTION("""COMPUTED_VALUE"""),7)</f>
        <v>7</v>
      </c>
      <c r="K1068" s="1" t="str">
        <f ca="1">IFERROR(__xludf.DUMMYFUNCTION("""COMPUTED_VALUE"""),"Fully Remote with Options to travel as and when needed")</f>
        <v>Fully Remote with Options to travel as and when needed</v>
      </c>
      <c r="L1068" s="1" t="str">
        <f ca="1">IFERROR(__xludf.DUMMYFUNCTION("""COMPUTED_VALUE"""),"Employer who pushes your limits by enabling an learning environment, and rewards you at the end")</f>
        <v>Employer who pushes your limits by enabling an learning environment, and rewards you at the end</v>
      </c>
      <c r="M106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68"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068" s="1" t="str">
        <f ca="1">IFERROR(__xludf.DUMMYFUNCTION("""COMPUTED_VALUE"""),"Manager who explains what is expected, sets a goal and helps achieve it")</f>
        <v>Manager who explains what is expected, sets a goal and helps achieve it</v>
      </c>
      <c r="P1068" s="1" t="str">
        <f ca="1">IFERROR(__xludf.DUMMYFUNCTION("""COMPUTED_VALUE"""),"Work alone")</f>
        <v>Work alone</v>
      </c>
      <c r="Q1068" s="1"/>
    </row>
    <row r="1069" spans="1:17" ht="13.2" x14ac:dyDescent="0.25">
      <c r="A1069" s="2">
        <f ca="1">IFERROR(__xludf.DUMMYFUNCTION("""COMPUTED_VALUE"""),45043.946103368)</f>
        <v>45043.946103367998</v>
      </c>
      <c r="B1069" s="1" t="str">
        <f ca="1">IFERROR(__xludf.DUMMYFUNCTION("""COMPUTED_VALUE"""),"India")</f>
        <v>India</v>
      </c>
      <c r="C1069" s="1">
        <f ca="1">IFERROR(__xludf.DUMMYFUNCTION("""COMPUTED_VALUE"""),201002)</f>
        <v>201002</v>
      </c>
      <c r="D1069" s="3" t="str">
        <f ca="1">IFERROR(__xludf.DUMMYFUNCTION("""COMPUTED_VALUE"""),"Male")</f>
        <v>Male</v>
      </c>
      <c r="E1069" s="1" t="str">
        <f ca="1">IFERROR(__xludf.DUMMYFUNCTION("""COMPUTED_VALUE"""),"People who have changed the world for better")</f>
        <v>People who have changed the world for better</v>
      </c>
      <c r="F1069" s="1" t="str">
        <f ca="1">IFERROR(__xludf.DUMMYFUNCTION("""COMPUTED_VALUE"""),"Yes, I will earn and do that")</f>
        <v>Yes, I will earn and do that</v>
      </c>
      <c r="G1069" s="1" t="str">
        <f ca="1">IFERROR(__xludf.DUMMYFUNCTION("""COMPUTED_VALUE"""),"This will be hard to do, but if it is the right company I would try")</f>
        <v>This will be hard to do, but if it is the right company I would try</v>
      </c>
      <c r="H1069" s="1" t="str">
        <f ca="1">IFERROR(__xludf.DUMMYFUNCTION("""COMPUTED_VALUE"""),"No")</f>
        <v>No</v>
      </c>
      <c r="I1069" s="1" t="str">
        <f ca="1">IFERROR(__xludf.DUMMYFUNCTION("""COMPUTED_VALUE"""),"Will NOT work for them")</f>
        <v>Will NOT work for them</v>
      </c>
      <c r="J1069" s="1">
        <f ca="1">IFERROR(__xludf.DUMMYFUNCTION("""COMPUTED_VALUE"""),1)</f>
        <v>1</v>
      </c>
      <c r="K1069" s="1" t="str">
        <f ca="1">IFERROR(__xludf.DUMMYFUNCTION("""COMPUTED_VALUE"""),"Fully Remote with Options to travel as and when needed")</f>
        <v>Fully Remote with Options to travel as and when needed</v>
      </c>
      <c r="L1069" s="1" t="str">
        <f ca="1">IFERROR(__xludf.DUMMYFUNCTION("""COMPUTED_VALUE"""),"Employer who appreciates learning and enables that environment")</f>
        <v>Employer who appreciates learning and enables that environment</v>
      </c>
      <c r="M10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69"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069" s="1" t="str">
        <f ca="1">IFERROR(__xludf.DUMMYFUNCTION("""COMPUTED_VALUE"""),"Manager who explains what is expected, sets a goal and helps achieve it")</f>
        <v>Manager who explains what is expected, sets a goal and helps achieve it</v>
      </c>
      <c r="P1069" s="1" t="str">
        <f ca="1">IFERROR(__xludf.DUMMYFUNCTION("""COMPUTED_VALUE"""),"Work with 7 to 10 or more people in my team")</f>
        <v>Work with 7 to 10 or more people in my team</v>
      </c>
      <c r="Q1069" s="1"/>
    </row>
    <row r="1070" spans="1:17" ht="13.2" x14ac:dyDescent="0.25">
      <c r="A1070" s="2">
        <f ca="1">IFERROR(__xludf.DUMMYFUNCTION("""COMPUTED_VALUE"""),45043.9509361342)</f>
        <v>45043.950936134199</v>
      </c>
      <c r="B1070" s="1" t="str">
        <f ca="1">IFERROR(__xludf.DUMMYFUNCTION("""COMPUTED_VALUE"""),"India")</f>
        <v>India</v>
      </c>
      <c r="C1070" s="1">
        <f ca="1">IFERROR(__xludf.DUMMYFUNCTION("""COMPUTED_VALUE"""),530028)</f>
        <v>530028</v>
      </c>
      <c r="D1070" s="3" t="str">
        <f ca="1">IFERROR(__xludf.DUMMYFUNCTION("""COMPUTED_VALUE"""),"Male")</f>
        <v>Male</v>
      </c>
      <c r="E1070" s="1" t="str">
        <f ca="1">IFERROR(__xludf.DUMMYFUNCTION("""COMPUTED_VALUE"""),"Influencers who had successful careers")</f>
        <v>Influencers who had successful careers</v>
      </c>
      <c r="F1070" s="1" t="str">
        <f ca="1">IFERROR(__xludf.DUMMYFUNCTION("""COMPUTED_VALUE"""),"No I would not be pursuing Higher Education outside of India")</f>
        <v>No I would not be pursuing Higher Education outside of India</v>
      </c>
      <c r="G1070" s="1" t="str">
        <f ca="1">IFERROR(__xludf.DUMMYFUNCTION("""COMPUTED_VALUE"""),"Will work for 3 years or more")</f>
        <v>Will work for 3 years or more</v>
      </c>
      <c r="H1070" s="1" t="str">
        <f ca="1">IFERROR(__xludf.DUMMYFUNCTION("""COMPUTED_VALUE"""),"No")</f>
        <v>No</v>
      </c>
      <c r="I1070" s="1" t="str">
        <f ca="1">IFERROR(__xludf.DUMMYFUNCTION("""COMPUTED_VALUE"""),"Will NOT work for them")</f>
        <v>Will NOT work for them</v>
      </c>
      <c r="J1070" s="1">
        <f ca="1">IFERROR(__xludf.DUMMYFUNCTION("""COMPUTED_VALUE"""),5)</f>
        <v>5</v>
      </c>
      <c r="K1070" s="1" t="str">
        <f ca="1">IFERROR(__xludf.DUMMYFUNCTION("""COMPUTED_VALUE"""),"Fully Remote with Options to travel as and when needed")</f>
        <v>Fully Remote with Options to travel as and when needed</v>
      </c>
      <c r="L1070" s="1" t="str">
        <f ca="1">IFERROR(__xludf.DUMMYFUNCTION("""COMPUTED_VALUE"""),"Employer who appreciates learning and enables that environment")</f>
        <v>Employer who appreciates learning and enables that environment</v>
      </c>
      <c r="M10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070" s="1" t="str">
        <f ca="1">IFERROR(__xludf.DUMMYFUNCTION("""COMPUTED_VALUE"""),"Manager who clearly describes what she/he needs")</f>
        <v>Manager who clearly describes what she/he needs</v>
      </c>
      <c r="P1070" s="1" t="str">
        <f ca="1">IFERROR(__xludf.DUMMYFUNCTION("""COMPUTED_VALUE"""),"Work with 5 to 6 people in my team")</f>
        <v>Work with 5 to 6 people in my team</v>
      </c>
      <c r="Q1070" s="1"/>
    </row>
    <row r="1071" spans="1:17" ht="13.2" x14ac:dyDescent="0.25">
      <c r="A1071" s="2">
        <f ca="1">IFERROR(__xludf.DUMMYFUNCTION("""COMPUTED_VALUE"""),45043.9513848611)</f>
        <v>45043.951384861102</v>
      </c>
      <c r="B1071" s="1" t="str">
        <f ca="1">IFERROR(__xludf.DUMMYFUNCTION("""COMPUTED_VALUE"""),"India")</f>
        <v>India</v>
      </c>
      <c r="C1071" s="1">
        <f ca="1">IFERROR(__xludf.DUMMYFUNCTION("""COMPUTED_VALUE"""),533201)</f>
        <v>533201</v>
      </c>
      <c r="D1071" s="3" t="str">
        <f ca="1">IFERROR(__xludf.DUMMYFUNCTION("""COMPUTED_VALUE"""),"Male")</f>
        <v>Male</v>
      </c>
      <c r="E1071" s="1" t="str">
        <f ca="1">IFERROR(__xludf.DUMMYFUNCTION("""COMPUTED_VALUE"""),"People from my circle, but not family members")</f>
        <v>People from my circle, but not family members</v>
      </c>
      <c r="F1071" s="1" t="str">
        <f ca="1">IFERROR(__xludf.DUMMYFUNCTION("""COMPUTED_VALUE"""),"No I would not be pursuing Higher Education outside of India")</f>
        <v>No I would not be pursuing Higher Education outside of India</v>
      </c>
      <c r="G1071" s="1" t="str">
        <f ca="1">IFERROR(__xludf.DUMMYFUNCTION("""COMPUTED_VALUE"""),"Will work for 3 years or more")</f>
        <v>Will work for 3 years or more</v>
      </c>
      <c r="H1071" s="1" t="str">
        <f ca="1">IFERROR(__xludf.DUMMYFUNCTION("""COMPUTED_VALUE"""),"No")</f>
        <v>No</v>
      </c>
      <c r="I1071" s="1" t="str">
        <f ca="1">IFERROR(__xludf.DUMMYFUNCTION("""COMPUTED_VALUE"""),"Will NOT work for them")</f>
        <v>Will NOT work for them</v>
      </c>
      <c r="J1071" s="1">
        <f ca="1">IFERROR(__xludf.DUMMYFUNCTION("""COMPUTED_VALUE"""),7)</f>
        <v>7</v>
      </c>
      <c r="K1071" s="1" t="str">
        <f ca="1">IFERROR(__xludf.DUMMYFUNCTION("""COMPUTED_VALUE"""),"Fully Remote with Options to travel as and when needed")</f>
        <v>Fully Remote with Options to travel as and when needed</v>
      </c>
      <c r="L1071" s="1" t="str">
        <f ca="1">IFERROR(__xludf.DUMMYFUNCTION("""COMPUTED_VALUE"""),"Employer who pushes your limits by enabling an learning environment, and rewards you at the end")</f>
        <v>Employer who pushes your limits by enabling an learning environment, and rewards you at the end</v>
      </c>
      <c r="M107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7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1" s="1" t="str">
        <f ca="1">IFERROR(__xludf.DUMMYFUNCTION("""COMPUTED_VALUE"""),"Manager who explains what is expected, sets a goal and helps achieve it")</f>
        <v>Manager who explains what is expected, sets a goal and helps achieve it</v>
      </c>
      <c r="P1071" s="1" t="str">
        <f ca="1">IFERROR(__xludf.DUMMYFUNCTION("""COMPUTED_VALUE"""),"Work with 2 to 3 people in my team")</f>
        <v>Work with 2 to 3 people in my team</v>
      </c>
      <c r="Q1071" s="1"/>
    </row>
    <row r="1072" spans="1:17" ht="13.2" x14ac:dyDescent="0.25">
      <c r="A1072" s="2">
        <f ca="1">IFERROR(__xludf.DUMMYFUNCTION("""COMPUTED_VALUE"""),45043.9517117245)</f>
        <v>45043.951711724498</v>
      </c>
      <c r="B1072" s="1" t="str">
        <f ca="1">IFERROR(__xludf.DUMMYFUNCTION("""COMPUTED_VALUE"""),"India")</f>
        <v>India</v>
      </c>
      <c r="C1072" s="1">
        <f ca="1">IFERROR(__xludf.DUMMYFUNCTION("""COMPUTED_VALUE"""),500060)</f>
        <v>500060</v>
      </c>
      <c r="D1072" s="3" t="str">
        <f ca="1">IFERROR(__xludf.DUMMYFUNCTION("""COMPUTED_VALUE"""),"Male")</f>
        <v>Male</v>
      </c>
      <c r="E1072" s="1" t="str">
        <f ca="1">IFERROR(__xludf.DUMMYFUNCTION("""COMPUTED_VALUE"""),"People who have changed the world for better")</f>
        <v>People who have changed the world for better</v>
      </c>
      <c r="F1072" s="1" t="str">
        <f ca="1">IFERROR(__xludf.DUMMYFUNCTION("""COMPUTED_VALUE"""),"Yes, I will earn and do that")</f>
        <v>Yes, I will earn and do that</v>
      </c>
      <c r="G1072" s="1" t="str">
        <f ca="1">IFERROR(__xludf.DUMMYFUNCTION("""COMPUTED_VALUE"""),"This will be hard to do, but if it is the right company I would try")</f>
        <v>This will be hard to do, but if it is the right company I would try</v>
      </c>
      <c r="H1072" s="1" t="str">
        <f ca="1">IFERROR(__xludf.DUMMYFUNCTION("""COMPUTED_VALUE"""),"No")</f>
        <v>No</v>
      </c>
      <c r="I1072" s="1" t="str">
        <f ca="1">IFERROR(__xludf.DUMMYFUNCTION("""COMPUTED_VALUE"""),"Will NOT work for them")</f>
        <v>Will NOT work for them</v>
      </c>
      <c r="J1072" s="1">
        <f ca="1">IFERROR(__xludf.DUMMYFUNCTION("""COMPUTED_VALUE"""),6)</f>
        <v>6</v>
      </c>
      <c r="K1072" s="1" t="str">
        <f ca="1">IFERROR(__xludf.DUMMYFUNCTION("""COMPUTED_VALUE"""),"Every Day Office Environment")</f>
        <v>Every Day Office Environment</v>
      </c>
      <c r="L1072" s="1" t="str">
        <f ca="1">IFERROR(__xludf.DUMMYFUNCTION("""COMPUTED_VALUE"""),"Employer who appreciates learning and enables that environment")</f>
        <v>Employer who appreciates learning and enables that environment</v>
      </c>
      <c r="M10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72" s="1" t="str">
        <f ca="1">IFERROR(__xludf.DUMMYFUNCTION("""COMPUTED_VALUE"""),"Manager who clearly describes what she/he needs")</f>
        <v>Manager who clearly describes what she/he needs</v>
      </c>
      <c r="P1072" s="1" t="str">
        <f ca="1">IFERROR(__xludf.DUMMYFUNCTION("""COMPUTED_VALUE"""),"Work with 2 to 3 people in my team")</f>
        <v>Work with 2 to 3 people in my team</v>
      </c>
      <c r="Q1072" s="1"/>
    </row>
    <row r="1073" spans="1:17" ht="13.2" x14ac:dyDescent="0.25">
      <c r="A1073" s="2">
        <f ca="1">IFERROR(__xludf.DUMMYFUNCTION("""COMPUTED_VALUE"""),45043.9521828819)</f>
        <v>45043.952182881898</v>
      </c>
      <c r="B1073" s="1" t="str">
        <f ca="1">IFERROR(__xludf.DUMMYFUNCTION("""COMPUTED_VALUE"""),"India")</f>
        <v>India</v>
      </c>
      <c r="C1073" s="1">
        <f ca="1">IFERROR(__xludf.DUMMYFUNCTION("""COMPUTED_VALUE"""),500053)</f>
        <v>500053</v>
      </c>
      <c r="D1073" s="3" t="str">
        <f ca="1">IFERROR(__xludf.DUMMYFUNCTION("""COMPUTED_VALUE"""),"Male")</f>
        <v>Male</v>
      </c>
      <c r="E1073" s="1" t="str">
        <f ca="1">IFERROR(__xludf.DUMMYFUNCTION("""COMPUTED_VALUE"""),"Influencers who had successful careers")</f>
        <v>Influencers who had successful careers</v>
      </c>
      <c r="F1073" s="1" t="str">
        <f ca="1">IFERROR(__xludf.DUMMYFUNCTION("""COMPUTED_VALUE"""),"Yes, I will earn and do that")</f>
        <v>Yes, I will earn and do that</v>
      </c>
      <c r="G1073" s="1" t="str">
        <f ca="1">IFERROR(__xludf.DUMMYFUNCTION("""COMPUTED_VALUE"""),"Will work for 3 years or more")</f>
        <v>Will work for 3 years or more</v>
      </c>
      <c r="H1073" s="1" t="str">
        <f ca="1">IFERROR(__xludf.DUMMYFUNCTION("""COMPUTED_VALUE"""),"No")</f>
        <v>No</v>
      </c>
      <c r="I1073" s="1" t="str">
        <f ca="1">IFERROR(__xludf.DUMMYFUNCTION("""COMPUTED_VALUE"""),"Will work for them")</f>
        <v>Will work for them</v>
      </c>
      <c r="J1073" s="1">
        <f ca="1">IFERROR(__xludf.DUMMYFUNCTION("""COMPUTED_VALUE"""),8)</f>
        <v>8</v>
      </c>
      <c r="K1073" s="1" t="str">
        <f ca="1">IFERROR(__xludf.DUMMYFUNCTION("""COMPUTED_VALUE"""),"Hybrid Working Environment with less than 3 days a month at office")</f>
        <v>Hybrid Working Environment with less than 3 days a month at office</v>
      </c>
      <c r="L1073" s="1" t="str">
        <f ca="1">IFERROR(__xludf.DUMMYFUNCTION("""COMPUTED_VALUE"""),"Employer who appreciates learning and enables that environment")</f>
        <v>Employer who appreciates learning and enables that environment</v>
      </c>
      <c r="M107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73" s="1" t="str">
        <f ca="1">IFERROR(__xludf.DUMMYFUNCTION("""COMPUTED_VALUE"""),"Manager who sets goal and helps me achieve it")</f>
        <v>Manager who sets goal and helps me achieve it</v>
      </c>
      <c r="P1073" s="1" t="str">
        <f ca="1">IFERROR(__xludf.DUMMYFUNCTION("""COMPUTED_VALUE"""),"Work with 5 to 6 people in my team")</f>
        <v>Work with 5 to 6 people in my team</v>
      </c>
      <c r="Q1073" s="1"/>
    </row>
    <row r="1074" spans="1:17" ht="13.2" x14ac:dyDescent="0.25">
      <c r="A1074" s="2">
        <f ca="1">IFERROR(__xludf.DUMMYFUNCTION("""COMPUTED_VALUE"""),45043.9535406713)</f>
        <v>45043.953540671297</v>
      </c>
      <c r="B1074" s="1" t="str">
        <f ca="1">IFERROR(__xludf.DUMMYFUNCTION("""COMPUTED_VALUE"""),"India")</f>
        <v>India</v>
      </c>
      <c r="C1074" s="1">
        <f ca="1">IFERROR(__xludf.DUMMYFUNCTION("""COMPUTED_VALUE"""),500081)</f>
        <v>500081</v>
      </c>
      <c r="D1074" s="3" t="str">
        <f ca="1">IFERROR(__xludf.DUMMYFUNCTION("""COMPUTED_VALUE"""),"Male")</f>
        <v>Male</v>
      </c>
      <c r="E1074" s="1" t="str">
        <f ca="1">IFERROR(__xludf.DUMMYFUNCTION("""COMPUTED_VALUE"""),"My Parents")</f>
        <v>My Parents</v>
      </c>
      <c r="F1074" s="1" t="str">
        <f ca="1">IFERROR(__xludf.DUMMYFUNCTION("""COMPUTED_VALUE"""),"No I would not be pursuing Higher Education outside of India")</f>
        <v>No I would not be pursuing Higher Education outside of India</v>
      </c>
      <c r="G1074" s="1" t="str">
        <f ca="1">IFERROR(__xludf.DUMMYFUNCTION("""COMPUTED_VALUE"""),"This will be hard to do, but if it is the right company I would try")</f>
        <v>This will be hard to do, but if it is the right company I would try</v>
      </c>
      <c r="H1074" s="1" t="str">
        <f ca="1">IFERROR(__xludf.DUMMYFUNCTION("""COMPUTED_VALUE"""),"Yes")</f>
        <v>Yes</v>
      </c>
      <c r="I1074" s="1" t="str">
        <f ca="1">IFERROR(__xludf.DUMMYFUNCTION("""COMPUTED_VALUE"""),"Will NOT work for them")</f>
        <v>Will NOT work for them</v>
      </c>
      <c r="J1074" s="1">
        <f ca="1">IFERROR(__xludf.DUMMYFUNCTION("""COMPUTED_VALUE"""),3)</f>
        <v>3</v>
      </c>
      <c r="K1074" s="1" t="str">
        <f ca="1">IFERROR(__xludf.DUMMYFUNCTION("""COMPUTED_VALUE"""),"Every Day Office Environment")</f>
        <v>Every Day Office Environment</v>
      </c>
      <c r="L1074" s="1" t="str">
        <f ca="1">IFERROR(__xludf.DUMMYFUNCTION("""COMPUTED_VALUE"""),"Employer who appreciates learning and enables that environment")</f>
        <v>Employer who appreciates learning and enables that environment</v>
      </c>
      <c r="M107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74"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074" s="1" t="str">
        <f ca="1">IFERROR(__xludf.DUMMYFUNCTION("""COMPUTED_VALUE"""),"Manager who sets targets and expects me to achieve it")</f>
        <v>Manager who sets targets and expects me to achieve it</v>
      </c>
      <c r="P107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074" s="1"/>
    </row>
    <row r="1075" spans="1:17" ht="13.2" x14ac:dyDescent="0.25">
      <c r="A1075" s="2">
        <f ca="1">IFERROR(__xludf.DUMMYFUNCTION("""COMPUTED_VALUE"""),45043.9535597453)</f>
        <v>45043.9535597453</v>
      </c>
      <c r="B1075" s="1" t="str">
        <f ca="1">IFERROR(__xludf.DUMMYFUNCTION("""COMPUTED_VALUE"""),"India")</f>
        <v>India</v>
      </c>
      <c r="C1075" s="1">
        <f ca="1">IFERROR(__xludf.DUMMYFUNCTION("""COMPUTED_VALUE"""),500034)</f>
        <v>500034</v>
      </c>
      <c r="D1075" s="3" t="str">
        <f ca="1">IFERROR(__xludf.DUMMYFUNCTION("""COMPUTED_VALUE"""),"Male")</f>
        <v>Male</v>
      </c>
      <c r="E1075" s="1" t="str">
        <f ca="1">IFERROR(__xludf.DUMMYFUNCTION("""COMPUTED_VALUE"""),"Influencers who had successful careers")</f>
        <v>Influencers who had successful careers</v>
      </c>
      <c r="F1075" s="1" t="str">
        <f ca="1">IFERROR(__xludf.DUMMYFUNCTION("""COMPUTED_VALUE"""),"No, But if someone could bare the cost I will")</f>
        <v>No, But if someone could bare the cost I will</v>
      </c>
      <c r="G1075" s="1" t="str">
        <f ca="1">IFERROR(__xludf.DUMMYFUNCTION("""COMPUTED_VALUE"""),"This will be hard to do, but if it is the right company I would try")</f>
        <v>This will be hard to do, but if it is the right company I would try</v>
      </c>
      <c r="H1075" s="1" t="str">
        <f ca="1">IFERROR(__xludf.DUMMYFUNCTION("""COMPUTED_VALUE"""),"Yes")</f>
        <v>Yes</v>
      </c>
      <c r="I1075" s="1" t="str">
        <f ca="1">IFERROR(__xludf.DUMMYFUNCTION("""COMPUTED_VALUE"""),"Will work for them")</f>
        <v>Will work for them</v>
      </c>
      <c r="J1075" s="1">
        <f ca="1">IFERROR(__xludf.DUMMYFUNCTION("""COMPUTED_VALUE"""),9)</f>
        <v>9</v>
      </c>
      <c r="K1075" s="1" t="str">
        <f ca="1">IFERROR(__xludf.DUMMYFUNCTION("""COMPUTED_VALUE"""),"Fully Remote with Options to travel as and when needed")</f>
        <v>Fully Remote with Options to travel as and when needed</v>
      </c>
      <c r="L1075" s="1" t="str">
        <f ca="1">IFERROR(__xludf.DUMMYFUNCTION("""COMPUTED_VALUE"""),"Employer who appreciates learning and enables that environment")</f>
        <v>Employer who appreciates learning and enables that environment</v>
      </c>
      <c r="M107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7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75" s="1" t="str">
        <f ca="1">IFERROR(__xludf.DUMMYFUNCTION("""COMPUTED_VALUE"""),"Manager who explains what is expected, sets a goal and helps achieve it")</f>
        <v>Manager who explains what is expected, sets a goal and helps achieve it</v>
      </c>
      <c r="P1075" s="1" t="str">
        <f ca="1">IFERROR(__xludf.DUMMYFUNCTION("""COMPUTED_VALUE"""),"Work with 5 to 6 people in my team")</f>
        <v>Work with 5 to 6 people in my team</v>
      </c>
      <c r="Q1075" s="1"/>
    </row>
    <row r="1076" spans="1:17" ht="13.2" x14ac:dyDescent="0.25">
      <c r="A1076" s="2">
        <f ca="1">IFERROR(__xludf.DUMMYFUNCTION("""COMPUTED_VALUE"""),45043.9537238194)</f>
        <v>45043.953723819403</v>
      </c>
      <c r="B1076" s="1" t="str">
        <f ca="1">IFERROR(__xludf.DUMMYFUNCTION("""COMPUTED_VALUE"""),"India")</f>
        <v>India</v>
      </c>
      <c r="C1076" s="1">
        <f ca="1">IFERROR(__xludf.DUMMYFUNCTION("""COMPUTED_VALUE"""),600107)</f>
        <v>600107</v>
      </c>
      <c r="D1076" s="3" t="str">
        <f ca="1">IFERROR(__xludf.DUMMYFUNCTION("""COMPUTED_VALUE"""),"Female")</f>
        <v>Female</v>
      </c>
      <c r="E1076" s="1" t="str">
        <f ca="1">IFERROR(__xludf.DUMMYFUNCTION("""COMPUTED_VALUE"""),"My Parents")</f>
        <v>My Parents</v>
      </c>
      <c r="F1076" s="1" t="str">
        <f ca="1">IFERROR(__xludf.DUMMYFUNCTION("""COMPUTED_VALUE"""),"Yes, I will earn and do that")</f>
        <v>Yes, I will earn and do that</v>
      </c>
      <c r="G1076" s="1" t="str">
        <f ca="1">IFERROR(__xludf.DUMMYFUNCTION("""COMPUTED_VALUE"""),"This will be hard to do, but if it is the right company I would try")</f>
        <v>This will be hard to do, but if it is the right company I would try</v>
      </c>
      <c r="H1076" s="1" t="str">
        <f ca="1">IFERROR(__xludf.DUMMYFUNCTION("""COMPUTED_VALUE"""),"No")</f>
        <v>No</v>
      </c>
      <c r="I1076" s="1" t="str">
        <f ca="1">IFERROR(__xludf.DUMMYFUNCTION("""COMPUTED_VALUE"""),"Will NOT work for them")</f>
        <v>Will NOT work for them</v>
      </c>
      <c r="J1076" s="1">
        <f ca="1">IFERROR(__xludf.DUMMYFUNCTION("""COMPUTED_VALUE"""),9)</f>
        <v>9</v>
      </c>
      <c r="K1076" s="1" t="str">
        <f ca="1">IFERROR(__xludf.DUMMYFUNCTION("""COMPUTED_VALUE"""),"Hybrid Working Environment with more than 15 days a month at office")</f>
        <v>Hybrid Working Environment with more than 15 days a month at office</v>
      </c>
      <c r="L1076" s="1" t="str">
        <f ca="1">IFERROR(__xludf.DUMMYFUNCTION("""COMPUTED_VALUE"""),"Employer who appreciates learning and enables that environment")</f>
        <v>Employer who appreciates learning and enables that environment</v>
      </c>
      <c r="M107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7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76" s="1" t="str">
        <f ca="1">IFERROR(__xludf.DUMMYFUNCTION("""COMPUTED_VALUE"""),"Manager who explains what is expected, sets a goal and helps achieve it")</f>
        <v>Manager who explains what is expected, sets a goal and helps achieve it</v>
      </c>
      <c r="P1076" s="1" t="str">
        <f ca="1">IFERROR(__xludf.DUMMYFUNCTION("""COMPUTED_VALUE"""),"Work with 2 to 3 people in my team")</f>
        <v>Work with 2 to 3 people in my team</v>
      </c>
      <c r="Q1076" s="1"/>
    </row>
    <row r="1077" spans="1:17" ht="13.2" x14ac:dyDescent="0.25">
      <c r="A1077" s="2">
        <f ca="1">IFERROR(__xludf.DUMMYFUNCTION("""COMPUTED_VALUE"""),45043.9546244791)</f>
        <v>45043.954624479098</v>
      </c>
      <c r="B1077" s="1" t="str">
        <f ca="1">IFERROR(__xludf.DUMMYFUNCTION("""COMPUTED_VALUE"""),"India")</f>
        <v>India</v>
      </c>
      <c r="C1077" s="1">
        <f ca="1">IFERROR(__xludf.DUMMYFUNCTION("""COMPUTED_VALUE"""),440026)</f>
        <v>440026</v>
      </c>
      <c r="D1077" s="3" t="str">
        <f ca="1">IFERROR(__xludf.DUMMYFUNCTION("""COMPUTED_VALUE"""),"Female")</f>
        <v>Female</v>
      </c>
      <c r="E1077" s="1" t="str">
        <f ca="1">IFERROR(__xludf.DUMMYFUNCTION("""COMPUTED_VALUE"""),"My Parents")</f>
        <v>My Parents</v>
      </c>
      <c r="F1077" s="1" t="str">
        <f ca="1">IFERROR(__xludf.DUMMYFUNCTION("""COMPUTED_VALUE"""),"No, But if someone could bare the cost I will")</f>
        <v>No, But if someone could bare the cost I will</v>
      </c>
      <c r="G1077" s="1" t="str">
        <f ca="1">IFERROR(__xludf.DUMMYFUNCTION("""COMPUTED_VALUE"""),"This will be hard to do, but if it is the right company I would try")</f>
        <v>This will be hard to do, but if it is the right company I would try</v>
      </c>
      <c r="H1077" s="1" t="str">
        <f ca="1">IFERROR(__xludf.DUMMYFUNCTION("""COMPUTED_VALUE"""),"No")</f>
        <v>No</v>
      </c>
      <c r="I1077" s="1" t="str">
        <f ca="1">IFERROR(__xludf.DUMMYFUNCTION("""COMPUTED_VALUE"""),"Will NOT work for them")</f>
        <v>Will NOT work for them</v>
      </c>
      <c r="J1077" s="1">
        <f ca="1">IFERROR(__xludf.DUMMYFUNCTION("""COMPUTED_VALUE"""),1)</f>
        <v>1</v>
      </c>
      <c r="K1077" s="1" t="str">
        <f ca="1">IFERROR(__xludf.DUMMYFUNCTION("""COMPUTED_VALUE"""),"Fully Remote with Options to travel as and when needed")</f>
        <v>Fully Remote with Options to travel as and when needed</v>
      </c>
      <c r="L1077" s="1" t="str">
        <f ca="1">IFERROR(__xludf.DUMMYFUNCTION("""COMPUTED_VALUE"""),"Employer who appreciates learning and enables that environment")</f>
        <v>Employer who appreciates learning and enables that environment</v>
      </c>
      <c r="M107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77"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1077" s="1" t="str">
        <f ca="1">IFERROR(__xludf.DUMMYFUNCTION("""COMPUTED_VALUE"""),"Manager who clearly describes what she/he needs")</f>
        <v>Manager who clearly describes what she/he needs</v>
      </c>
      <c r="P1077" s="1" t="str">
        <f ca="1">IFERROR(__xludf.DUMMYFUNCTION("""COMPUTED_VALUE"""),"Work with 2 to 3 people in my team")</f>
        <v>Work with 2 to 3 people in my team</v>
      </c>
      <c r="Q1077" s="1"/>
    </row>
    <row r="1078" spans="1:17" ht="13.2" x14ac:dyDescent="0.25">
      <c r="A1078" s="2">
        <f ca="1">IFERROR(__xludf.DUMMYFUNCTION("""COMPUTED_VALUE"""),45043.9604955902)</f>
        <v>45043.960495590203</v>
      </c>
      <c r="B1078" s="1" t="str">
        <f ca="1">IFERROR(__xludf.DUMMYFUNCTION("""COMPUTED_VALUE"""),"India")</f>
        <v>India</v>
      </c>
      <c r="C1078" s="1">
        <f ca="1">IFERROR(__xludf.DUMMYFUNCTION("""COMPUTED_VALUE"""),412207)</f>
        <v>412207</v>
      </c>
      <c r="D1078" s="3" t="str">
        <f ca="1">IFERROR(__xludf.DUMMYFUNCTION("""COMPUTED_VALUE"""),"Male")</f>
        <v>Male</v>
      </c>
      <c r="E1078" s="1" t="str">
        <f ca="1">IFERROR(__xludf.DUMMYFUNCTION("""COMPUTED_VALUE"""),"Social Media like LinkedIn")</f>
        <v>Social Media like LinkedIn</v>
      </c>
      <c r="F1078" s="1" t="str">
        <f ca="1">IFERROR(__xludf.DUMMYFUNCTION("""COMPUTED_VALUE"""),"No I would not be pursuing Higher Education outside of India")</f>
        <v>No I would not be pursuing Higher Education outside of India</v>
      </c>
      <c r="G1078" s="1" t="str">
        <f ca="1">IFERROR(__xludf.DUMMYFUNCTION("""COMPUTED_VALUE"""),"Will work for 3 years or more")</f>
        <v>Will work for 3 years or more</v>
      </c>
      <c r="H1078" s="1" t="str">
        <f ca="1">IFERROR(__xludf.DUMMYFUNCTION("""COMPUTED_VALUE"""),"No")</f>
        <v>No</v>
      </c>
      <c r="I1078" s="1" t="str">
        <f ca="1">IFERROR(__xludf.DUMMYFUNCTION("""COMPUTED_VALUE"""),"Will NOT work for them")</f>
        <v>Will NOT work for them</v>
      </c>
      <c r="J1078" s="1">
        <f ca="1">IFERROR(__xludf.DUMMYFUNCTION("""COMPUTED_VALUE"""),5)</f>
        <v>5</v>
      </c>
      <c r="K1078" s="1" t="str">
        <f ca="1">IFERROR(__xludf.DUMMYFUNCTION("""COMPUTED_VALUE"""),"Hybrid Working Environment with more than 15 days a month at office")</f>
        <v>Hybrid Working Environment with more than 15 days a month at office</v>
      </c>
      <c r="L1078" s="1" t="str">
        <f ca="1">IFERROR(__xludf.DUMMYFUNCTION("""COMPUTED_VALUE"""),"Employer who appreciates learning and enables that environment")</f>
        <v>Employer who appreciates learning and enables that environment</v>
      </c>
      <c r="M107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078"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078" s="1" t="str">
        <f ca="1">IFERROR(__xludf.DUMMYFUNCTION("""COMPUTED_VALUE"""),"Manager who explains what is expected, sets a goal and helps achieve it")</f>
        <v>Manager who explains what is expected, sets a goal and helps achieve it</v>
      </c>
      <c r="P1078" s="1" t="str">
        <f ca="1">IFERROR(__xludf.DUMMYFUNCTION("""COMPUTED_VALUE"""),"Work with 5 to 6 people in my team")</f>
        <v>Work with 5 to 6 people in my team</v>
      </c>
      <c r="Q1078" s="1"/>
    </row>
    <row r="1079" spans="1:17" ht="13.2" x14ac:dyDescent="0.25">
      <c r="A1079" s="2">
        <f ca="1">IFERROR(__xludf.DUMMYFUNCTION("""COMPUTED_VALUE"""),45043.9615465856)</f>
        <v>45043.961546585597</v>
      </c>
      <c r="B1079" s="1" t="str">
        <f ca="1">IFERROR(__xludf.DUMMYFUNCTION("""COMPUTED_VALUE"""),"India")</f>
        <v>India</v>
      </c>
      <c r="C1079" s="1">
        <f ca="1">IFERROR(__xludf.DUMMYFUNCTION("""COMPUTED_VALUE"""),500085)</f>
        <v>500085</v>
      </c>
      <c r="D1079" s="3" t="str">
        <f ca="1">IFERROR(__xludf.DUMMYFUNCTION("""COMPUTED_VALUE"""),"Male")</f>
        <v>Male</v>
      </c>
      <c r="E1079" s="1" t="str">
        <f ca="1">IFERROR(__xludf.DUMMYFUNCTION("""COMPUTED_VALUE"""),"People from my circle, but not family members")</f>
        <v>People from my circle, but not family members</v>
      </c>
      <c r="F1079" s="1" t="str">
        <f ca="1">IFERROR(__xludf.DUMMYFUNCTION("""COMPUTED_VALUE"""),"No I would not be pursuing Higher Education outside of India")</f>
        <v>No I would not be pursuing Higher Education outside of India</v>
      </c>
      <c r="G1079" s="1" t="str">
        <f ca="1">IFERROR(__xludf.DUMMYFUNCTION("""COMPUTED_VALUE"""),"This will be hard to do, but if it is the right company I would try")</f>
        <v>This will be hard to do, but if it is the right company I would try</v>
      </c>
      <c r="H1079" s="1" t="str">
        <f ca="1">IFERROR(__xludf.DUMMYFUNCTION("""COMPUTED_VALUE"""),"No")</f>
        <v>No</v>
      </c>
      <c r="I1079" s="1" t="str">
        <f ca="1">IFERROR(__xludf.DUMMYFUNCTION("""COMPUTED_VALUE"""),"Will NOT work for them")</f>
        <v>Will NOT work for them</v>
      </c>
      <c r="J1079" s="1">
        <f ca="1">IFERROR(__xludf.DUMMYFUNCTION("""COMPUTED_VALUE"""),4)</f>
        <v>4</v>
      </c>
      <c r="K1079" s="1" t="str">
        <f ca="1">IFERROR(__xludf.DUMMYFUNCTION("""COMPUTED_VALUE"""),"Fully Remote with Options to travel as and when needed")</f>
        <v>Fully Remote with Options to travel as and when needed</v>
      </c>
      <c r="L1079" s="1" t="str">
        <f ca="1">IFERROR(__xludf.DUMMYFUNCTION("""COMPUTED_VALUE"""),"Employer who appreciates learning and enables that environment")</f>
        <v>Employer who appreciates learning and enables that environment</v>
      </c>
      <c r="M10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9" s="1" t="str">
        <f ca="1">IFERROR(__xludf.DUMMYFUNCTION("""COMPUTED_VALUE"""),"Manager who explains what is expected, sets a goal and helps achieve it")</f>
        <v>Manager who explains what is expected, sets a goal and helps achieve it</v>
      </c>
      <c r="P1079" s="1" t="str">
        <f ca="1">IFERROR(__xludf.DUMMYFUNCTION("""COMPUTED_VALUE"""),"Work with 5 to 6 people in my team, Work with 7 to 10 or more people in my team")</f>
        <v>Work with 5 to 6 people in my team, Work with 7 to 10 or more people in my team</v>
      </c>
      <c r="Q1079" s="1"/>
    </row>
    <row r="1080" spans="1:17" ht="13.2" x14ac:dyDescent="0.25">
      <c r="A1080" s="2">
        <f ca="1">IFERROR(__xludf.DUMMYFUNCTION("""COMPUTED_VALUE"""),45043.9662882291)</f>
        <v>45043.966288229101</v>
      </c>
      <c r="B1080" s="1" t="str">
        <f ca="1">IFERROR(__xludf.DUMMYFUNCTION("""COMPUTED_VALUE"""),"India")</f>
        <v>India</v>
      </c>
      <c r="C1080" s="1">
        <f ca="1">IFERROR(__xludf.DUMMYFUNCTION("""COMPUTED_VALUE"""),466001)</f>
        <v>466001</v>
      </c>
      <c r="D1080" s="3" t="str">
        <f ca="1">IFERROR(__xludf.DUMMYFUNCTION("""COMPUTED_VALUE"""),"Female")</f>
        <v>Female</v>
      </c>
      <c r="E1080" s="1" t="str">
        <f ca="1">IFERROR(__xludf.DUMMYFUNCTION("""COMPUTED_VALUE"""),"My Parents")</f>
        <v>My Parents</v>
      </c>
      <c r="F1080" s="1" t="str">
        <f ca="1">IFERROR(__xludf.DUMMYFUNCTION("""COMPUTED_VALUE"""),"No, But if someone could bare the cost I will")</f>
        <v>No, But if someone could bare the cost I will</v>
      </c>
      <c r="G1080" s="1" t="str">
        <f ca="1">IFERROR(__xludf.DUMMYFUNCTION("""COMPUTED_VALUE"""),"Will work for 3 years or more")</f>
        <v>Will work for 3 years or more</v>
      </c>
      <c r="H1080" s="1" t="str">
        <f ca="1">IFERROR(__xludf.DUMMYFUNCTION("""COMPUTED_VALUE"""),"Yes")</f>
        <v>Yes</v>
      </c>
      <c r="I1080" s="1" t="str">
        <f ca="1">IFERROR(__xludf.DUMMYFUNCTION("""COMPUTED_VALUE"""),"Will work for them")</f>
        <v>Will work for them</v>
      </c>
      <c r="J1080" s="1">
        <f ca="1">IFERROR(__xludf.DUMMYFUNCTION("""COMPUTED_VALUE"""),10)</f>
        <v>10</v>
      </c>
      <c r="K1080" s="1" t="str">
        <f ca="1">IFERROR(__xludf.DUMMYFUNCTION("""COMPUTED_VALUE"""),"Fully Remote with Options to travel as and when needed")</f>
        <v>Fully Remote with Options to travel as and when needed</v>
      </c>
      <c r="L1080" s="1" t="str">
        <f ca="1">IFERROR(__xludf.DUMMYFUNCTION("""COMPUTED_VALUE"""),"Employer who appreciates learning and enables that environment")</f>
        <v>Employer who appreciates learning and enables that environment</v>
      </c>
      <c r="M108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80"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80" s="1" t="str">
        <f ca="1">IFERROR(__xludf.DUMMYFUNCTION("""COMPUTED_VALUE"""),"Manager who sets goal and helps me achieve it")</f>
        <v>Manager who sets goal and helps me achieve it</v>
      </c>
      <c r="P1080" s="1" t="str">
        <f ca="1">IFERROR(__xludf.DUMMYFUNCTION("""COMPUTED_VALUE"""),"Work with 5 to 6 people in my team")</f>
        <v>Work with 5 to 6 people in my team</v>
      </c>
      <c r="Q1080" s="1"/>
    </row>
    <row r="1081" spans="1:17" ht="13.2" x14ac:dyDescent="0.25">
      <c r="A1081" s="2">
        <f ca="1">IFERROR(__xludf.DUMMYFUNCTION("""COMPUTED_VALUE"""),45043.9665542361)</f>
        <v>45043.966554236104</v>
      </c>
      <c r="B1081" s="1" t="str">
        <f ca="1">IFERROR(__xludf.DUMMYFUNCTION("""COMPUTED_VALUE"""),"India")</f>
        <v>India</v>
      </c>
      <c r="C1081" s="1">
        <f ca="1">IFERROR(__xludf.DUMMYFUNCTION("""COMPUTED_VALUE"""),533210)</f>
        <v>533210</v>
      </c>
      <c r="D1081" s="3" t="str">
        <f ca="1">IFERROR(__xludf.DUMMYFUNCTION("""COMPUTED_VALUE"""),"Male")</f>
        <v>Male</v>
      </c>
      <c r="E1081" s="1" t="str">
        <f ca="1">IFERROR(__xludf.DUMMYFUNCTION("""COMPUTED_VALUE"""),"People from my circle, but not family members")</f>
        <v>People from my circle, but not family members</v>
      </c>
      <c r="F1081" s="1" t="str">
        <f ca="1">IFERROR(__xludf.DUMMYFUNCTION("""COMPUTED_VALUE"""),"No I would not be pursuing Higher Education outside of India")</f>
        <v>No I would not be pursuing Higher Education outside of India</v>
      </c>
      <c r="G1081" s="1" t="str">
        <f ca="1">IFERROR(__xludf.DUMMYFUNCTION("""COMPUTED_VALUE"""),"Will work for 3 years or more")</f>
        <v>Will work for 3 years or more</v>
      </c>
      <c r="H1081" s="1" t="str">
        <f ca="1">IFERROR(__xludf.DUMMYFUNCTION("""COMPUTED_VALUE"""),"Yes")</f>
        <v>Yes</v>
      </c>
      <c r="I1081" s="1" t="str">
        <f ca="1">IFERROR(__xludf.DUMMYFUNCTION("""COMPUTED_VALUE"""),"Will work for them")</f>
        <v>Will work for them</v>
      </c>
      <c r="J1081" s="1">
        <f ca="1">IFERROR(__xludf.DUMMYFUNCTION("""COMPUTED_VALUE"""),7)</f>
        <v>7</v>
      </c>
      <c r="K1081" s="1" t="str">
        <f ca="1">IFERROR(__xludf.DUMMYFUNCTION("""COMPUTED_VALUE"""),"Fully Remote with Options to travel as and when needed")</f>
        <v>Fully Remote with Options to travel as and when needed</v>
      </c>
      <c r="L1081" s="1" t="str">
        <f ca="1">IFERROR(__xludf.DUMMYFUNCTION("""COMPUTED_VALUE"""),"Employer who pushes your limits by enabling an learning environment, and rewards you at the end")</f>
        <v>Employer who pushes your limits by enabling an learning environment, and rewards you at the end</v>
      </c>
      <c r="M108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8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81" s="1" t="str">
        <f ca="1">IFERROR(__xludf.DUMMYFUNCTION("""COMPUTED_VALUE"""),"Manager who explains what is expected, sets a goal and helps achieve it")</f>
        <v>Manager who explains what is expected, sets a goal and helps achieve it</v>
      </c>
      <c r="P1081" s="1" t="str">
        <f ca="1">IFERROR(__xludf.DUMMYFUNCTION("""COMPUTED_VALUE"""),"Work with 7 to 10 or more people in my team")</f>
        <v>Work with 7 to 10 or more people in my team</v>
      </c>
      <c r="Q1081" s="1"/>
    </row>
    <row r="1082" spans="1:17" ht="13.2" x14ac:dyDescent="0.25">
      <c r="A1082" s="2">
        <f ca="1">IFERROR(__xludf.DUMMYFUNCTION("""COMPUTED_VALUE"""),45043.967546956)</f>
        <v>45043.967546956002</v>
      </c>
      <c r="B1082" s="1" t="str">
        <f ca="1">IFERROR(__xludf.DUMMYFUNCTION("""COMPUTED_VALUE"""),"India")</f>
        <v>India</v>
      </c>
      <c r="C1082" s="1">
        <f ca="1">IFERROR(__xludf.DUMMYFUNCTION("""COMPUTED_VALUE"""),496661)</f>
        <v>496661</v>
      </c>
      <c r="D1082" s="3" t="str">
        <f ca="1">IFERROR(__xludf.DUMMYFUNCTION("""COMPUTED_VALUE"""),"Male")</f>
        <v>Male</v>
      </c>
      <c r="E1082" s="1" t="str">
        <f ca="1">IFERROR(__xludf.DUMMYFUNCTION("""COMPUTED_VALUE"""),"People who have changed the world for better")</f>
        <v>People who have changed the world for better</v>
      </c>
      <c r="F1082" s="1" t="str">
        <f ca="1">IFERROR(__xludf.DUMMYFUNCTION("""COMPUTED_VALUE"""),"Yes, I will earn and do that")</f>
        <v>Yes, I will earn and do that</v>
      </c>
      <c r="G1082" s="1" t="str">
        <f ca="1">IFERROR(__xludf.DUMMYFUNCTION("""COMPUTED_VALUE"""),"This will be hard to do, but if it is the right company I would try")</f>
        <v>This will be hard to do, but if it is the right company I would try</v>
      </c>
      <c r="H1082" s="1" t="str">
        <f ca="1">IFERROR(__xludf.DUMMYFUNCTION("""COMPUTED_VALUE"""),"Yes")</f>
        <v>Yes</v>
      </c>
      <c r="I1082" s="1" t="str">
        <f ca="1">IFERROR(__xludf.DUMMYFUNCTION("""COMPUTED_VALUE"""),"Will NOT work for them")</f>
        <v>Will NOT work for them</v>
      </c>
      <c r="J1082" s="1">
        <f ca="1">IFERROR(__xludf.DUMMYFUNCTION("""COMPUTED_VALUE"""),5)</f>
        <v>5</v>
      </c>
      <c r="K1082" s="1" t="str">
        <f ca="1">IFERROR(__xludf.DUMMYFUNCTION("""COMPUTED_VALUE"""),"Fully Remote with Options to travel as and when needed")</f>
        <v>Fully Remote with Options to travel as and when needed</v>
      </c>
      <c r="L1082" s="1" t="str">
        <f ca="1">IFERROR(__xludf.DUMMYFUNCTION("""COMPUTED_VALUE"""),"Employer who pushes your limits by enabling an learning environment, and rewards you at the end")</f>
        <v>Employer who pushes your limits by enabling an learning environment, and rewards you at the end</v>
      </c>
      <c r="M108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82"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082" s="1" t="str">
        <f ca="1">IFERROR(__xludf.DUMMYFUNCTION("""COMPUTED_VALUE"""),"Manager who explains what is expected, sets a goal and helps achieve it")</f>
        <v>Manager who explains what is expected, sets a goal and helps achieve it</v>
      </c>
      <c r="P1082"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082" s="1"/>
    </row>
    <row r="1083" spans="1:17" ht="13.2" x14ac:dyDescent="0.25">
      <c r="A1083" s="2">
        <f ca="1">IFERROR(__xludf.DUMMYFUNCTION("""COMPUTED_VALUE"""),45043.9680245023)</f>
        <v>45043.968024502297</v>
      </c>
      <c r="B1083" s="1" t="str">
        <f ca="1">IFERROR(__xludf.DUMMYFUNCTION("""COMPUTED_VALUE"""),"India")</f>
        <v>India</v>
      </c>
      <c r="C1083" s="1">
        <f ca="1">IFERROR(__xludf.DUMMYFUNCTION("""COMPUTED_VALUE"""),500085)</f>
        <v>500085</v>
      </c>
      <c r="D1083" s="3" t="str">
        <f ca="1">IFERROR(__xludf.DUMMYFUNCTION("""COMPUTED_VALUE"""),"Male")</f>
        <v>Male</v>
      </c>
      <c r="E1083" s="1" t="str">
        <f ca="1">IFERROR(__xludf.DUMMYFUNCTION("""COMPUTED_VALUE"""),"People from my circle, but not family members")</f>
        <v>People from my circle, but not family members</v>
      </c>
      <c r="F1083" s="1" t="str">
        <f ca="1">IFERROR(__xludf.DUMMYFUNCTION("""COMPUTED_VALUE"""),"No I would not be pursuing Higher Education outside of India")</f>
        <v>No I would not be pursuing Higher Education outside of India</v>
      </c>
      <c r="G1083" s="1" t="str">
        <f ca="1">IFERROR(__xludf.DUMMYFUNCTION("""COMPUTED_VALUE"""),"This will be hard to do, but if it is the right company I would try")</f>
        <v>This will be hard to do, but if it is the right company I would try</v>
      </c>
      <c r="H1083" s="1" t="str">
        <f ca="1">IFERROR(__xludf.DUMMYFUNCTION("""COMPUTED_VALUE"""),"No")</f>
        <v>No</v>
      </c>
      <c r="I1083" s="1" t="str">
        <f ca="1">IFERROR(__xludf.DUMMYFUNCTION("""COMPUTED_VALUE"""),"Will NOT work for them")</f>
        <v>Will NOT work for them</v>
      </c>
      <c r="J1083" s="1">
        <f ca="1">IFERROR(__xludf.DUMMYFUNCTION("""COMPUTED_VALUE"""),8)</f>
        <v>8</v>
      </c>
      <c r="K1083" s="1" t="str">
        <f ca="1">IFERROR(__xludf.DUMMYFUNCTION("""COMPUTED_VALUE"""),"Fully Remote with Options to travel as and when needed")</f>
        <v>Fully Remote with Options to travel as and when needed</v>
      </c>
      <c r="L1083" s="1" t="str">
        <f ca="1">IFERROR(__xludf.DUMMYFUNCTION("""COMPUTED_VALUE"""),"Employer who pushes your limits by enabling an learning environment, and rewards you at the end")</f>
        <v>Employer who pushes your limits by enabling an learning environment, and rewards you at the end</v>
      </c>
      <c r="M10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83"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083" s="1" t="str">
        <f ca="1">IFERROR(__xludf.DUMMYFUNCTION("""COMPUTED_VALUE"""),"Manager who explains what is expected, sets a goal and helps achieve it")</f>
        <v>Manager who explains what is expected, sets a goal and helps achieve it</v>
      </c>
      <c r="P1083" s="1" t="str">
        <f ca="1">IFERROR(__xludf.DUMMYFUNCTION("""COMPUTED_VALUE"""),"Work with 5 to 6 people in my team")</f>
        <v>Work with 5 to 6 people in my team</v>
      </c>
      <c r="Q1083" s="1"/>
    </row>
    <row r="1084" spans="1:17" ht="13.2" x14ac:dyDescent="0.25">
      <c r="A1084" s="2">
        <f ca="1">IFERROR(__xludf.DUMMYFUNCTION("""COMPUTED_VALUE"""),45043.9685923263)</f>
        <v>45043.968592326302</v>
      </c>
      <c r="B1084" s="1" t="str">
        <f ca="1">IFERROR(__xludf.DUMMYFUNCTION("""COMPUTED_VALUE"""),"India")</f>
        <v>India</v>
      </c>
      <c r="C1084" s="1">
        <f ca="1">IFERROR(__xludf.DUMMYFUNCTION("""COMPUTED_VALUE"""),492001)</f>
        <v>492001</v>
      </c>
      <c r="D1084" s="3" t="str">
        <f ca="1">IFERROR(__xludf.DUMMYFUNCTION("""COMPUTED_VALUE"""),"Female")</f>
        <v>Female</v>
      </c>
      <c r="E1084" s="1" t="str">
        <f ca="1">IFERROR(__xludf.DUMMYFUNCTION("""COMPUTED_VALUE"""),"People from my circle, but not family members")</f>
        <v>People from my circle, but not family members</v>
      </c>
      <c r="F1084" s="1" t="str">
        <f ca="1">IFERROR(__xludf.DUMMYFUNCTION("""COMPUTED_VALUE"""),"Yes, I will earn and do that")</f>
        <v>Yes, I will earn and do that</v>
      </c>
      <c r="G1084" s="1" t="str">
        <f ca="1">IFERROR(__xludf.DUMMYFUNCTION("""COMPUTED_VALUE"""),"This will be hard to do, but if it is the right company I would try")</f>
        <v>This will be hard to do, but if it is the right company I would try</v>
      </c>
      <c r="H1084" s="1" t="str">
        <f ca="1">IFERROR(__xludf.DUMMYFUNCTION("""COMPUTED_VALUE"""),"Yes")</f>
        <v>Yes</v>
      </c>
      <c r="I1084" s="1" t="str">
        <f ca="1">IFERROR(__xludf.DUMMYFUNCTION("""COMPUTED_VALUE"""),"Will NOT work for them")</f>
        <v>Will NOT work for them</v>
      </c>
      <c r="J1084" s="1">
        <f ca="1">IFERROR(__xludf.DUMMYFUNCTION("""COMPUTED_VALUE"""),7)</f>
        <v>7</v>
      </c>
      <c r="K1084" s="1" t="str">
        <f ca="1">IFERROR(__xludf.DUMMYFUNCTION("""COMPUTED_VALUE"""),"Fully Remote with Options to travel as and when needed")</f>
        <v>Fully Remote with Options to travel as and when needed</v>
      </c>
      <c r="L1084" s="1" t="str">
        <f ca="1">IFERROR(__xludf.DUMMYFUNCTION("""COMPUTED_VALUE"""),"Employer who rewards learning and enables that environment")</f>
        <v>Employer who rewards learning and enables that environment</v>
      </c>
      <c r="M1084" s="1" t="str">
        <f ca="1">IFERROR(__xludf.DUMMYFUNCTION("""COMPUTED_VALUE"""),"Instructor or Expert Learning Programs, Learning by observing others, Manager Teaching you")</f>
        <v>Instructor or Expert Learning Programs, Learning by observing others, Manager Teaching you</v>
      </c>
      <c r="N1084" s="1" t="str">
        <f ca="1">IFERROR(__xludf.DUMMYFUNCTION("""COMPUTED_VALUE"""),"Work as a freelancer and do my thing my way, Become a content Creator in some platform, Entrepreneur or Start Up, An Artificial Intelligence Specialist / Talking to Robots")</f>
        <v>Work as a freelancer and do my thing my way, Become a content Creator in some platform, Entrepreneur or Start Up, An Artificial Intelligence Specialist / Talking to Robots</v>
      </c>
      <c r="O1084" s="1" t="str">
        <f ca="1">IFERROR(__xludf.DUMMYFUNCTION("""COMPUTED_VALUE"""),"Manager who explains what is expected, sets a goal and helps achieve it")</f>
        <v>Manager who explains what is expected, sets a goal and helps achieve it</v>
      </c>
      <c r="P1084" s="1" t="str">
        <f ca="1">IFERROR(__xludf.DUMMYFUNCTION("""COMPUTED_VALUE"""),"Work with 5 to 6 people in my team")</f>
        <v>Work with 5 to 6 people in my team</v>
      </c>
      <c r="Q1084" s="1"/>
    </row>
    <row r="1085" spans="1:17" ht="13.2" x14ac:dyDescent="0.25">
      <c r="A1085" s="2">
        <f ca="1">IFERROR(__xludf.DUMMYFUNCTION("""COMPUTED_VALUE"""),45043.9689180671)</f>
        <v>45043.968918067098</v>
      </c>
      <c r="B1085" s="1" t="str">
        <f ca="1">IFERROR(__xludf.DUMMYFUNCTION("""COMPUTED_VALUE"""),"India")</f>
        <v>India</v>
      </c>
      <c r="C1085" s="1">
        <f ca="1">IFERROR(__xludf.DUMMYFUNCTION("""COMPUTED_VALUE"""),493221)</f>
        <v>493221</v>
      </c>
      <c r="D1085" s="3" t="str">
        <f ca="1">IFERROR(__xludf.DUMMYFUNCTION("""COMPUTED_VALUE"""),"Male")</f>
        <v>Male</v>
      </c>
      <c r="E1085" s="1" t="str">
        <f ca="1">IFERROR(__xludf.DUMMYFUNCTION("""COMPUTED_VALUE"""),"People who have changed the world for better")</f>
        <v>People who have changed the world for better</v>
      </c>
      <c r="F1085" s="1" t="str">
        <f ca="1">IFERROR(__xludf.DUMMYFUNCTION("""COMPUTED_VALUE"""),"No, But if someone could bare the cost I will")</f>
        <v>No, But if someone could bare the cost I will</v>
      </c>
      <c r="G1085" s="1" t="str">
        <f ca="1">IFERROR(__xludf.DUMMYFUNCTION("""COMPUTED_VALUE"""),"This will be hard to do, but if it is the right company I would try")</f>
        <v>This will be hard to do, but if it is the right company I would try</v>
      </c>
      <c r="H1085" s="1" t="str">
        <f ca="1">IFERROR(__xludf.DUMMYFUNCTION("""COMPUTED_VALUE"""),"No")</f>
        <v>No</v>
      </c>
      <c r="I1085" s="1" t="str">
        <f ca="1">IFERROR(__xludf.DUMMYFUNCTION("""COMPUTED_VALUE"""),"Will NOT work for them")</f>
        <v>Will NOT work for them</v>
      </c>
      <c r="J1085" s="1">
        <f ca="1">IFERROR(__xludf.DUMMYFUNCTION("""COMPUTED_VALUE"""),3)</f>
        <v>3</v>
      </c>
      <c r="K1085" s="1" t="str">
        <f ca="1">IFERROR(__xludf.DUMMYFUNCTION("""COMPUTED_VALUE"""),"Fully Remote with Options to travel as and when needed")</f>
        <v>Fully Remote with Options to travel as and when needed</v>
      </c>
      <c r="L1085" s="1" t="str">
        <f ca="1">IFERROR(__xludf.DUMMYFUNCTION("""COMPUTED_VALUE"""),"Employer who pushes your limits by enabling an learning environment, and rewards you at the end")</f>
        <v>Employer who pushes your limits by enabling an learning environment, and rewards you at the end</v>
      </c>
      <c r="M108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85"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85" s="1" t="str">
        <f ca="1">IFERROR(__xludf.DUMMYFUNCTION("""COMPUTED_VALUE"""),"Manager who clearly describes what she/he needs")</f>
        <v>Manager who clearly describes what she/he needs</v>
      </c>
      <c r="P1085" s="1" t="str">
        <f ca="1">IFERROR(__xludf.DUMMYFUNCTION("""COMPUTED_VALUE"""),"Work with 2 to 3 people in my team, Work with 5 to 6 people in my team")</f>
        <v>Work with 2 to 3 people in my team, Work with 5 to 6 people in my team</v>
      </c>
      <c r="Q1085" s="1"/>
    </row>
    <row r="1086" spans="1:17" ht="13.2" x14ac:dyDescent="0.25">
      <c r="A1086" s="2">
        <f ca="1">IFERROR(__xludf.DUMMYFUNCTION("""COMPUTED_VALUE"""),45043.9697812963)</f>
        <v>45043.969781296299</v>
      </c>
      <c r="B1086" s="1" t="str">
        <f ca="1">IFERROR(__xludf.DUMMYFUNCTION("""COMPUTED_VALUE"""),"India")</f>
        <v>India</v>
      </c>
      <c r="C1086" s="1">
        <f ca="1">IFERROR(__xludf.DUMMYFUNCTION("""COMPUTED_VALUE"""),520003)</f>
        <v>520003</v>
      </c>
      <c r="D1086" s="3" t="str">
        <f ca="1">IFERROR(__xludf.DUMMYFUNCTION("""COMPUTED_VALUE"""),"Male")</f>
        <v>Male</v>
      </c>
      <c r="E1086" s="1" t="str">
        <f ca="1">IFERROR(__xludf.DUMMYFUNCTION("""COMPUTED_VALUE"""),"Influencers who had successful careers")</f>
        <v>Influencers who had successful careers</v>
      </c>
      <c r="F1086" s="1" t="str">
        <f ca="1">IFERROR(__xludf.DUMMYFUNCTION("""COMPUTED_VALUE"""),"No, But if someone could bare the cost I will")</f>
        <v>No, But if someone could bare the cost I will</v>
      </c>
      <c r="G1086" s="1" t="str">
        <f ca="1">IFERROR(__xludf.DUMMYFUNCTION("""COMPUTED_VALUE"""),"This will be hard to do, but if it is the right company I would try")</f>
        <v>This will be hard to do, but if it is the right company I would try</v>
      </c>
      <c r="H1086" s="1" t="str">
        <f ca="1">IFERROR(__xludf.DUMMYFUNCTION("""COMPUTED_VALUE"""),"No")</f>
        <v>No</v>
      </c>
      <c r="I1086" s="1" t="str">
        <f ca="1">IFERROR(__xludf.DUMMYFUNCTION("""COMPUTED_VALUE"""),"Will NOT work for them")</f>
        <v>Will NOT work for them</v>
      </c>
      <c r="J1086" s="1">
        <f ca="1">IFERROR(__xludf.DUMMYFUNCTION("""COMPUTED_VALUE"""),8)</f>
        <v>8</v>
      </c>
      <c r="K1086" s="1" t="str">
        <f ca="1">IFERROR(__xludf.DUMMYFUNCTION("""COMPUTED_VALUE"""),"Hybrid Working Environment with more than 15 days a month at office")</f>
        <v>Hybrid Working Environment with more than 15 days a month at office</v>
      </c>
      <c r="L1086" s="1" t="str">
        <f ca="1">IFERROR(__xludf.DUMMYFUNCTION("""COMPUTED_VALUE"""),"Employer who appreciates learning and enables that environment")</f>
        <v>Employer who appreciates learning and enables that environment</v>
      </c>
      <c r="M1086"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08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86" s="1" t="str">
        <f ca="1">IFERROR(__xludf.DUMMYFUNCTION("""COMPUTED_VALUE"""),"Manager who sets goal and helps me achieve it")</f>
        <v>Manager who sets goal and helps me achieve it</v>
      </c>
      <c r="P108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086" s="1"/>
    </row>
    <row r="1087" spans="1:17" ht="13.2" x14ac:dyDescent="0.25">
      <c r="A1087" s="2">
        <f ca="1">IFERROR(__xludf.DUMMYFUNCTION("""COMPUTED_VALUE"""),45043.970007905)</f>
        <v>45043.970007905002</v>
      </c>
      <c r="B1087" s="1" t="str">
        <f ca="1">IFERROR(__xludf.DUMMYFUNCTION("""COMPUTED_VALUE"""),"India")</f>
        <v>India</v>
      </c>
      <c r="C1087" s="1">
        <f ca="1">IFERROR(__xludf.DUMMYFUNCTION("""COMPUTED_VALUE"""),560103)</f>
        <v>560103</v>
      </c>
      <c r="D1087" s="3" t="str">
        <f ca="1">IFERROR(__xludf.DUMMYFUNCTION("""COMPUTED_VALUE"""),"Male")</f>
        <v>Male</v>
      </c>
      <c r="E1087" s="1" t="str">
        <f ca="1">IFERROR(__xludf.DUMMYFUNCTION("""COMPUTED_VALUE"""),"People who have changed the world for better")</f>
        <v>People who have changed the world for better</v>
      </c>
      <c r="F1087" s="1" t="str">
        <f ca="1">IFERROR(__xludf.DUMMYFUNCTION("""COMPUTED_VALUE"""),"No, But if someone could bare the cost I will")</f>
        <v>No, But if someone could bare the cost I will</v>
      </c>
      <c r="G1087" s="1" t="str">
        <f ca="1">IFERROR(__xludf.DUMMYFUNCTION("""COMPUTED_VALUE"""),"Will work for 3 years or more")</f>
        <v>Will work for 3 years or more</v>
      </c>
      <c r="H1087" s="1" t="str">
        <f ca="1">IFERROR(__xludf.DUMMYFUNCTION("""COMPUTED_VALUE"""),"No")</f>
        <v>No</v>
      </c>
      <c r="I1087" s="1" t="str">
        <f ca="1">IFERROR(__xludf.DUMMYFUNCTION("""COMPUTED_VALUE"""),"Will NOT work for them")</f>
        <v>Will NOT work for them</v>
      </c>
      <c r="J1087" s="1">
        <f ca="1">IFERROR(__xludf.DUMMYFUNCTION("""COMPUTED_VALUE"""),1)</f>
        <v>1</v>
      </c>
      <c r="K1087" s="1" t="str">
        <f ca="1">IFERROR(__xludf.DUMMYFUNCTION("""COMPUTED_VALUE"""),"Fully Remote with Options to travel as and when needed")</f>
        <v>Fully Remote with Options to travel as and when needed</v>
      </c>
      <c r="L1087" s="1" t="str">
        <f ca="1">IFERROR(__xludf.DUMMYFUNCTION("""COMPUTED_VALUE"""),"Employer who pushes your limits by enabling an learning environment, and rewards you at the end")</f>
        <v>Employer who pushes your limits by enabling an learning environment, and rewards you at the end</v>
      </c>
      <c r="M108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8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87" s="1" t="str">
        <f ca="1">IFERROR(__xludf.DUMMYFUNCTION("""COMPUTED_VALUE"""),"Manager who explains what is expected, sets a goal and helps achieve it")</f>
        <v>Manager who explains what is expected, sets a goal and helps achieve it</v>
      </c>
      <c r="P1087" s="1" t="str">
        <f ca="1">IFERROR(__xludf.DUMMYFUNCTION("""COMPUTED_VALUE"""),"Work with 7 to 10 or more people in my team, Work with more than 10 people in my team")</f>
        <v>Work with 7 to 10 or more people in my team, Work with more than 10 people in my team</v>
      </c>
      <c r="Q1087" s="1"/>
    </row>
    <row r="1088" spans="1:17" ht="13.2" x14ac:dyDescent="0.25">
      <c r="A1088" s="2">
        <f ca="1">IFERROR(__xludf.DUMMYFUNCTION("""COMPUTED_VALUE"""),45043.9701072222)</f>
        <v>45043.970107222201</v>
      </c>
      <c r="B1088" s="1" t="str">
        <f ca="1">IFERROR(__xludf.DUMMYFUNCTION("""COMPUTED_VALUE"""),"India")</f>
        <v>India</v>
      </c>
      <c r="C1088" s="1">
        <f ca="1">IFERROR(__xludf.DUMMYFUNCTION("""COMPUTED_VALUE"""),176215)</f>
        <v>176215</v>
      </c>
      <c r="D1088" s="3" t="str">
        <f ca="1">IFERROR(__xludf.DUMMYFUNCTION("""COMPUTED_VALUE"""),"Female")</f>
        <v>Female</v>
      </c>
      <c r="E1088" s="1" t="str">
        <f ca="1">IFERROR(__xludf.DUMMYFUNCTION("""COMPUTED_VALUE"""),"My Parents")</f>
        <v>My Parents</v>
      </c>
      <c r="F1088" s="1" t="str">
        <f ca="1">IFERROR(__xludf.DUMMYFUNCTION("""COMPUTED_VALUE"""),"Yes, I will earn and do that")</f>
        <v>Yes, I will earn and do that</v>
      </c>
      <c r="G1088" s="1" t="str">
        <f ca="1">IFERROR(__xludf.DUMMYFUNCTION("""COMPUTED_VALUE"""),"This will be hard to do, but if it is the right company I would try")</f>
        <v>This will be hard to do, but if it is the right company I would try</v>
      </c>
      <c r="H1088" s="1" t="str">
        <f ca="1">IFERROR(__xludf.DUMMYFUNCTION("""COMPUTED_VALUE"""),"No")</f>
        <v>No</v>
      </c>
      <c r="I1088" s="1" t="str">
        <f ca="1">IFERROR(__xludf.DUMMYFUNCTION("""COMPUTED_VALUE"""),"Will work for them")</f>
        <v>Will work for them</v>
      </c>
      <c r="J1088" s="1">
        <f ca="1">IFERROR(__xludf.DUMMYFUNCTION("""COMPUTED_VALUE"""),5)</f>
        <v>5</v>
      </c>
      <c r="K1088" s="1" t="str">
        <f ca="1">IFERROR(__xludf.DUMMYFUNCTION("""COMPUTED_VALUE"""),"Hybrid Working Environment with more than 15 days a month at office")</f>
        <v>Hybrid Working Environment with more than 15 days a month at office</v>
      </c>
      <c r="L1088" s="1" t="str">
        <f ca="1">IFERROR(__xludf.DUMMYFUNCTION("""COMPUTED_VALUE"""),"Employer who appreciates learning and enables that environment")</f>
        <v>Employer who appreciates learning and enables that environment</v>
      </c>
      <c r="M108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88"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088" s="1" t="str">
        <f ca="1">IFERROR(__xludf.DUMMYFUNCTION("""COMPUTED_VALUE"""),"Manager who clearly describes what she/he needs")</f>
        <v>Manager who clearly describes what she/he needs</v>
      </c>
      <c r="P1088" s="1" t="str">
        <f ca="1">IFERROR(__xludf.DUMMYFUNCTION("""COMPUTED_VALUE"""),"Work with 2 to 3 people in my team")</f>
        <v>Work with 2 to 3 people in my team</v>
      </c>
      <c r="Q1088" s="1"/>
    </row>
    <row r="1089" spans="1:17" ht="13.2" x14ac:dyDescent="0.25">
      <c r="A1089" s="2">
        <f ca="1">IFERROR(__xludf.DUMMYFUNCTION("""COMPUTED_VALUE"""),45043.9709004166)</f>
        <v>45043.9709004166</v>
      </c>
      <c r="B1089" s="1" t="str">
        <f ca="1">IFERROR(__xludf.DUMMYFUNCTION("""COMPUTED_VALUE"""),"India")</f>
        <v>India</v>
      </c>
      <c r="C1089" s="1">
        <f ca="1">IFERROR(__xludf.DUMMYFUNCTION("""COMPUTED_VALUE"""),611001)</f>
        <v>611001</v>
      </c>
      <c r="D1089" s="3" t="str">
        <f ca="1">IFERROR(__xludf.DUMMYFUNCTION("""COMPUTED_VALUE"""),"Male")</f>
        <v>Male</v>
      </c>
      <c r="E1089" s="1" t="str">
        <f ca="1">IFERROR(__xludf.DUMMYFUNCTION("""COMPUTED_VALUE"""),"My Parents")</f>
        <v>My Parents</v>
      </c>
      <c r="F1089" s="1" t="str">
        <f ca="1">IFERROR(__xludf.DUMMYFUNCTION("""COMPUTED_VALUE"""),"Yes, I will earn and do that")</f>
        <v>Yes, I will earn and do that</v>
      </c>
      <c r="G1089" s="1" t="str">
        <f ca="1">IFERROR(__xludf.DUMMYFUNCTION("""COMPUTED_VALUE"""),"Will work for 3 years or more")</f>
        <v>Will work for 3 years or more</v>
      </c>
      <c r="H1089" s="1" t="str">
        <f ca="1">IFERROR(__xludf.DUMMYFUNCTION("""COMPUTED_VALUE"""),"No")</f>
        <v>No</v>
      </c>
      <c r="I1089" s="1" t="str">
        <f ca="1">IFERROR(__xludf.DUMMYFUNCTION("""COMPUTED_VALUE"""),"Will NOT work for them")</f>
        <v>Will NOT work for them</v>
      </c>
      <c r="J1089" s="1">
        <f ca="1">IFERROR(__xludf.DUMMYFUNCTION("""COMPUTED_VALUE"""),1)</f>
        <v>1</v>
      </c>
      <c r="K1089" s="1" t="str">
        <f ca="1">IFERROR(__xludf.DUMMYFUNCTION("""COMPUTED_VALUE"""),"Every Day Office Environment")</f>
        <v>Every Day Office Environment</v>
      </c>
      <c r="L1089" s="1" t="str">
        <f ca="1">IFERROR(__xludf.DUMMYFUNCTION("""COMPUTED_VALUE"""),"Employer who rewards learning and enables that environment")</f>
        <v>Employer who rewards learning and enables that environment</v>
      </c>
      <c r="M1089"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89"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89" s="1" t="str">
        <f ca="1">IFERROR(__xludf.DUMMYFUNCTION("""COMPUTED_VALUE"""),"Manager who explains what is expected, sets a goal and helps achieve it")</f>
        <v>Manager who explains what is expected, sets a goal and helps achieve it</v>
      </c>
      <c r="P1089" s="1" t="str">
        <f ca="1">IFERROR(__xludf.DUMMYFUNCTION("""COMPUTED_VALUE"""),"Work with more than 10 people in my team")</f>
        <v>Work with more than 10 people in my team</v>
      </c>
      <c r="Q1089" s="1"/>
    </row>
    <row r="1090" spans="1:17" ht="13.2" x14ac:dyDescent="0.25">
      <c r="A1090" s="2">
        <f ca="1">IFERROR(__xludf.DUMMYFUNCTION("""COMPUTED_VALUE"""),45043.971775625)</f>
        <v>45043.971775625003</v>
      </c>
      <c r="B1090" s="1" t="str">
        <f ca="1">IFERROR(__xludf.DUMMYFUNCTION("""COMPUTED_VALUE"""),"India")</f>
        <v>India</v>
      </c>
      <c r="C1090" s="1">
        <f ca="1">IFERROR(__xludf.DUMMYFUNCTION("""COMPUTED_VALUE"""),603103)</f>
        <v>603103</v>
      </c>
      <c r="D1090" s="3" t="str">
        <f ca="1">IFERROR(__xludf.DUMMYFUNCTION("""COMPUTED_VALUE"""),"Female")</f>
        <v>Female</v>
      </c>
      <c r="E1090" s="1" t="str">
        <f ca="1">IFERROR(__xludf.DUMMYFUNCTION("""COMPUTED_VALUE"""),"People who have changed the world for better")</f>
        <v>People who have changed the world for better</v>
      </c>
      <c r="F1090" s="1" t="str">
        <f ca="1">IFERROR(__xludf.DUMMYFUNCTION("""COMPUTED_VALUE"""),"Yes, I will earn and do that")</f>
        <v>Yes, I will earn and do that</v>
      </c>
      <c r="G1090" s="1" t="str">
        <f ca="1">IFERROR(__xludf.DUMMYFUNCTION("""COMPUTED_VALUE"""),"Will work for 3 years or more")</f>
        <v>Will work for 3 years or more</v>
      </c>
      <c r="H1090" s="1" t="str">
        <f ca="1">IFERROR(__xludf.DUMMYFUNCTION("""COMPUTED_VALUE"""),"No")</f>
        <v>No</v>
      </c>
      <c r="I1090" s="1" t="str">
        <f ca="1">IFERROR(__xludf.DUMMYFUNCTION("""COMPUTED_VALUE"""),"Will NOT work for them")</f>
        <v>Will NOT work for them</v>
      </c>
      <c r="J1090" s="1">
        <f ca="1">IFERROR(__xludf.DUMMYFUNCTION("""COMPUTED_VALUE"""),5)</f>
        <v>5</v>
      </c>
      <c r="K1090" s="1" t="str">
        <f ca="1">IFERROR(__xludf.DUMMYFUNCTION("""COMPUTED_VALUE"""),"Fully Remote with Options to travel as and when needed")</f>
        <v>Fully Remote with Options to travel as and when needed</v>
      </c>
      <c r="L1090" s="1" t="str">
        <f ca="1">IFERROR(__xludf.DUMMYFUNCTION("""COMPUTED_VALUE"""),"Employer who pushes your limits by enabling an learning environment, and rewards you at the end")</f>
        <v>Employer who pushes your limits by enabling an learning environment, and rewards you at the end</v>
      </c>
      <c r="M109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90" s="1" t="str">
        <f ca="1">IFERROR(__xludf.DUMMYFUNCTION("""COMPUTED_VALUE"""),"Business Operations in any organization, Build and develop a Team, Become a content Creator in some platform, Entrepreneur or Start Up")</f>
        <v>Business Operations in any organization, Build and develop a Team, Become a content Creator in some platform, Entrepreneur or Start Up</v>
      </c>
      <c r="O1090" s="1" t="str">
        <f ca="1">IFERROR(__xludf.DUMMYFUNCTION("""COMPUTED_VALUE"""),"Manager who sets goal and helps me achieve it")</f>
        <v>Manager who sets goal and helps me achieve it</v>
      </c>
      <c r="P1090" s="1" t="str">
        <f ca="1">IFERROR(__xludf.DUMMYFUNCTION("""COMPUTED_VALUE"""),"Work with 5 to 6 people in my team")</f>
        <v>Work with 5 to 6 people in my team</v>
      </c>
      <c r="Q1090" s="1"/>
    </row>
    <row r="1091" spans="1:17" ht="13.2" x14ac:dyDescent="0.25">
      <c r="A1091" s="2">
        <f ca="1">IFERROR(__xludf.DUMMYFUNCTION("""COMPUTED_VALUE"""),45043.9723964699)</f>
        <v>45043.972396469901</v>
      </c>
      <c r="B1091" s="1" t="str">
        <f ca="1">IFERROR(__xludf.DUMMYFUNCTION("""COMPUTED_VALUE"""),"India")</f>
        <v>India</v>
      </c>
      <c r="C1091" s="1">
        <f ca="1">IFERROR(__xludf.DUMMYFUNCTION("""COMPUTED_VALUE"""),492008)</f>
        <v>492008</v>
      </c>
      <c r="D1091" s="3" t="str">
        <f ca="1">IFERROR(__xludf.DUMMYFUNCTION("""COMPUTED_VALUE"""),"Female")</f>
        <v>Female</v>
      </c>
      <c r="E1091" s="1" t="str">
        <f ca="1">IFERROR(__xludf.DUMMYFUNCTION("""COMPUTED_VALUE"""),"Influencers who had successful careers")</f>
        <v>Influencers who had successful careers</v>
      </c>
      <c r="F1091" s="1" t="str">
        <f ca="1">IFERROR(__xludf.DUMMYFUNCTION("""COMPUTED_VALUE"""),"No I would not be pursuing Higher Education outside of India")</f>
        <v>No I would not be pursuing Higher Education outside of India</v>
      </c>
      <c r="G1091" s="1" t="str">
        <f ca="1">IFERROR(__xludf.DUMMYFUNCTION("""COMPUTED_VALUE"""),"This will be hard to do, but if it is the right company I would try")</f>
        <v>This will be hard to do, but if it is the right company I would try</v>
      </c>
      <c r="H1091" s="1" t="str">
        <f ca="1">IFERROR(__xludf.DUMMYFUNCTION("""COMPUTED_VALUE"""),"No")</f>
        <v>No</v>
      </c>
      <c r="I1091" s="1" t="str">
        <f ca="1">IFERROR(__xludf.DUMMYFUNCTION("""COMPUTED_VALUE"""),"Will NOT work for them")</f>
        <v>Will NOT work for them</v>
      </c>
      <c r="J1091" s="1">
        <f ca="1">IFERROR(__xludf.DUMMYFUNCTION("""COMPUTED_VALUE"""),7)</f>
        <v>7</v>
      </c>
      <c r="K1091" s="1" t="str">
        <f ca="1">IFERROR(__xludf.DUMMYFUNCTION("""COMPUTED_VALUE"""),"Hybrid Working Environment with less than 3 days a month at office")</f>
        <v>Hybrid Working Environment with less than 3 days a month at office</v>
      </c>
      <c r="L1091" s="1" t="str">
        <f ca="1">IFERROR(__xludf.DUMMYFUNCTION("""COMPUTED_VALUE"""),"Employer who pushes your limits by enabling an learning environment, and rewards you at the end")</f>
        <v>Employer who pushes your limits by enabling an learning environment, and rewards you at the end</v>
      </c>
      <c r="M109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091" s="1" t="str">
        <f ca="1">IFERROR(__xludf.DUMMYFUNCTION("""COMPUTED_VALUE"""),"Manager who clearly describes what she/he needs")</f>
        <v>Manager who clearly describes what she/he needs</v>
      </c>
      <c r="P1091" s="1" t="str">
        <f ca="1">IFERROR(__xludf.DUMMYFUNCTION("""COMPUTED_VALUE"""),"Work alone")</f>
        <v>Work alone</v>
      </c>
      <c r="Q1091" s="1"/>
    </row>
    <row r="1092" spans="1:17" ht="13.2" x14ac:dyDescent="0.25">
      <c r="A1092" s="2">
        <f ca="1">IFERROR(__xludf.DUMMYFUNCTION("""COMPUTED_VALUE"""),45043.9795642592)</f>
        <v>45043.9795642592</v>
      </c>
      <c r="B1092" s="1" t="str">
        <f ca="1">IFERROR(__xludf.DUMMYFUNCTION("""COMPUTED_VALUE"""),"India")</f>
        <v>India</v>
      </c>
      <c r="C1092" s="1">
        <f ca="1">IFERROR(__xludf.DUMMYFUNCTION("""COMPUTED_VALUE"""),535145)</f>
        <v>535145</v>
      </c>
      <c r="D1092" s="3" t="str">
        <f ca="1">IFERROR(__xludf.DUMMYFUNCTION("""COMPUTED_VALUE"""),"Male")</f>
        <v>Male</v>
      </c>
      <c r="E1092" s="1" t="str">
        <f ca="1">IFERROR(__xludf.DUMMYFUNCTION("""COMPUTED_VALUE"""),"My Parents")</f>
        <v>My Parents</v>
      </c>
      <c r="F1092" s="1" t="str">
        <f ca="1">IFERROR(__xludf.DUMMYFUNCTION("""COMPUTED_VALUE"""),"No I would not be pursuing Higher Education outside of India")</f>
        <v>No I would not be pursuing Higher Education outside of India</v>
      </c>
      <c r="G1092" s="1" t="str">
        <f ca="1">IFERROR(__xludf.DUMMYFUNCTION("""COMPUTED_VALUE"""),"Will work for 3 years or more")</f>
        <v>Will work for 3 years or more</v>
      </c>
      <c r="H1092" s="1" t="str">
        <f ca="1">IFERROR(__xludf.DUMMYFUNCTION("""COMPUTED_VALUE"""),"No")</f>
        <v>No</v>
      </c>
      <c r="I1092" s="1" t="str">
        <f ca="1">IFERROR(__xludf.DUMMYFUNCTION("""COMPUTED_VALUE"""),"Will NOT work for them")</f>
        <v>Will NOT work for them</v>
      </c>
      <c r="J1092" s="1">
        <f ca="1">IFERROR(__xludf.DUMMYFUNCTION("""COMPUTED_VALUE"""),7)</f>
        <v>7</v>
      </c>
      <c r="K1092" s="1" t="str">
        <f ca="1">IFERROR(__xludf.DUMMYFUNCTION("""COMPUTED_VALUE"""),"Hybrid Working Environment with more than 15 days a month at office")</f>
        <v>Hybrid Working Environment with more than 15 days a month at office</v>
      </c>
      <c r="L1092" s="1" t="str">
        <f ca="1">IFERROR(__xludf.DUMMYFUNCTION("""COMPUTED_VALUE"""),"Employer who appreciates learning and enables that environment")</f>
        <v>Employer who appreciates learning and enables that environment</v>
      </c>
      <c r="M10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2" s="1" t="str">
        <f ca="1">IFERROR(__xludf.DUMMYFUNCTION("""COMPUTED_VALUE"""),"Design and Creative strategy in any company, Build and develop a Team, Design and Develop amazing software, I Want to sell things/Sales")</f>
        <v>Design and Creative strategy in any company, Build and develop a Team, Design and Develop amazing software, I Want to sell things/Sales</v>
      </c>
      <c r="O1092" s="1" t="str">
        <f ca="1">IFERROR(__xludf.DUMMYFUNCTION("""COMPUTED_VALUE"""),"Manager who sets targets and expects me to achieve it")</f>
        <v>Manager who sets targets and expects me to achieve it</v>
      </c>
      <c r="P1092" s="1" t="str">
        <f ca="1">IFERROR(__xludf.DUMMYFUNCTION("""COMPUTED_VALUE"""),"Work with 2 to 3 people in my team")</f>
        <v>Work with 2 to 3 people in my team</v>
      </c>
      <c r="Q1092" s="1"/>
    </row>
    <row r="1093" spans="1:17" ht="13.2" x14ac:dyDescent="0.25">
      <c r="A1093" s="2">
        <f ca="1">IFERROR(__xludf.DUMMYFUNCTION("""COMPUTED_VALUE"""),45043.9799024768)</f>
        <v>45043.9799024768</v>
      </c>
      <c r="B1093" s="1" t="str">
        <f ca="1">IFERROR(__xludf.DUMMYFUNCTION("""COMPUTED_VALUE"""),"India")</f>
        <v>India</v>
      </c>
      <c r="C1093" s="1">
        <f ca="1">IFERROR(__xludf.DUMMYFUNCTION("""COMPUTED_VALUE"""),535003)</f>
        <v>535003</v>
      </c>
      <c r="D1093" s="3" t="str">
        <f ca="1">IFERROR(__xludf.DUMMYFUNCTION("""COMPUTED_VALUE"""),"Female")</f>
        <v>Female</v>
      </c>
      <c r="E1093" s="1" t="str">
        <f ca="1">IFERROR(__xludf.DUMMYFUNCTION("""COMPUTED_VALUE"""),"People who have changed the world for better")</f>
        <v>People who have changed the world for better</v>
      </c>
      <c r="F1093" s="1" t="str">
        <f ca="1">IFERROR(__xludf.DUMMYFUNCTION("""COMPUTED_VALUE"""),"No I would not be pursuing Higher Education outside of India")</f>
        <v>No I would not be pursuing Higher Education outside of India</v>
      </c>
      <c r="G1093" s="1" t="str">
        <f ca="1">IFERROR(__xludf.DUMMYFUNCTION("""COMPUTED_VALUE"""),"This will be hard to do, but if it is the right company I would try")</f>
        <v>This will be hard to do, but if it is the right company I would try</v>
      </c>
      <c r="H1093" s="1" t="str">
        <f ca="1">IFERROR(__xludf.DUMMYFUNCTION("""COMPUTED_VALUE"""),"Yes")</f>
        <v>Yes</v>
      </c>
      <c r="I1093" s="1" t="str">
        <f ca="1">IFERROR(__xludf.DUMMYFUNCTION("""COMPUTED_VALUE"""),"Will work for them")</f>
        <v>Will work for them</v>
      </c>
      <c r="J1093" s="1">
        <f ca="1">IFERROR(__xludf.DUMMYFUNCTION("""COMPUTED_VALUE"""),5)</f>
        <v>5</v>
      </c>
      <c r="K1093" s="1" t="str">
        <f ca="1">IFERROR(__xludf.DUMMYFUNCTION("""COMPUTED_VALUE"""),"Fully Remote with Options to travel as and when needed")</f>
        <v>Fully Remote with Options to travel as and when needed</v>
      </c>
      <c r="L1093" s="1" t="str">
        <f ca="1">IFERROR(__xludf.DUMMYFUNCTION("""COMPUTED_VALUE"""),"Employer who pushes your limits by enabling an learning environment, and rewards you at the end")</f>
        <v>Employer who pushes your limits by enabling an learning environment, and rewards you at the end</v>
      </c>
      <c r="M109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93"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93" s="1" t="str">
        <f ca="1">IFERROR(__xludf.DUMMYFUNCTION("""COMPUTED_VALUE"""),"Manager who explains what is expected, sets a goal and helps achieve it")</f>
        <v>Manager who explains what is expected, sets a goal and helps achieve it</v>
      </c>
      <c r="P1093" s="1" t="str">
        <f ca="1">IFERROR(__xludf.DUMMYFUNCTION("""COMPUTED_VALUE"""),"Work with 7 to 10 or more people in my team, Work with more than 10 people in my team")</f>
        <v>Work with 7 to 10 or more people in my team, Work with more than 10 people in my team</v>
      </c>
      <c r="Q1093" s="1"/>
    </row>
    <row r="1094" spans="1:17" ht="13.2" x14ac:dyDescent="0.25">
      <c r="A1094" s="2">
        <f ca="1">IFERROR(__xludf.DUMMYFUNCTION("""COMPUTED_VALUE"""),45043.980799699)</f>
        <v>45043.980799698998</v>
      </c>
      <c r="B1094" s="1" t="str">
        <f ca="1">IFERROR(__xludf.DUMMYFUNCTION("""COMPUTED_VALUE"""),"India")</f>
        <v>India</v>
      </c>
      <c r="C1094" s="1">
        <f ca="1">IFERROR(__xludf.DUMMYFUNCTION("""COMPUTED_VALUE"""),502279)</f>
        <v>502279</v>
      </c>
      <c r="D1094" s="3" t="str">
        <f ca="1">IFERROR(__xludf.DUMMYFUNCTION("""COMPUTED_VALUE"""),"Female")</f>
        <v>Female</v>
      </c>
      <c r="E1094" s="1" t="str">
        <f ca="1">IFERROR(__xludf.DUMMYFUNCTION("""COMPUTED_VALUE"""),"People who have changed the world for better")</f>
        <v>People who have changed the world for better</v>
      </c>
      <c r="F1094" s="1" t="str">
        <f ca="1">IFERROR(__xludf.DUMMYFUNCTION("""COMPUTED_VALUE"""),"Yes, I will earn and do that")</f>
        <v>Yes, I will earn and do that</v>
      </c>
      <c r="G1094" s="1" t="str">
        <f ca="1">IFERROR(__xludf.DUMMYFUNCTION("""COMPUTED_VALUE"""),"Will work for 3 years or more")</f>
        <v>Will work for 3 years or more</v>
      </c>
      <c r="H1094" s="1" t="str">
        <f ca="1">IFERROR(__xludf.DUMMYFUNCTION("""COMPUTED_VALUE"""),"No")</f>
        <v>No</v>
      </c>
      <c r="I1094" s="1" t="str">
        <f ca="1">IFERROR(__xludf.DUMMYFUNCTION("""COMPUTED_VALUE"""),"Will NOT work for them")</f>
        <v>Will NOT work for them</v>
      </c>
      <c r="J1094" s="1">
        <f ca="1">IFERROR(__xludf.DUMMYFUNCTION("""COMPUTED_VALUE"""),7)</f>
        <v>7</v>
      </c>
      <c r="K1094" s="1" t="str">
        <f ca="1">IFERROR(__xludf.DUMMYFUNCTION("""COMPUTED_VALUE"""),"Hybrid Working Environment with more than 15 days a month at office")</f>
        <v>Hybrid Working Environment with more than 15 days a month at office</v>
      </c>
      <c r="L1094" s="1" t="str">
        <f ca="1">IFERROR(__xludf.DUMMYFUNCTION("""COMPUTED_VALUE"""),"Employer who pushes your limits by enabling an learning environment, and rewards you at the end")</f>
        <v>Employer who pushes your limits by enabling an learning environment, and rewards you at the end</v>
      </c>
      <c r="M109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94"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1094" s="1" t="str">
        <f ca="1">IFERROR(__xludf.DUMMYFUNCTION("""COMPUTED_VALUE"""),"Manager who sets goal and helps me achieve it")</f>
        <v>Manager who sets goal and helps me achieve it</v>
      </c>
      <c r="P1094" s="1" t="str">
        <f ca="1">IFERROR(__xludf.DUMMYFUNCTION("""COMPUTED_VALUE"""),"Work with 7 to 10 or more people in my team")</f>
        <v>Work with 7 to 10 or more people in my team</v>
      </c>
      <c r="Q1094" s="1"/>
    </row>
    <row r="1095" spans="1:17" ht="13.2" x14ac:dyDescent="0.25">
      <c r="A1095" s="2">
        <f ca="1">IFERROR(__xludf.DUMMYFUNCTION("""COMPUTED_VALUE"""),45043.9808260069)</f>
        <v>45043.980826006897</v>
      </c>
      <c r="B1095" s="1" t="str">
        <f ca="1">IFERROR(__xludf.DUMMYFUNCTION("""COMPUTED_VALUE"""),"India")</f>
        <v>India</v>
      </c>
      <c r="C1095" s="1">
        <f ca="1">IFERROR(__xludf.DUMMYFUNCTION("""COMPUTED_VALUE"""),500075)</f>
        <v>500075</v>
      </c>
      <c r="D1095" s="3" t="str">
        <f ca="1">IFERROR(__xludf.DUMMYFUNCTION("""COMPUTED_VALUE"""),"Female")</f>
        <v>Female</v>
      </c>
      <c r="E1095" s="1" t="str">
        <f ca="1">IFERROR(__xludf.DUMMYFUNCTION("""COMPUTED_VALUE"""),"Influencers who had successful careers")</f>
        <v>Influencers who had successful careers</v>
      </c>
      <c r="F1095" s="1" t="str">
        <f ca="1">IFERROR(__xludf.DUMMYFUNCTION("""COMPUTED_VALUE"""),"No I would not be pursuing Higher Education outside of India")</f>
        <v>No I would not be pursuing Higher Education outside of India</v>
      </c>
      <c r="G1095" s="1" t="str">
        <f ca="1">IFERROR(__xludf.DUMMYFUNCTION("""COMPUTED_VALUE"""),"This will be hard to do, but if it is the right company I would try")</f>
        <v>This will be hard to do, but if it is the right company I would try</v>
      </c>
      <c r="H1095" s="1" t="str">
        <f ca="1">IFERROR(__xludf.DUMMYFUNCTION("""COMPUTED_VALUE"""),"Yes")</f>
        <v>Yes</v>
      </c>
      <c r="I1095" s="1" t="str">
        <f ca="1">IFERROR(__xludf.DUMMYFUNCTION("""COMPUTED_VALUE"""),"Will work for them")</f>
        <v>Will work for them</v>
      </c>
      <c r="J1095" s="1">
        <f ca="1">IFERROR(__xludf.DUMMYFUNCTION("""COMPUTED_VALUE"""),3)</f>
        <v>3</v>
      </c>
      <c r="K1095" s="1" t="str">
        <f ca="1">IFERROR(__xludf.DUMMYFUNCTION("""COMPUTED_VALUE"""),"Hybrid Working Environment with less than 3 days a month at office")</f>
        <v>Hybrid Working Environment with less than 3 days a month at office</v>
      </c>
      <c r="L1095" s="1" t="str">
        <f ca="1">IFERROR(__xludf.DUMMYFUNCTION("""COMPUTED_VALUE"""),"Employer who appreciates learning and enables that environment")</f>
        <v>Employer who appreciates learning and enables that environment</v>
      </c>
      <c r="M10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9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95" s="1" t="str">
        <f ca="1">IFERROR(__xludf.DUMMYFUNCTION("""COMPUTED_VALUE"""),"Manager who sets targets and expects me to achieve it")</f>
        <v>Manager who sets targets and expects me to achieve it</v>
      </c>
      <c r="P1095" s="1" t="str">
        <f ca="1">IFERROR(__xludf.DUMMYFUNCTION("""COMPUTED_VALUE"""),"Work with 7 to 10 or more people in my team, Work with more than 10 people in my team")</f>
        <v>Work with 7 to 10 or more people in my team, Work with more than 10 people in my team</v>
      </c>
      <c r="Q1095" s="1"/>
    </row>
    <row r="1096" spans="1:17" ht="13.2" x14ac:dyDescent="0.25">
      <c r="A1096" s="2">
        <f ca="1">IFERROR(__xludf.DUMMYFUNCTION("""COMPUTED_VALUE"""),45043.9810652893)</f>
        <v>45043.981065289299</v>
      </c>
      <c r="B1096" s="1" t="str">
        <f ca="1">IFERROR(__xludf.DUMMYFUNCTION("""COMPUTED_VALUE"""),"India")</f>
        <v>India</v>
      </c>
      <c r="C1096" s="1">
        <f ca="1">IFERROR(__xludf.DUMMYFUNCTION("""COMPUTED_VALUE"""),679102)</f>
        <v>679102</v>
      </c>
      <c r="D1096" s="3" t="str">
        <f ca="1">IFERROR(__xludf.DUMMYFUNCTION("""COMPUTED_VALUE"""),"Female")</f>
        <v>Female</v>
      </c>
      <c r="E1096" s="1" t="str">
        <f ca="1">IFERROR(__xludf.DUMMYFUNCTION("""COMPUTED_VALUE"""),"People who have changed the world for better")</f>
        <v>People who have changed the world for better</v>
      </c>
      <c r="F1096" s="1" t="str">
        <f ca="1">IFERROR(__xludf.DUMMYFUNCTION("""COMPUTED_VALUE"""),"No I would not be pursuing Higher Education outside of India")</f>
        <v>No I would not be pursuing Higher Education outside of India</v>
      </c>
      <c r="G1096" s="1" t="str">
        <f ca="1">IFERROR(__xludf.DUMMYFUNCTION("""COMPUTED_VALUE"""),"This will be hard to do, but if it is the right company I would try")</f>
        <v>This will be hard to do, but if it is the right company I would try</v>
      </c>
      <c r="H1096" s="1" t="str">
        <f ca="1">IFERROR(__xludf.DUMMYFUNCTION("""COMPUTED_VALUE"""),"No")</f>
        <v>No</v>
      </c>
      <c r="I1096" s="1" t="str">
        <f ca="1">IFERROR(__xludf.DUMMYFUNCTION("""COMPUTED_VALUE"""),"Will NOT work for them")</f>
        <v>Will NOT work for them</v>
      </c>
      <c r="J1096" s="1">
        <f ca="1">IFERROR(__xludf.DUMMYFUNCTION("""COMPUTED_VALUE"""),1)</f>
        <v>1</v>
      </c>
      <c r="K1096" s="1" t="str">
        <f ca="1">IFERROR(__xludf.DUMMYFUNCTION("""COMPUTED_VALUE"""),"Hybrid Working Environment with less than 3 days a month at office")</f>
        <v>Hybrid Working Environment with less than 3 days a month at office</v>
      </c>
      <c r="L1096" s="1" t="str">
        <f ca="1">IFERROR(__xludf.DUMMYFUNCTION("""COMPUTED_VALUE"""),"Employer who pushes your limits by enabling an learning environment, and rewards you at the end")</f>
        <v>Employer who pushes your limits by enabling an learning environment, and rewards you at the end</v>
      </c>
      <c r="M10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96"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96" s="1" t="str">
        <f ca="1">IFERROR(__xludf.DUMMYFUNCTION("""COMPUTED_VALUE"""),"Manager who explains what is expected, sets a goal and helps achieve it")</f>
        <v>Manager who explains what is expected, sets a goal and helps achieve it</v>
      </c>
      <c r="P1096" s="1" t="str">
        <f ca="1">IFERROR(__xludf.DUMMYFUNCTION("""COMPUTED_VALUE"""),"Work with 2 to 3 people in my team")</f>
        <v>Work with 2 to 3 people in my team</v>
      </c>
      <c r="Q1096" s="1"/>
    </row>
    <row r="1097" spans="1:17" ht="13.2" x14ac:dyDescent="0.25">
      <c r="A1097" s="2">
        <f ca="1">IFERROR(__xludf.DUMMYFUNCTION("""COMPUTED_VALUE"""),45043.9810679745)</f>
        <v>45043.981067974499</v>
      </c>
      <c r="B1097" s="1" t="str">
        <f ca="1">IFERROR(__xludf.DUMMYFUNCTION("""COMPUTED_VALUE"""),"India")</f>
        <v>India</v>
      </c>
      <c r="C1097" s="1">
        <f ca="1">IFERROR(__xludf.DUMMYFUNCTION("""COMPUTED_VALUE"""),533222)</f>
        <v>533222</v>
      </c>
      <c r="D1097" s="3" t="str">
        <f ca="1">IFERROR(__xludf.DUMMYFUNCTION("""COMPUTED_VALUE"""),"Female")</f>
        <v>Female</v>
      </c>
      <c r="E1097" s="1" t="str">
        <f ca="1">IFERROR(__xludf.DUMMYFUNCTION("""COMPUTED_VALUE"""),"My Parents")</f>
        <v>My Parents</v>
      </c>
      <c r="F1097" s="1" t="str">
        <f ca="1">IFERROR(__xludf.DUMMYFUNCTION("""COMPUTED_VALUE"""),"No, But if someone could bare the cost I will")</f>
        <v>No, But if someone could bare the cost I will</v>
      </c>
      <c r="G1097" s="1" t="str">
        <f ca="1">IFERROR(__xludf.DUMMYFUNCTION("""COMPUTED_VALUE"""),"Will work for 3 years or more")</f>
        <v>Will work for 3 years or more</v>
      </c>
      <c r="H1097" s="1" t="str">
        <f ca="1">IFERROR(__xludf.DUMMYFUNCTION("""COMPUTED_VALUE"""),"Yes")</f>
        <v>Yes</v>
      </c>
      <c r="I1097" s="1" t="str">
        <f ca="1">IFERROR(__xludf.DUMMYFUNCTION("""COMPUTED_VALUE"""),"Will NOT work for them")</f>
        <v>Will NOT work for them</v>
      </c>
      <c r="J1097" s="1">
        <f ca="1">IFERROR(__xludf.DUMMYFUNCTION("""COMPUTED_VALUE"""),8)</f>
        <v>8</v>
      </c>
      <c r="K1097" s="1" t="str">
        <f ca="1">IFERROR(__xludf.DUMMYFUNCTION("""COMPUTED_VALUE"""),"Fully Remote with Options to travel as and when needed")</f>
        <v>Fully Remote with Options to travel as and when needed</v>
      </c>
      <c r="L1097" s="1" t="str">
        <f ca="1">IFERROR(__xludf.DUMMYFUNCTION("""COMPUTED_VALUE"""),"Employer who rewards learning and enables that environment")</f>
        <v>Employer who rewards learning and enables that environment</v>
      </c>
      <c r="M1097" s="1" t="str">
        <f ca="1">IFERROR(__xludf.DUMMYFUNCTION("""COMPUTED_VALUE"""),"Instructor or Expert Learning Programs, Learning by observing others, Manager Teaching you")</f>
        <v>Instructor or Expert Learning Programs, Learning by observing others, Manager Teaching you</v>
      </c>
      <c r="N1097" s="1" t="str">
        <f ca="1">IFERROR(__xludf.DUMMYFUNCTION("""COMPUTED_VALUE"""),"Design and Creative strategy in any company, Build and develop a Team, Work as a freelancer and do my thing my way, An Artificial Intelligence Specialist / Talking to Robots")</f>
        <v>Design and Creative strategy in any company, Build and develop a Team, Work as a freelancer and do my thing my way, An Artificial Intelligence Specialist / Talking to Robots</v>
      </c>
      <c r="O1097" s="1" t="str">
        <f ca="1">IFERROR(__xludf.DUMMYFUNCTION("""COMPUTED_VALUE"""),"Manager who explains what is expected, sets a goal and helps achieve it")</f>
        <v>Manager who explains what is expected, sets a goal and helps achieve it</v>
      </c>
      <c r="P109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097" s="1"/>
    </row>
    <row r="1098" spans="1:17" ht="13.2" x14ac:dyDescent="0.25">
      <c r="A1098" s="2">
        <f ca="1">IFERROR(__xludf.DUMMYFUNCTION("""COMPUTED_VALUE"""),45043.9814858449)</f>
        <v>45043.981485844903</v>
      </c>
      <c r="B1098" s="1" t="str">
        <f ca="1">IFERROR(__xludf.DUMMYFUNCTION("""COMPUTED_VALUE"""),"India")</f>
        <v>India</v>
      </c>
      <c r="C1098" s="1">
        <f ca="1">IFERROR(__xludf.DUMMYFUNCTION("""COMPUTED_VALUE"""),768017)</f>
        <v>768017</v>
      </c>
      <c r="D1098" s="3" t="str">
        <f ca="1">IFERROR(__xludf.DUMMYFUNCTION("""COMPUTED_VALUE"""),"Male")</f>
        <v>Male</v>
      </c>
      <c r="E1098" s="1" t="str">
        <f ca="1">IFERROR(__xludf.DUMMYFUNCTION("""COMPUTED_VALUE"""),"People from my circle, but not family members")</f>
        <v>People from my circle, but not family members</v>
      </c>
      <c r="F1098" s="1" t="str">
        <f ca="1">IFERROR(__xludf.DUMMYFUNCTION("""COMPUTED_VALUE"""),"Yes, I will earn and do that")</f>
        <v>Yes, I will earn and do that</v>
      </c>
      <c r="G1098" s="1" t="str">
        <f ca="1">IFERROR(__xludf.DUMMYFUNCTION("""COMPUTED_VALUE"""),"Will work for 3 years or more")</f>
        <v>Will work for 3 years or more</v>
      </c>
      <c r="H1098" s="1" t="str">
        <f ca="1">IFERROR(__xludf.DUMMYFUNCTION("""COMPUTED_VALUE"""),"No")</f>
        <v>No</v>
      </c>
      <c r="I1098" s="1" t="str">
        <f ca="1">IFERROR(__xludf.DUMMYFUNCTION("""COMPUTED_VALUE"""),"Will NOT work for them")</f>
        <v>Will NOT work for them</v>
      </c>
      <c r="J1098" s="1">
        <f ca="1">IFERROR(__xludf.DUMMYFUNCTION("""COMPUTED_VALUE"""),5)</f>
        <v>5</v>
      </c>
      <c r="K1098" s="1" t="str">
        <f ca="1">IFERROR(__xludf.DUMMYFUNCTION("""COMPUTED_VALUE"""),"Fully Remote with Options to travel as and when needed")</f>
        <v>Fully Remote with Options to travel as and when needed</v>
      </c>
      <c r="L1098" s="1" t="str">
        <f ca="1">IFERROR(__xludf.DUMMYFUNCTION("""COMPUTED_VALUE"""),"Employer who rewards learning and enables that environment")</f>
        <v>Employer who rewards learning and enables that environment</v>
      </c>
      <c r="M10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8"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1098" s="1" t="str">
        <f ca="1">IFERROR(__xludf.DUMMYFUNCTION("""COMPUTED_VALUE"""),"Manager who explains what is expected, sets a goal and helps achieve it")</f>
        <v>Manager who explains what is expected, sets a goal and helps achieve it</v>
      </c>
      <c r="P1098" s="1" t="str">
        <f ca="1">IFERROR(__xludf.DUMMYFUNCTION("""COMPUTED_VALUE"""),"Work with 2 to 3 people in my team")</f>
        <v>Work with 2 to 3 people in my team</v>
      </c>
      <c r="Q1098" s="1"/>
    </row>
    <row r="1099" spans="1:17" ht="13.2" x14ac:dyDescent="0.25">
      <c r="A1099" s="2">
        <f ca="1">IFERROR(__xludf.DUMMYFUNCTION("""COMPUTED_VALUE"""),45043.9840046759)</f>
        <v>45043.984004675898</v>
      </c>
      <c r="B1099" s="1" t="str">
        <f ca="1">IFERROR(__xludf.DUMMYFUNCTION("""COMPUTED_VALUE"""),"India")</f>
        <v>India</v>
      </c>
      <c r="C1099" s="1">
        <f ca="1">IFERROR(__xludf.DUMMYFUNCTION("""COMPUTED_VALUE"""),500006)</f>
        <v>500006</v>
      </c>
      <c r="D1099" s="3" t="str">
        <f ca="1">IFERROR(__xludf.DUMMYFUNCTION("""COMPUTED_VALUE"""),"Female")</f>
        <v>Female</v>
      </c>
      <c r="E1099" s="1" t="str">
        <f ca="1">IFERROR(__xludf.DUMMYFUNCTION("""COMPUTED_VALUE"""),"My Parents")</f>
        <v>My Parents</v>
      </c>
      <c r="F1099" s="1" t="str">
        <f ca="1">IFERROR(__xludf.DUMMYFUNCTION("""COMPUTED_VALUE"""),"No I would not be pursuing Higher Education outside of India")</f>
        <v>No I would not be pursuing Higher Education outside of India</v>
      </c>
      <c r="G1099" s="1" t="str">
        <f ca="1">IFERROR(__xludf.DUMMYFUNCTION("""COMPUTED_VALUE"""),"Will work for 3 years or more")</f>
        <v>Will work for 3 years or more</v>
      </c>
      <c r="H1099" s="1" t="str">
        <f ca="1">IFERROR(__xludf.DUMMYFUNCTION("""COMPUTED_VALUE"""),"Yes")</f>
        <v>Yes</v>
      </c>
      <c r="I1099" s="1" t="str">
        <f ca="1">IFERROR(__xludf.DUMMYFUNCTION("""COMPUTED_VALUE"""),"Will NOT work for them")</f>
        <v>Will NOT work for them</v>
      </c>
      <c r="J1099" s="1">
        <f ca="1">IFERROR(__xludf.DUMMYFUNCTION("""COMPUTED_VALUE"""),6)</f>
        <v>6</v>
      </c>
      <c r="K1099" s="1" t="str">
        <f ca="1">IFERROR(__xludf.DUMMYFUNCTION("""COMPUTED_VALUE"""),"Fully Remote with Options to travel as and when needed")</f>
        <v>Fully Remote with Options to travel as and when needed</v>
      </c>
      <c r="L1099" s="1" t="str">
        <f ca="1">IFERROR(__xludf.DUMMYFUNCTION("""COMPUTED_VALUE"""),"Employer who pushes your limits by enabling an learning environment, and rewards you at the end")</f>
        <v>Employer who pushes your limits by enabling an learning environment, and rewards you at the end</v>
      </c>
      <c r="M109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99"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1099" s="1" t="str">
        <f ca="1">IFERROR(__xludf.DUMMYFUNCTION("""COMPUTED_VALUE"""),"Manager who explains what is expected, sets a goal and helps achieve it")</f>
        <v>Manager who explains what is expected, sets a goal and helps achieve it</v>
      </c>
      <c r="P1099" s="1" t="str">
        <f ca="1">IFERROR(__xludf.DUMMYFUNCTION("""COMPUTED_VALUE"""),"Work with 2 to 3 people in my team")</f>
        <v>Work with 2 to 3 people in my team</v>
      </c>
      <c r="Q1099" s="1"/>
    </row>
    <row r="1100" spans="1:17" ht="13.2" x14ac:dyDescent="0.25">
      <c r="A1100" s="2">
        <f ca="1">IFERROR(__xludf.DUMMYFUNCTION("""COMPUTED_VALUE"""),45043.9889055902)</f>
        <v>45043.988905590202</v>
      </c>
      <c r="B1100" s="1" t="str">
        <f ca="1">IFERROR(__xludf.DUMMYFUNCTION("""COMPUTED_VALUE"""),"India")</f>
        <v>India</v>
      </c>
      <c r="C1100" s="1">
        <f ca="1">IFERROR(__xludf.DUMMYFUNCTION("""COMPUTED_VALUE"""),440035)</f>
        <v>440035</v>
      </c>
      <c r="D1100" s="3" t="str">
        <f ca="1">IFERROR(__xludf.DUMMYFUNCTION("""COMPUTED_VALUE"""),"Female")</f>
        <v>Female</v>
      </c>
      <c r="E1100" s="1" t="str">
        <f ca="1">IFERROR(__xludf.DUMMYFUNCTION("""COMPUTED_VALUE"""),"Social Media like LinkedIn")</f>
        <v>Social Media like LinkedIn</v>
      </c>
      <c r="F1100" s="1" t="str">
        <f ca="1">IFERROR(__xludf.DUMMYFUNCTION("""COMPUTED_VALUE"""),"No, But if someone could bare the cost I will")</f>
        <v>No, But if someone could bare the cost I will</v>
      </c>
      <c r="G1100" s="1" t="str">
        <f ca="1">IFERROR(__xludf.DUMMYFUNCTION("""COMPUTED_VALUE"""),"This will be hard to do, but if it is the right company I would try")</f>
        <v>This will be hard to do, but if it is the right company I would try</v>
      </c>
      <c r="H1100" s="1" t="str">
        <f ca="1">IFERROR(__xludf.DUMMYFUNCTION("""COMPUTED_VALUE"""),"No")</f>
        <v>No</v>
      </c>
      <c r="I1100" s="1" t="str">
        <f ca="1">IFERROR(__xludf.DUMMYFUNCTION("""COMPUTED_VALUE"""),"Will NOT work for them")</f>
        <v>Will NOT work for them</v>
      </c>
      <c r="J1100" s="1">
        <f ca="1">IFERROR(__xludf.DUMMYFUNCTION("""COMPUTED_VALUE"""),8)</f>
        <v>8</v>
      </c>
      <c r="K1100" s="1" t="str">
        <f ca="1">IFERROR(__xludf.DUMMYFUNCTION("""COMPUTED_VALUE"""),"Hybrid Working Environment with less than 3 days a month at office")</f>
        <v>Hybrid Working Environment with less than 3 days a month at office</v>
      </c>
      <c r="L1100" s="1" t="str">
        <f ca="1">IFERROR(__xludf.DUMMYFUNCTION("""COMPUTED_VALUE"""),"Employer who pushes your limits by enabling an learning environment, and rewards you at the end")</f>
        <v>Employer who pushes your limits by enabling an learning environment, and rewards you at the end</v>
      </c>
      <c r="M11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00" s="1" t="str">
        <f ca="1">IFERROR(__xludf.DUMMYFUNCTION("""COMPUTED_VALUE"""),"Manager who explains what is expected, sets a goal and helps achieve it")</f>
        <v>Manager who explains what is expected, sets a goal and helps achieve it</v>
      </c>
      <c r="P1100" s="1" t="str">
        <f ca="1">IFERROR(__xludf.DUMMYFUNCTION("""COMPUTED_VALUE"""),"Work with 5 to 6 people in my team")</f>
        <v>Work with 5 to 6 people in my team</v>
      </c>
      <c r="Q1100" s="1"/>
    </row>
    <row r="1101" spans="1:17" ht="13.2" x14ac:dyDescent="0.25">
      <c r="A1101" s="2">
        <f ca="1">IFERROR(__xludf.DUMMYFUNCTION("""COMPUTED_VALUE"""),45043.9896493981)</f>
        <v>45043.9896493981</v>
      </c>
      <c r="B1101" s="1" t="str">
        <f ca="1">IFERROR(__xludf.DUMMYFUNCTION("""COMPUTED_VALUE"""),"India")</f>
        <v>India</v>
      </c>
      <c r="C1101" s="1">
        <f ca="1">IFERROR(__xludf.DUMMYFUNCTION("""COMPUTED_VALUE"""),390023)</f>
        <v>390023</v>
      </c>
      <c r="D1101" s="3" t="str">
        <f ca="1">IFERROR(__xludf.DUMMYFUNCTION("""COMPUTED_VALUE"""),"Male")</f>
        <v>Male</v>
      </c>
      <c r="E1101" s="1" t="str">
        <f ca="1">IFERROR(__xludf.DUMMYFUNCTION("""COMPUTED_VALUE"""),"Influencers who had successful careers")</f>
        <v>Influencers who had successful careers</v>
      </c>
      <c r="F1101" s="1" t="str">
        <f ca="1">IFERROR(__xludf.DUMMYFUNCTION("""COMPUTED_VALUE"""),"No I would not be pursuing Higher Education outside of India")</f>
        <v>No I would not be pursuing Higher Education outside of India</v>
      </c>
      <c r="G1101" s="1" t="str">
        <f ca="1">IFERROR(__xludf.DUMMYFUNCTION("""COMPUTED_VALUE"""),"This will be hard to do, but if it is the right company I would try")</f>
        <v>This will be hard to do, but if it is the right company I would try</v>
      </c>
      <c r="H1101" s="1" t="str">
        <f ca="1">IFERROR(__xludf.DUMMYFUNCTION("""COMPUTED_VALUE"""),"Yes")</f>
        <v>Yes</v>
      </c>
      <c r="I1101" s="1" t="str">
        <f ca="1">IFERROR(__xludf.DUMMYFUNCTION("""COMPUTED_VALUE"""),"Will work for them")</f>
        <v>Will work for them</v>
      </c>
      <c r="J1101" s="1">
        <f ca="1">IFERROR(__xludf.DUMMYFUNCTION("""COMPUTED_VALUE"""),8)</f>
        <v>8</v>
      </c>
      <c r="K1101" s="1" t="str">
        <f ca="1">IFERROR(__xludf.DUMMYFUNCTION("""COMPUTED_VALUE"""),"Hybrid Working Environment with more than 15 days a month at office")</f>
        <v>Hybrid Working Environment with more than 15 days a month at office</v>
      </c>
      <c r="L1101" s="1" t="str">
        <f ca="1">IFERROR(__xludf.DUMMYFUNCTION("""COMPUTED_VALUE"""),"Employer who pushes your limits by enabling an learning environment, and rewards you at the end")</f>
        <v>Employer who pushes your limits by enabling an learning environment, and rewards you at the end</v>
      </c>
      <c r="M11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01"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1101" s="1" t="str">
        <f ca="1">IFERROR(__xludf.DUMMYFUNCTION("""COMPUTED_VALUE"""),"Manager who explains what is expected, sets a goal and helps achieve it")</f>
        <v>Manager who explains what is expected, sets a goal and helps achieve it</v>
      </c>
      <c r="P1101" s="1" t="str">
        <f ca="1">IFERROR(__xludf.DUMMYFUNCTION("""COMPUTED_VALUE"""),"Work alone, Work with 2 to 3 people in my team, Work with 5 to 6 people in my team")</f>
        <v>Work alone, Work with 2 to 3 people in my team, Work with 5 to 6 people in my team</v>
      </c>
      <c r="Q1101" s="1"/>
    </row>
    <row r="1102" spans="1:17" ht="13.2" x14ac:dyDescent="0.25">
      <c r="A1102" s="2">
        <f ca="1">IFERROR(__xludf.DUMMYFUNCTION("""COMPUTED_VALUE"""),45043.992150081)</f>
        <v>45043.992150081001</v>
      </c>
      <c r="B1102" s="1" t="str">
        <f ca="1">IFERROR(__xludf.DUMMYFUNCTION("""COMPUTED_VALUE"""),"India")</f>
        <v>India</v>
      </c>
      <c r="C1102" s="1">
        <f ca="1">IFERROR(__xludf.DUMMYFUNCTION("""COMPUTED_VALUE"""),440024)</f>
        <v>440024</v>
      </c>
      <c r="D1102" s="3" t="str">
        <f ca="1">IFERROR(__xludf.DUMMYFUNCTION("""COMPUTED_VALUE"""),"Male")</f>
        <v>Male</v>
      </c>
      <c r="E1102" s="1" t="str">
        <f ca="1">IFERROR(__xludf.DUMMYFUNCTION("""COMPUTED_VALUE"""),"Social Media like LinkedIn")</f>
        <v>Social Media like LinkedIn</v>
      </c>
      <c r="F1102" s="1" t="str">
        <f ca="1">IFERROR(__xludf.DUMMYFUNCTION("""COMPUTED_VALUE"""),"No I would not be pursuing Higher Education outside of India")</f>
        <v>No I would not be pursuing Higher Education outside of India</v>
      </c>
      <c r="G1102" s="1" t="str">
        <f ca="1">IFERROR(__xludf.DUMMYFUNCTION("""COMPUTED_VALUE"""),"Will work for 3 years or more")</f>
        <v>Will work for 3 years or more</v>
      </c>
      <c r="H1102" s="1" t="str">
        <f ca="1">IFERROR(__xludf.DUMMYFUNCTION("""COMPUTED_VALUE"""),"No")</f>
        <v>No</v>
      </c>
      <c r="I1102" s="1" t="str">
        <f ca="1">IFERROR(__xludf.DUMMYFUNCTION("""COMPUTED_VALUE"""),"Will NOT work for them")</f>
        <v>Will NOT work for them</v>
      </c>
      <c r="J1102" s="1">
        <f ca="1">IFERROR(__xludf.DUMMYFUNCTION("""COMPUTED_VALUE"""),5)</f>
        <v>5</v>
      </c>
      <c r="K1102" s="1" t="str">
        <f ca="1">IFERROR(__xludf.DUMMYFUNCTION("""COMPUTED_VALUE"""),"Fully Remote with Options to travel as and when needed")</f>
        <v>Fully Remote with Options to travel as and when needed</v>
      </c>
      <c r="L1102" s="1" t="str">
        <f ca="1">IFERROR(__xludf.DUMMYFUNCTION("""COMPUTED_VALUE"""),"Employer who rewards learning and enables that environment")</f>
        <v>Employer who rewards learning and enables that environment</v>
      </c>
      <c r="M1102"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102"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1102" s="1" t="str">
        <f ca="1">IFERROR(__xludf.DUMMYFUNCTION("""COMPUTED_VALUE"""),"Manager who explains what is expected, sets a goal and helps achieve it")</f>
        <v>Manager who explains what is expected, sets a goal and helps achieve it</v>
      </c>
      <c r="P1102" s="1" t="str">
        <f ca="1">IFERROR(__xludf.DUMMYFUNCTION("""COMPUTED_VALUE"""),"Work with 2 to 3 people in my team, Work with 5 to 6 people in my team")</f>
        <v>Work with 2 to 3 people in my team, Work with 5 to 6 people in my team</v>
      </c>
      <c r="Q1102" s="1"/>
    </row>
    <row r="1103" spans="1:17" ht="13.2" x14ac:dyDescent="0.25">
      <c r="A1103" s="2">
        <f ca="1">IFERROR(__xludf.DUMMYFUNCTION("""COMPUTED_VALUE"""),45043.9933065625)</f>
        <v>45043.993306562501</v>
      </c>
      <c r="B1103" s="1" t="str">
        <f ca="1">IFERROR(__xludf.DUMMYFUNCTION("""COMPUTED_VALUE"""),"India")</f>
        <v>India</v>
      </c>
      <c r="C1103" s="1">
        <f ca="1">IFERROR(__xludf.DUMMYFUNCTION("""COMPUTED_VALUE"""),509110)</f>
        <v>509110</v>
      </c>
      <c r="D1103" s="3" t="str">
        <f ca="1">IFERROR(__xludf.DUMMYFUNCTION("""COMPUTED_VALUE"""),"Female")</f>
        <v>Female</v>
      </c>
      <c r="E1103" s="1" t="str">
        <f ca="1">IFERROR(__xludf.DUMMYFUNCTION("""COMPUTED_VALUE"""),"My Parents")</f>
        <v>My Parents</v>
      </c>
      <c r="F1103" s="1" t="str">
        <f ca="1">IFERROR(__xludf.DUMMYFUNCTION("""COMPUTED_VALUE"""),"Yes, I will earn and do that")</f>
        <v>Yes, I will earn and do that</v>
      </c>
      <c r="G1103" s="1" t="str">
        <f ca="1">IFERROR(__xludf.DUMMYFUNCTION("""COMPUTED_VALUE"""),"Will work for 3 years or more")</f>
        <v>Will work for 3 years or more</v>
      </c>
      <c r="H1103" s="1" t="str">
        <f ca="1">IFERROR(__xludf.DUMMYFUNCTION("""COMPUTED_VALUE"""),"Yes")</f>
        <v>Yes</v>
      </c>
      <c r="I1103" s="1" t="str">
        <f ca="1">IFERROR(__xludf.DUMMYFUNCTION("""COMPUTED_VALUE"""),"Will work for them")</f>
        <v>Will work for them</v>
      </c>
      <c r="J1103" s="1">
        <f ca="1">IFERROR(__xludf.DUMMYFUNCTION("""COMPUTED_VALUE"""),10)</f>
        <v>10</v>
      </c>
      <c r="K1103" s="1" t="str">
        <f ca="1">IFERROR(__xludf.DUMMYFUNCTION("""COMPUTED_VALUE"""),"Fully Remote with No option to visit offices")</f>
        <v>Fully Remote with No option to visit offices</v>
      </c>
      <c r="L1103" s="1" t="str">
        <f ca="1">IFERROR(__xludf.DUMMYFUNCTION("""COMPUTED_VALUE"""),"Employer who appreciates learning and enables that environment")</f>
        <v>Employer who appreciates learning and enables that environment</v>
      </c>
      <c r="M1103" s="1" t="str">
        <f ca="1">IFERROR(__xludf.DUMMYFUNCTION("""COMPUTED_VALUE"""),"Self Paced Learning Portals of the Company, Instructor or Expert Learning Programs, Manager Teaching you")</f>
        <v>Self Paced Learning Portals of the Company, Instructor or Expert Learning Programs, Manager Teaching you</v>
      </c>
      <c r="N1103"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103" s="1" t="str">
        <f ca="1">IFERROR(__xludf.DUMMYFUNCTION("""COMPUTED_VALUE"""),"Manager who clearly describes what she/he needs")</f>
        <v>Manager who clearly describes what she/he needs</v>
      </c>
      <c r="P1103" s="1" t="str">
        <f ca="1">IFERROR(__xludf.DUMMYFUNCTION("""COMPUTED_VALUE"""),"Work alone")</f>
        <v>Work alone</v>
      </c>
      <c r="Q1103" s="1"/>
    </row>
    <row r="1104" spans="1:17" ht="13.2" x14ac:dyDescent="0.25">
      <c r="A1104" s="2">
        <f ca="1">IFERROR(__xludf.DUMMYFUNCTION("""COMPUTED_VALUE"""),45043.9933990856)</f>
        <v>45043.993399085601</v>
      </c>
      <c r="B1104" s="1" t="str">
        <f ca="1">IFERROR(__xludf.DUMMYFUNCTION("""COMPUTED_VALUE"""),"India")</f>
        <v>India</v>
      </c>
      <c r="C1104" s="1">
        <f ca="1">IFERROR(__xludf.DUMMYFUNCTION("""COMPUTED_VALUE"""),679101)</f>
        <v>679101</v>
      </c>
      <c r="D1104" s="3" t="str">
        <f ca="1">IFERROR(__xludf.DUMMYFUNCTION("""COMPUTED_VALUE"""),"Male")</f>
        <v>Male</v>
      </c>
      <c r="E1104" s="1" t="str">
        <f ca="1">IFERROR(__xludf.DUMMYFUNCTION("""COMPUTED_VALUE"""),"People from my circle, but not family members")</f>
        <v>People from my circle, but not family members</v>
      </c>
      <c r="F1104" s="1" t="str">
        <f ca="1">IFERROR(__xludf.DUMMYFUNCTION("""COMPUTED_VALUE"""),"No, But if someone could bare the cost I will")</f>
        <v>No, But if someone could bare the cost I will</v>
      </c>
      <c r="G1104" s="1" t="str">
        <f ca="1">IFERROR(__xludf.DUMMYFUNCTION("""COMPUTED_VALUE"""),"This will be hard to do, but if it is the right company I would try")</f>
        <v>This will be hard to do, but if it is the right company I would try</v>
      </c>
      <c r="H1104" s="1" t="str">
        <f ca="1">IFERROR(__xludf.DUMMYFUNCTION("""COMPUTED_VALUE"""),"No")</f>
        <v>No</v>
      </c>
      <c r="I1104" s="1" t="str">
        <f ca="1">IFERROR(__xludf.DUMMYFUNCTION("""COMPUTED_VALUE"""),"Will NOT work for them")</f>
        <v>Will NOT work for them</v>
      </c>
      <c r="J1104" s="1">
        <f ca="1">IFERROR(__xludf.DUMMYFUNCTION("""COMPUTED_VALUE"""),5)</f>
        <v>5</v>
      </c>
      <c r="K1104" s="1" t="str">
        <f ca="1">IFERROR(__xludf.DUMMYFUNCTION("""COMPUTED_VALUE"""),"Hybrid Working Environment with more than 15 days a month at office")</f>
        <v>Hybrid Working Environment with more than 15 days a month at office</v>
      </c>
      <c r="L1104" s="1" t="str">
        <f ca="1">IFERROR(__xludf.DUMMYFUNCTION("""COMPUTED_VALUE"""),"Employer who rewards learning and enables that environment")</f>
        <v>Employer who rewards learning and enables that environment</v>
      </c>
      <c r="M11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4"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104" s="1" t="str">
        <f ca="1">IFERROR(__xludf.DUMMYFUNCTION("""COMPUTED_VALUE"""),"Manager who explains what is expected, sets a goal and helps achieve it")</f>
        <v>Manager who explains what is expected, sets a goal and helps achieve it</v>
      </c>
      <c r="P1104" s="1" t="str">
        <f ca="1">IFERROR(__xludf.DUMMYFUNCTION("""COMPUTED_VALUE"""),"Work with 2 to 3 people in my team")</f>
        <v>Work with 2 to 3 people in my team</v>
      </c>
      <c r="Q1104" s="1"/>
    </row>
    <row r="1105" spans="1:17" ht="13.2" x14ac:dyDescent="0.25">
      <c r="A1105" s="2">
        <f ca="1">IFERROR(__xludf.DUMMYFUNCTION("""COMPUTED_VALUE"""),45043.9935000925)</f>
        <v>45043.993500092503</v>
      </c>
      <c r="B1105" s="1" t="str">
        <f ca="1">IFERROR(__xludf.DUMMYFUNCTION("""COMPUTED_VALUE"""),"India")</f>
        <v>India</v>
      </c>
      <c r="C1105" s="1">
        <f ca="1">IFERROR(__xludf.DUMMYFUNCTION("""COMPUTED_VALUE"""),535145)</f>
        <v>535145</v>
      </c>
      <c r="D1105" s="3" t="str">
        <f ca="1">IFERROR(__xludf.DUMMYFUNCTION("""COMPUTED_VALUE"""),"Male")</f>
        <v>Male</v>
      </c>
      <c r="E1105" s="1" t="str">
        <f ca="1">IFERROR(__xludf.DUMMYFUNCTION("""COMPUTED_VALUE"""),"My Parents")</f>
        <v>My Parents</v>
      </c>
      <c r="F1105" s="1" t="str">
        <f ca="1">IFERROR(__xludf.DUMMYFUNCTION("""COMPUTED_VALUE"""),"No I would not be pursuing Higher Education outside of India")</f>
        <v>No I would not be pursuing Higher Education outside of India</v>
      </c>
      <c r="G1105" s="1" t="str">
        <f ca="1">IFERROR(__xludf.DUMMYFUNCTION("""COMPUTED_VALUE"""),"Will work for 3 years or more")</f>
        <v>Will work for 3 years or more</v>
      </c>
      <c r="H1105" s="1" t="str">
        <f ca="1">IFERROR(__xludf.DUMMYFUNCTION("""COMPUTED_VALUE"""),"No")</f>
        <v>No</v>
      </c>
      <c r="I1105" s="1" t="str">
        <f ca="1">IFERROR(__xludf.DUMMYFUNCTION("""COMPUTED_VALUE"""),"Will NOT work for them")</f>
        <v>Will NOT work for them</v>
      </c>
      <c r="J1105" s="1">
        <f ca="1">IFERROR(__xludf.DUMMYFUNCTION("""COMPUTED_VALUE"""),8)</f>
        <v>8</v>
      </c>
      <c r="K1105" s="1" t="str">
        <f ca="1">IFERROR(__xludf.DUMMYFUNCTION("""COMPUTED_VALUE"""),"Hybrid Working Environment with less than 3 days a month at office")</f>
        <v>Hybrid Working Environment with less than 3 days a month at office</v>
      </c>
      <c r="L1105" s="1" t="str">
        <f ca="1">IFERROR(__xludf.DUMMYFUNCTION("""COMPUTED_VALUE"""),"Employer who pushes your limits by enabling an learning environment, and rewards you at the end")</f>
        <v>Employer who pushes your limits by enabling an learning environment, and rewards you at the end</v>
      </c>
      <c r="M110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105" s="1" t="str">
        <f ca="1">IFERROR(__xludf.DUMMYFUNCTION("""COMPUTED_VALUE"""),"Manager who clearly describes what she/he needs")</f>
        <v>Manager who clearly describes what she/he needs</v>
      </c>
      <c r="P1105" s="1" t="str">
        <f ca="1">IFERROR(__xludf.DUMMYFUNCTION("""COMPUTED_VALUE"""),"Work with 5 to 6 people in my team")</f>
        <v>Work with 5 to 6 people in my team</v>
      </c>
      <c r="Q1105" s="1"/>
    </row>
    <row r="1106" spans="1:17" ht="13.2" x14ac:dyDescent="0.25">
      <c r="A1106" s="2">
        <f ca="1">IFERROR(__xludf.DUMMYFUNCTION("""COMPUTED_VALUE"""),45043.9983019444)</f>
        <v>45043.998301944397</v>
      </c>
      <c r="B1106" s="1" t="str">
        <f ca="1">IFERROR(__xludf.DUMMYFUNCTION("""COMPUTED_VALUE"""),"India")</f>
        <v>India</v>
      </c>
      <c r="C1106" s="1">
        <f ca="1">IFERROR(__xludf.DUMMYFUNCTION("""COMPUTED_VALUE"""),440008)</f>
        <v>440008</v>
      </c>
      <c r="D1106" s="3" t="str">
        <f ca="1">IFERROR(__xludf.DUMMYFUNCTION("""COMPUTED_VALUE"""),"Female")</f>
        <v>Female</v>
      </c>
      <c r="E1106" s="1" t="str">
        <f ca="1">IFERROR(__xludf.DUMMYFUNCTION("""COMPUTED_VALUE"""),"People who have changed the world for better")</f>
        <v>People who have changed the world for better</v>
      </c>
      <c r="F1106" s="1" t="str">
        <f ca="1">IFERROR(__xludf.DUMMYFUNCTION("""COMPUTED_VALUE"""),"No I would not be pursuing Higher Education outside of India")</f>
        <v>No I would not be pursuing Higher Education outside of India</v>
      </c>
      <c r="G1106" s="1" t="str">
        <f ca="1">IFERROR(__xludf.DUMMYFUNCTION("""COMPUTED_VALUE"""),"This will be hard to do, but if it is the right company I would try")</f>
        <v>This will be hard to do, but if it is the right company I would try</v>
      </c>
      <c r="H1106" s="1" t="str">
        <f ca="1">IFERROR(__xludf.DUMMYFUNCTION("""COMPUTED_VALUE"""),"No")</f>
        <v>No</v>
      </c>
      <c r="I1106" s="1" t="str">
        <f ca="1">IFERROR(__xludf.DUMMYFUNCTION("""COMPUTED_VALUE"""),"Will NOT work for them")</f>
        <v>Will NOT work for them</v>
      </c>
      <c r="J1106" s="1">
        <f ca="1">IFERROR(__xludf.DUMMYFUNCTION("""COMPUTED_VALUE"""),1)</f>
        <v>1</v>
      </c>
      <c r="K1106" s="1" t="str">
        <f ca="1">IFERROR(__xludf.DUMMYFUNCTION("""COMPUTED_VALUE"""),"Fully Remote with Options to travel as and when needed")</f>
        <v>Fully Remote with Options to travel as and when needed</v>
      </c>
      <c r="L1106" s="1" t="str">
        <f ca="1">IFERROR(__xludf.DUMMYFUNCTION("""COMPUTED_VALUE"""),"Employer who pushes your limits by enabling an learning environment, and rewards you at the end")</f>
        <v>Employer who pushes your limits by enabling an learning environment, and rewards you at the end</v>
      </c>
      <c r="M1106" s="1" t="str">
        <f ca="1">IFERROR(__xludf.DUMMYFUNCTION("""COMPUTED_VALUE"""),"Self Paced Learning Portals of the Company, Instructor or Expert Learning Programs, Manager Teaching you")</f>
        <v>Self Paced Learning Portals of the Company, Instructor or Expert Learning Programs, Manager Teaching you</v>
      </c>
      <c r="N1106" s="1" t="str">
        <f ca="1">IFERROR(__xludf.DUMMYFUNCTION("""COMPUTED_VALUE"""),"Teaching in any of the institutes/colleges/online or offline, Work in a BPO setup for some well known client, Work as a freelancer and do my thing my way, Entrepreneur or Start Up")</f>
        <v>Teaching in any of the institutes/colleges/online or offline, Work in a BPO setup for some well known client, Work as a freelancer and do my thing my way, Entrepreneur or Start Up</v>
      </c>
      <c r="O1106" s="1" t="str">
        <f ca="1">IFERROR(__xludf.DUMMYFUNCTION("""COMPUTED_VALUE"""),"Manager who explains what is expected, sets a goal and helps achieve it")</f>
        <v>Manager who explains what is expected, sets a goal and helps achieve it</v>
      </c>
      <c r="P1106" s="1" t="str">
        <f ca="1">IFERROR(__xludf.DUMMYFUNCTION("""COMPUTED_VALUE"""),"Work with 2 to 3 people in my team")</f>
        <v>Work with 2 to 3 people in my team</v>
      </c>
      <c r="Q1106" s="1"/>
    </row>
    <row r="1107" spans="1:17" ht="13.2" x14ac:dyDescent="0.25">
      <c r="A1107" s="2">
        <f ca="1">IFERROR(__xludf.DUMMYFUNCTION("""COMPUTED_VALUE"""),45043.998483206)</f>
        <v>45043.998483206</v>
      </c>
      <c r="B1107" s="1" t="str">
        <f ca="1">IFERROR(__xludf.DUMMYFUNCTION("""COMPUTED_VALUE"""),"India")</f>
        <v>India</v>
      </c>
      <c r="C1107" s="1">
        <f ca="1">IFERROR(__xludf.DUMMYFUNCTION("""COMPUTED_VALUE"""),500062)</f>
        <v>500062</v>
      </c>
      <c r="D1107" s="3" t="str">
        <f ca="1">IFERROR(__xludf.DUMMYFUNCTION("""COMPUTED_VALUE"""),"Male")</f>
        <v>Male</v>
      </c>
      <c r="E1107" s="1" t="str">
        <f ca="1">IFERROR(__xludf.DUMMYFUNCTION("""COMPUTED_VALUE"""),"My Parents")</f>
        <v>My Parents</v>
      </c>
      <c r="F1107" s="1" t="str">
        <f ca="1">IFERROR(__xludf.DUMMYFUNCTION("""COMPUTED_VALUE"""),"No I would not be pursuing Higher Education outside of India")</f>
        <v>No I would not be pursuing Higher Education outside of India</v>
      </c>
      <c r="G1107" s="1" t="str">
        <f ca="1">IFERROR(__xludf.DUMMYFUNCTION("""COMPUTED_VALUE"""),"Will work for 3 years or more")</f>
        <v>Will work for 3 years or more</v>
      </c>
      <c r="H1107" s="1" t="str">
        <f ca="1">IFERROR(__xludf.DUMMYFUNCTION("""COMPUTED_VALUE"""),"No")</f>
        <v>No</v>
      </c>
      <c r="I1107" s="1" t="str">
        <f ca="1">IFERROR(__xludf.DUMMYFUNCTION("""COMPUTED_VALUE"""),"Will NOT work for them")</f>
        <v>Will NOT work for them</v>
      </c>
      <c r="J1107" s="1">
        <f ca="1">IFERROR(__xludf.DUMMYFUNCTION("""COMPUTED_VALUE"""),1)</f>
        <v>1</v>
      </c>
      <c r="K1107" s="1" t="str">
        <f ca="1">IFERROR(__xludf.DUMMYFUNCTION("""COMPUTED_VALUE"""),"Hybrid Working Environment with more than 15 days a month at office")</f>
        <v>Hybrid Working Environment with more than 15 days a month at office</v>
      </c>
      <c r="L1107" s="1" t="str">
        <f ca="1">IFERROR(__xludf.DUMMYFUNCTION("""COMPUTED_VALUE"""),"Employer who pushes your limits by enabling an learning environment, and rewards you at the end")</f>
        <v>Employer who pushes your limits by enabling an learning environment, and rewards you at the end</v>
      </c>
      <c r="M11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07"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1107" s="1" t="str">
        <f ca="1">IFERROR(__xludf.DUMMYFUNCTION("""COMPUTED_VALUE"""),"Manager who explains what is expected, sets a goal and helps achieve it")</f>
        <v>Manager who explains what is expected, sets a goal and helps achieve it</v>
      </c>
      <c r="P1107" s="1" t="str">
        <f ca="1">IFERROR(__xludf.DUMMYFUNCTION("""COMPUTED_VALUE"""),"Work with more than 10 people in my team")</f>
        <v>Work with more than 10 people in my team</v>
      </c>
      <c r="Q1107" s="1"/>
    </row>
    <row r="1108" spans="1:17" ht="13.2" x14ac:dyDescent="0.25">
      <c r="A1108" s="2">
        <f ca="1">IFERROR(__xludf.DUMMYFUNCTION("""COMPUTED_VALUE"""),45044.0014722569)</f>
        <v>45044.001472256903</v>
      </c>
      <c r="B1108" s="1" t="str">
        <f ca="1">IFERROR(__xludf.DUMMYFUNCTION("""COMPUTED_VALUE"""),"India")</f>
        <v>India</v>
      </c>
      <c r="C1108" s="1">
        <f ca="1">IFERROR(__xludf.DUMMYFUNCTION("""COMPUTED_VALUE"""),679103)</f>
        <v>679103</v>
      </c>
      <c r="D1108" s="3" t="str">
        <f ca="1">IFERROR(__xludf.DUMMYFUNCTION("""COMPUTED_VALUE"""),"Female")</f>
        <v>Female</v>
      </c>
      <c r="E1108" s="1" t="str">
        <f ca="1">IFERROR(__xludf.DUMMYFUNCTION("""COMPUTED_VALUE"""),"Influencers who had successful careers")</f>
        <v>Influencers who had successful careers</v>
      </c>
      <c r="F1108" s="1" t="str">
        <f ca="1">IFERROR(__xludf.DUMMYFUNCTION("""COMPUTED_VALUE"""),"Yes, I will earn and do that")</f>
        <v>Yes, I will earn and do that</v>
      </c>
      <c r="G1108" s="1" t="str">
        <f ca="1">IFERROR(__xludf.DUMMYFUNCTION("""COMPUTED_VALUE"""),"This will be hard to do, but if it is the right company I would try")</f>
        <v>This will be hard to do, but if it is the right company I would try</v>
      </c>
      <c r="H1108" s="1" t="str">
        <f ca="1">IFERROR(__xludf.DUMMYFUNCTION("""COMPUTED_VALUE"""),"No")</f>
        <v>No</v>
      </c>
      <c r="I1108" s="1" t="str">
        <f ca="1">IFERROR(__xludf.DUMMYFUNCTION("""COMPUTED_VALUE"""),"Will NOT work for them")</f>
        <v>Will NOT work for them</v>
      </c>
      <c r="J1108" s="1">
        <f ca="1">IFERROR(__xludf.DUMMYFUNCTION("""COMPUTED_VALUE"""),1)</f>
        <v>1</v>
      </c>
      <c r="K1108" s="1" t="str">
        <f ca="1">IFERROR(__xludf.DUMMYFUNCTION("""COMPUTED_VALUE"""),"Every Day Office Environment")</f>
        <v>Every Day Office Environment</v>
      </c>
      <c r="L1108" s="1" t="str">
        <f ca="1">IFERROR(__xludf.DUMMYFUNCTION("""COMPUTED_VALUE"""),"Employer who appreciates learning and enables that environment")</f>
        <v>Employer who appreciates learning and enables that environment</v>
      </c>
      <c r="M110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08"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108" s="1" t="str">
        <f ca="1">IFERROR(__xludf.DUMMYFUNCTION("""COMPUTED_VALUE"""),"Manager who clearly describes what she/he needs")</f>
        <v>Manager who clearly describes what she/he needs</v>
      </c>
      <c r="P1108" s="1" t="str">
        <f ca="1">IFERROR(__xludf.DUMMYFUNCTION("""COMPUTED_VALUE"""),"Work with 7 to 10 or more people in my team")</f>
        <v>Work with 7 to 10 or more people in my team</v>
      </c>
      <c r="Q1108" s="1"/>
    </row>
    <row r="1109" spans="1:17" ht="13.2" x14ac:dyDescent="0.25">
      <c r="A1109" s="2">
        <f ca="1">IFERROR(__xludf.DUMMYFUNCTION("""COMPUTED_VALUE"""),45044.0021423032)</f>
        <v>45044.002142303201</v>
      </c>
      <c r="B1109" s="1" t="str">
        <f ca="1">IFERROR(__xludf.DUMMYFUNCTION("""COMPUTED_VALUE"""),"India")</f>
        <v>India</v>
      </c>
      <c r="C1109" s="1">
        <f ca="1">IFERROR(__xludf.DUMMYFUNCTION("""COMPUTED_VALUE"""),500007)</f>
        <v>500007</v>
      </c>
      <c r="D1109" s="3" t="str">
        <f ca="1">IFERROR(__xludf.DUMMYFUNCTION("""COMPUTED_VALUE"""),"Male")</f>
        <v>Male</v>
      </c>
      <c r="E1109" s="1" t="str">
        <f ca="1">IFERROR(__xludf.DUMMYFUNCTION("""COMPUTED_VALUE"""),"Influencers who had successful careers")</f>
        <v>Influencers who had successful careers</v>
      </c>
      <c r="F1109" s="1" t="str">
        <f ca="1">IFERROR(__xludf.DUMMYFUNCTION("""COMPUTED_VALUE"""),"Yes, I will earn and do that")</f>
        <v>Yes, I will earn and do that</v>
      </c>
      <c r="G1109" s="1" t="str">
        <f ca="1">IFERROR(__xludf.DUMMYFUNCTION("""COMPUTED_VALUE"""),"Will work for 3 years or more")</f>
        <v>Will work for 3 years or more</v>
      </c>
      <c r="H1109" s="1" t="str">
        <f ca="1">IFERROR(__xludf.DUMMYFUNCTION("""COMPUTED_VALUE"""),"No")</f>
        <v>No</v>
      </c>
      <c r="I1109" s="1" t="str">
        <f ca="1">IFERROR(__xludf.DUMMYFUNCTION("""COMPUTED_VALUE"""),"Will NOT work for them")</f>
        <v>Will NOT work for them</v>
      </c>
      <c r="J1109" s="1">
        <f ca="1">IFERROR(__xludf.DUMMYFUNCTION("""COMPUTED_VALUE"""),8)</f>
        <v>8</v>
      </c>
      <c r="K1109" s="1" t="str">
        <f ca="1">IFERROR(__xludf.DUMMYFUNCTION("""COMPUTED_VALUE"""),"Every Day Office Environment")</f>
        <v>Every Day Office Environment</v>
      </c>
      <c r="L1109" s="1" t="str">
        <f ca="1">IFERROR(__xludf.DUMMYFUNCTION("""COMPUTED_VALUE"""),"Employer who pushes your limits and doesn't enables learning environment and never rewards you")</f>
        <v>Employer who pushes your limits and doesn't enables learning environment and never rewards you</v>
      </c>
      <c r="M110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0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109" s="1" t="str">
        <f ca="1">IFERROR(__xludf.DUMMYFUNCTION("""COMPUTED_VALUE"""),"Manager who sets goal and helps me achieve it")</f>
        <v>Manager who sets goal and helps me achieve it</v>
      </c>
      <c r="P1109" s="1" t="str">
        <f ca="1">IFERROR(__xludf.DUMMYFUNCTION("""COMPUTED_VALUE"""),"Work alone")</f>
        <v>Work alone</v>
      </c>
      <c r="Q1109" s="1"/>
    </row>
    <row r="1110" spans="1:17" ht="13.2" x14ac:dyDescent="0.25">
      <c r="A1110" s="2">
        <f ca="1">IFERROR(__xludf.DUMMYFUNCTION("""COMPUTED_VALUE"""),45044.0063875578)</f>
        <v>45044.006387557798</v>
      </c>
      <c r="B1110" s="1" t="str">
        <f ca="1">IFERROR(__xludf.DUMMYFUNCTION("""COMPUTED_VALUE"""),"India")</f>
        <v>India</v>
      </c>
      <c r="C1110" s="1">
        <f ca="1">IFERROR(__xludf.DUMMYFUNCTION("""COMPUTED_VALUE"""),440008)</f>
        <v>440008</v>
      </c>
      <c r="D1110" s="3" t="str">
        <f ca="1">IFERROR(__xludf.DUMMYFUNCTION("""COMPUTED_VALUE"""),"Female")</f>
        <v>Female</v>
      </c>
      <c r="E1110" s="1" t="str">
        <f ca="1">IFERROR(__xludf.DUMMYFUNCTION("""COMPUTED_VALUE"""),"Social Media like LinkedIn")</f>
        <v>Social Media like LinkedIn</v>
      </c>
      <c r="F1110" s="1" t="str">
        <f ca="1">IFERROR(__xludf.DUMMYFUNCTION("""COMPUTED_VALUE"""),"Yes, I will earn and do that")</f>
        <v>Yes, I will earn and do that</v>
      </c>
      <c r="G1110" s="1" t="str">
        <f ca="1">IFERROR(__xludf.DUMMYFUNCTION("""COMPUTED_VALUE"""),"Will work for 3 years or more")</f>
        <v>Will work for 3 years or more</v>
      </c>
      <c r="H1110" s="1" t="str">
        <f ca="1">IFERROR(__xludf.DUMMYFUNCTION("""COMPUTED_VALUE"""),"No")</f>
        <v>No</v>
      </c>
      <c r="I1110" s="1" t="str">
        <f ca="1">IFERROR(__xludf.DUMMYFUNCTION("""COMPUTED_VALUE"""),"Will NOT work for them")</f>
        <v>Will NOT work for them</v>
      </c>
      <c r="J1110" s="1">
        <f ca="1">IFERROR(__xludf.DUMMYFUNCTION("""COMPUTED_VALUE"""),5)</f>
        <v>5</v>
      </c>
      <c r="K1110" s="1" t="str">
        <f ca="1">IFERROR(__xludf.DUMMYFUNCTION("""COMPUTED_VALUE"""),"Fully Remote with Options to travel as and when needed")</f>
        <v>Fully Remote with Options to travel as and when needed</v>
      </c>
      <c r="L1110" s="1" t="str">
        <f ca="1">IFERROR(__xludf.DUMMYFUNCTION("""COMPUTED_VALUE"""),"Employers who appreciates learning but doesn't enables an learning environment")</f>
        <v>Employers who appreciates learning but doesn't enables an learning environment</v>
      </c>
      <c r="M111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10"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110" s="1" t="str">
        <f ca="1">IFERROR(__xludf.DUMMYFUNCTION("""COMPUTED_VALUE"""),"Manager who explains what is expected, sets a goal and helps achieve it")</f>
        <v>Manager who explains what is expected, sets a goal and helps achieve it</v>
      </c>
      <c r="P1110" s="1" t="str">
        <f ca="1">IFERROR(__xludf.DUMMYFUNCTION("""COMPUTED_VALUE"""),"Work with 2 to 3 people in my team")</f>
        <v>Work with 2 to 3 people in my team</v>
      </c>
      <c r="Q1110" s="1"/>
    </row>
    <row r="1111" spans="1:17" ht="13.2" x14ac:dyDescent="0.25">
      <c r="A1111" s="2">
        <f ca="1">IFERROR(__xludf.DUMMYFUNCTION("""COMPUTED_VALUE"""),45044.0077854513)</f>
        <v>45044.0077854513</v>
      </c>
      <c r="B1111" s="1" t="str">
        <f ca="1">IFERROR(__xludf.DUMMYFUNCTION("""COMPUTED_VALUE"""),"India")</f>
        <v>India</v>
      </c>
      <c r="C1111" s="1">
        <f ca="1">IFERROR(__xludf.DUMMYFUNCTION("""COMPUTED_VALUE"""),803110)</f>
        <v>803110</v>
      </c>
      <c r="D1111" s="3" t="str">
        <f ca="1">IFERROR(__xludf.DUMMYFUNCTION("""COMPUTED_VALUE"""),"Male")</f>
        <v>Male</v>
      </c>
      <c r="E1111" s="1" t="str">
        <f ca="1">IFERROR(__xludf.DUMMYFUNCTION("""COMPUTED_VALUE"""),"People who have changed the world for better")</f>
        <v>People who have changed the world for better</v>
      </c>
      <c r="F1111" s="1" t="str">
        <f ca="1">IFERROR(__xludf.DUMMYFUNCTION("""COMPUTED_VALUE"""),"No, But if someone could bare the cost I will")</f>
        <v>No, But if someone could bare the cost I will</v>
      </c>
      <c r="G1111" s="1" t="str">
        <f ca="1">IFERROR(__xludf.DUMMYFUNCTION("""COMPUTED_VALUE"""),"No way")</f>
        <v>No way</v>
      </c>
      <c r="H1111" s="1" t="str">
        <f ca="1">IFERROR(__xludf.DUMMYFUNCTION("""COMPUTED_VALUE"""),"Yes")</f>
        <v>Yes</v>
      </c>
      <c r="I1111" s="1" t="str">
        <f ca="1">IFERROR(__xludf.DUMMYFUNCTION("""COMPUTED_VALUE"""),"Will work for them")</f>
        <v>Will work for them</v>
      </c>
      <c r="J1111" s="1">
        <f ca="1">IFERROR(__xludf.DUMMYFUNCTION("""COMPUTED_VALUE"""),7)</f>
        <v>7</v>
      </c>
      <c r="K1111" s="1" t="str">
        <f ca="1">IFERROR(__xludf.DUMMYFUNCTION("""COMPUTED_VALUE"""),"Hybrid Working Environment with more than 15 days a month at office")</f>
        <v>Hybrid Working Environment with more than 15 days a month at office</v>
      </c>
      <c r="L1111" s="1" t="str">
        <f ca="1">IFERROR(__xludf.DUMMYFUNCTION("""COMPUTED_VALUE"""),"Employer who pushes your limits by enabling an learning environment, and rewards you at the end")</f>
        <v>Employer who pushes your limits by enabling an learning environment, and rewards you at the end</v>
      </c>
      <c r="M111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11" s="1" t="str">
        <f ca="1">IFERROR(__xludf.DUMMYFUNCTION("""COMPUTED_VALUE"""),"Teaching in any of the institutes/colleges/online or offline, Design and Develop amazing software, Entrepreneur or Start Up, I Want to sell things/Sales")</f>
        <v>Teaching in any of the institutes/colleges/online or offline, Design and Develop amazing software, Entrepreneur or Start Up, I Want to sell things/Sales</v>
      </c>
      <c r="O1111" s="1" t="str">
        <f ca="1">IFERROR(__xludf.DUMMYFUNCTION("""COMPUTED_VALUE"""),"Manager who sets targets and expects me to achieve it")</f>
        <v>Manager who sets targets and expects me to achieve it</v>
      </c>
      <c r="P1111" s="1" t="str">
        <f ca="1">IFERROR(__xludf.DUMMYFUNCTION("""COMPUTED_VALUE"""),"Work with 5 to 6 people in my team")</f>
        <v>Work with 5 to 6 people in my team</v>
      </c>
      <c r="Q1111" s="1"/>
    </row>
    <row r="1112" spans="1:17" ht="13.2" x14ac:dyDescent="0.25">
      <c r="A1112" s="2">
        <f ca="1">IFERROR(__xludf.DUMMYFUNCTION("""COMPUTED_VALUE"""),45044.010195949)</f>
        <v>45044.010195948998</v>
      </c>
      <c r="B1112" s="1" t="str">
        <f ca="1">IFERROR(__xludf.DUMMYFUNCTION("""COMPUTED_VALUE"""),"India")</f>
        <v>India</v>
      </c>
      <c r="C1112" s="1">
        <f ca="1">IFERROR(__xludf.DUMMYFUNCTION("""COMPUTED_VALUE"""),401303)</f>
        <v>401303</v>
      </c>
      <c r="D1112" s="3" t="str">
        <f ca="1">IFERROR(__xludf.DUMMYFUNCTION("""COMPUTED_VALUE"""),"Male")</f>
        <v>Male</v>
      </c>
      <c r="E1112" s="1" t="str">
        <f ca="1">IFERROR(__xludf.DUMMYFUNCTION("""COMPUTED_VALUE"""),"Influencers who had successful careers")</f>
        <v>Influencers who had successful careers</v>
      </c>
      <c r="F1112" s="1" t="str">
        <f ca="1">IFERROR(__xludf.DUMMYFUNCTION("""COMPUTED_VALUE"""),"No I would not be pursuing Higher Education outside of India")</f>
        <v>No I would not be pursuing Higher Education outside of India</v>
      </c>
      <c r="G1112" s="1" t="str">
        <f ca="1">IFERROR(__xludf.DUMMYFUNCTION("""COMPUTED_VALUE"""),"Will work for 3 years or more")</f>
        <v>Will work for 3 years or more</v>
      </c>
      <c r="H1112" s="1" t="str">
        <f ca="1">IFERROR(__xludf.DUMMYFUNCTION("""COMPUTED_VALUE"""),"Yes")</f>
        <v>Yes</v>
      </c>
      <c r="I1112" s="1" t="str">
        <f ca="1">IFERROR(__xludf.DUMMYFUNCTION("""COMPUTED_VALUE"""),"Will NOT work for them")</f>
        <v>Will NOT work for them</v>
      </c>
      <c r="J1112" s="1">
        <f ca="1">IFERROR(__xludf.DUMMYFUNCTION("""COMPUTED_VALUE"""),7)</f>
        <v>7</v>
      </c>
      <c r="K1112" s="1" t="str">
        <f ca="1">IFERROR(__xludf.DUMMYFUNCTION("""COMPUTED_VALUE"""),"Every Day Office Environment")</f>
        <v>Every Day Office Environment</v>
      </c>
      <c r="L1112" s="1" t="str">
        <f ca="1">IFERROR(__xludf.DUMMYFUNCTION("""COMPUTED_VALUE"""),"Employer who pushes your limits by enabling an learning environment, and rewards you at the end")</f>
        <v>Employer who pushes your limits by enabling an learning environment, and rewards you at the end</v>
      </c>
      <c r="M11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12"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112" s="1" t="str">
        <f ca="1">IFERROR(__xludf.DUMMYFUNCTION("""COMPUTED_VALUE"""),"Manager who explains what is expected, sets a goal and helps achieve it")</f>
        <v>Manager who explains what is expected, sets a goal and helps achieve it</v>
      </c>
      <c r="P1112" s="1" t="str">
        <f ca="1">IFERROR(__xludf.DUMMYFUNCTION("""COMPUTED_VALUE"""),"Work alone, Work with 2 to 3 people in my team, Work with 5 to 6 people in my team")</f>
        <v>Work alone, Work with 2 to 3 people in my team, Work with 5 to 6 people in my team</v>
      </c>
      <c r="Q1112" s="1"/>
    </row>
    <row r="1113" spans="1:17" ht="13.2" x14ac:dyDescent="0.25">
      <c r="A1113" s="2">
        <f ca="1">IFERROR(__xludf.DUMMYFUNCTION("""COMPUTED_VALUE"""),45044.0104529745)</f>
        <v>45044.0104529745</v>
      </c>
      <c r="B1113" s="1" t="str">
        <f ca="1">IFERROR(__xludf.DUMMYFUNCTION("""COMPUTED_VALUE"""),"UAE")</f>
        <v>UAE</v>
      </c>
      <c r="C1113" s="1">
        <f ca="1">IFERROR(__xludf.DUMMYFUNCTION("""COMPUTED_VALUE"""),90001)</f>
        <v>90001</v>
      </c>
      <c r="D1113" s="3" t="str">
        <f ca="1">IFERROR(__xludf.DUMMYFUNCTION("""COMPUTED_VALUE"""),"Male")</f>
        <v>Male</v>
      </c>
      <c r="E1113" s="1" t="str">
        <f ca="1">IFERROR(__xludf.DUMMYFUNCTION("""COMPUTED_VALUE"""),"Influencers who had successful careers")</f>
        <v>Influencers who had successful careers</v>
      </c>
      <c r="F1113" s="1" t="str">
        <f ca="1">IFERROR(__xludf.DUMMYFUNCTION("""COMPUTED_VALUE"""),"No I would not be pursuing Higher Education outside of India")</f>
        <v>No I would not be pursuing Higher Education outside of India</v>
      </c>
      <c r="G1113" s="1" t="str">
        <f ca="1">IFERROR(__xludf.DUMMYFUNCTION("""COMPUTED_VALUE"""),"This will be hard to do, but if it is the right company I would try")</f>
        <v>This will be hard to do, but if it is the right company I would try</v>
      </c>
      <c r="H1113" s="1" t="str">
        <f ca="1">IFERROR(__xludf.DUMMYFUNCTION("""COMPUTED_VALUE"""),"No")</f>
        <v>No</v>
      </c>
      <c r="I1113" s="1" t="str">
        <f ca="1">IFERROR(__xludf.DUMMYFUNCTION("""COMPUTED_VALUE"""),"Will NOT work for them")</f>
        <v>Will NOT work for them</v>
      </c>
      <c r="J1113" s="1">
        <f ca="1">IFERROR(__xludf.DUMMYFUNCTION("""COMPUTED_VALUE"""),9)</f>
        <v>9</v>
      </c>
      <c r="K1113" s="1" t="str">
        <f ca="1">IFERROR(__xludf.DUMMYFUNCTION("""COMPUTED_VALUE"""),"Every Day Office Environment")</f>
        <v>Every Day Office Environment</v>
      </c>
      <c r="L1113" s="1" t="str">
        <f ca="1">IFERROR(__xludf.DUMMYFUNCTION("""COMPUTED_VALUE"""),"Employer who appreciates learning and enables that environment")</f>
        <v>Employer who appreciates learning and enables that environment</v>
      </c>
      <c r="M1113" s="1" t="str">
        <f ca="1">IFERROR(__xludf.DUMMYFUNCTION("""COMPUTED_VALUE"""),"Self Paced Learning Portals of the Company, Instructor or Expert Learning Programs, Manager Teaching you")</f>
        <v>Self Paced Learning Portals of the Company, Instructor or Expert Learning Programs, Manager Teaching you</v>
      </c>
      <c r="N1113"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113" s="1" t="str">
        <f ca="1">IFERROR(__xludf.DUMMYFUNCTION("""COMPUTED_VALUE"""),"Manager who explains what is expected, sets a goal and helps achieve it")</f>
        <v>Manager who explains what is expected, sets a goal and helps achieve it</v>
      </c>
      <c r="P1113" s="1" t="str">
        <f ca="1">IFERROR(__xludf.DUMMYFUNCTION("""COMPUTED_VALUE"""),"Work with 7 to 10 or more people in my team")</f>
        <v>Work with 7 to 10 or more people in my team</v>
      </c>
      <c r="Q1113" s="1"/>
    </row>
    <row r="1114" spans="1:17" ht="13.2" x14ac:dyDescent="0.25">
      <c r="A1114" s="2">
        <f ca="1">IFERROR(__xludf.DUMMYFUNCTION("""COMPUTED_VALUE"""),45044.0107488078)</f>
        <v>45044.010748807799</v>
      </c>
      <c r="B1114" s="1" t="str">
        <f ca="1">IFERROR(__xludf.DUMMYFUNCTION("""COMPUTED_VALUE"""),"India")</f>
        <v>India</v>
      </c>
      <c r="C1114" s="1">
        <f ca="1">IFERROR(__xludf.DUMMYFUNCTION("""COMPUTED_VALUE"""),281001)</f>
        <v>281001</v>
      </c>
      <c r="D1114" s="3" t="str">
        <f ca="1">IFERROR(__xludf.DUMMYFUNCTION("""COMPUTED_VALUE"""),"Male")</f>
        <v>Male</v>
      </c>
      <c r="E1114" s="1" t="str">
        <f ca="1">IFERROR(__xludf.DUMMYFUNCTION("""COMPUTED_VALUE"""),"People from my circle, but not family members")</f>
        <v>People from my circle, but not family members</v>
      </c>
      <c r="F1114" s="1" t="str">
        <f ca="1">IFERROR(__xludf.DUMMYFUNCTION("""COMPUTED_VALUE"""),"No I would not be pursuing Higher Education outside of India")</f>
        <v>No I would not be pursuing Higher Education outside of India</v>
      </c>
      <c r="G1114" s="1" t="str">
        <f ca="1">IFERROR(__xludf.DUMMYFUNCTION("""COMPUTED_VALUE"""),"This will be hard to do, but if it is the right company I would try")</f>
        <v>This will be hard to do, but if it is the right company I would try</v>
      </c>
      <c r="H1114" s="1" t="str">
        <f ca="1">IFERROR(__xludf.DUMMYFUNCTION("""COMPUTED_VALUE"""),"No")</f>
        <v>No</v>
      </c>
      <c r="I1114" s="1" t="str">
        <f ca="1">IFERROR(__xludf.DUMMYFUNCTION("""COMPUTED_VALUE"""),"Will NOT work for them")</f>
        <v>Will NOT work for them</v>
      </c>
      <c r="J1114" s="1">
        <f ca="1">IFERROR(__xludf.DUMMYFUNCTION("""COMPUTED_VALUE"""),8)</f>
        <v>8</v>
      </c>
      <c r="K1114" s="1" t="str">
        <f ca="1">IFERROR(__xludf.DUMMYFUNCTION("""COMPUTED_VALUE"""),"Fully Remote with Options to travel as and when needed")</f>
        <v>Fully Remote with Options to travel as and when needed</v>
      </c>
      <c r="L1114" s="1" t="str">
        <f ca="1">IFERROR(__xludf.DUMMYFUNCTION("""COMPUTED_VALUE"""),"Employer who appreciates learning and enables that environment")</f>
        <v>Employer who appreciates learning and enables that environment</v>
      </c>
      <c r="M111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14"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14" s="1" t="str">
        <f ca="1">IFERROR(__xludf.DUMMYFUNCTION("""COMPUTED_VALUE"""),"Manager who explains what is expected, sets a goal and helps achieve it")</f>
        <v>Manager who explains what is expected, sets a goal and helps achieve it</v>
      </c>
      <c r="P1114" s="1" t="str">
        <f ca="1">IFERROR(__xludf.DUMMYFUNCTION("""COMPUTED_VALUE"""),"Work with 2 to 3 people in my team")</f>
        <v>Work with 2 to 3 people in my team</v>
      </c>
      <c r="Q1114" s="1"/>
    </row>
    <row r="1115" spans="1:17" ht="13.2" x14ac:dyDescent="0.25">
      <c r="A1115" s="2">
        <f ca="1">IFERROR(__xludf.DUMMYFUNCTION("""COMPUTED_VALUE"""),45044.0117111689)</f>
        <v>45044.011711168903</v>
      </c>
      <c r="B1115" s="1" t="str">
        <f ca="1">IFERROR(__xludf.DUMMYFUNCTION("""COMPUTED_VALUE"""),"India")</f>
        <v>India</v>
      </c>
      <c r="C1115" s="1">
        <f ca="1">IFERROR(__xludf.DUMMYFUNCTION("""COMPUTED_VALUE"""),440018)</f>
        <v>440018</v>
      </c>
      <c r="D1115" s="3" t="str">
        <f ca="1">IFERROR(__xludf.DUMMYFUNCTION("""COMPUTED_VALUE"""),"Male")</f>
        <v>Male</v>
      </c>
      <c r="E1115" s="1" t="str">
        <f ca="1">IFERROR(__xludf.DUMMYFUNCTION("""COMPUTED_VALUE"""),"Influencers who had successful careers")</f>
        <v>Influencers who had successful careers</v>
      </c>
      <c r="F1115" s="1" t="str">
        <f ca="1">IFERROR(__xludf.DUMMYFUNCTION("""COMPUTED_VALUE"""),"Yes, I will earn and do that")</f>
        <v>Yes, I will earn and do that</v>
      </c>
      <c r="G1115" s="1" t="str">
        <f ca="1">IFERROR(__xludf.DUMMYFUNCTION("""COMPUTED_VALUE"""),"This will be hard to do, but if it is the right company I would try")</f>
        <v>This will be hard to do, but if it is the right company I would try</v>
      </c>
      <c r="H1115" s="1" t="str">
        <f ca="1">IFERROR(__xludf.DUMMYFUNCTION("""COMPUTED_VALUE"""),"Yes")</f>
        <v>Yes</v>
      </c>
      <c r="I1115" s="1" t="str">
        <f ca="1">IFERROR(__xludf.DUMMYFUNCTION("""COMPUTED_VALUE"""),"Will NOT work for them")</f>
        <v>Will NOT work for them</v>
      </c>
      <c r="J1115" s="1">
        <f ca="1">IFERROR(__xludf.DUMMYFUNCTION("""COMPUTED_VALUE"""),2)</f>
        <v>2</v>
      </c>
      <c r="K1115" s="1" t="str">
        <f ca="1">IFERROR(__xludf.DUMMYFUNCTION("""COMPUTED_VALUE"""),"Hybrid Working Environment with more than 15 days a month at office")</f>
        <v>Hybrid Working Environment with more than 15 days a month at office</v>
      </c>
      <c r="L1115" s="1" t="str">
        <f ca="1">IFERROR(__xludf.DUMMYFUNCTION("""COMPUTED_VALUE"""),"Employer who pushes your limits by enabling an learning environment, and rewards you at the end")</f>
        <v>Employer who pushes your limits by enabling an learning environment, and rewards you at the end</v>
      </c>
      <c r="M111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1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115" s="1" t="str">
        <f ca="1">IFERROR(__xludf.DUMMYFUNCTION("""COMPUTED_VALUE"""),"Manager who explains what is expected, sets a goal and helps achieve it")</f>
        <v>Manager who explains what is expected, sets a goal and helps achieve it</v>
      </c>
      <c r="P1115" s="1" t="str">
        <f ca="1">IFERROR(__xludf.DUMMYFUNCTION("""COMPUTED_VALUE"""),"Work with more than 10 people in my team")</f>
        <v>Work with more than 10 people in my team</v>
      </c>
      <c r="Q1115" s="1"/>
    </row>
    <row r="1116" spans="1:17" ht="13.2" x14ac:dyDescent="0.25">
      <c r="A1116" s="2">
        <f ca="1">IFERROR(__xludf.DUMMYFUNCTION("""COMPUTED_VALUE"""),45044.0163620486)</f>
        <v>45044.016362048598</v>
      </c>
      <c r="B1116" s="1" t="str">
        <f ca="1">IFERROR(__xludf.DUMMYFUNCTION("""COMPUTED_VALUE"""),"India")</f>
        <v>India</v>
      </c>
      <c r="C1116" s="1">
        <f ca="1">IFERROR(__xludf.DUMMYFUNCTION("""COMPUTED_VALUE"""),760004)</f>
        <v>760004</v>
      </c>
      <c r="D1116" s="3" t="str">
        <f ca="1">IFERROR(__xludf.DUMMYFUNCTION("""COMPUTED_VALUE"""),"Male")</f>
        <v>Male</v>
      </c>
      <c r="E1116" s="1" t="str">
        <f ca="1">IFERROR(__xludf.DUMMYFUNCTION("""COMPUTED_VALUE"""),"My Parents")</f>
        <v>My Parents</v>
      </c>
      <c r="F1116" s="1" t="str">
        <f ca="1">IFERROR(__xludf.DUMMYFUNCTION("""COMPUTED_VALUE"""),"No, But if someone could bare the cost I will")</f>
        <v>No, But if someone could bare the cost I will</v>
      </c>
      <c r="G1116" s="1" t="str">
        <f ca="1">IFERROR(__xludf.DUMMYFUNCTION("""COMPUTED_VALUE"""),"This will be hard to do, but if it is the right company I would try")</f>
        <v>This will be hard to do, but if it is the right company I would try</v>
      </c>
      <c r="H1116" s="1" t="str">
        <f ca="1">IFERROR(__xludf.DUMMYFUNCTION("""COMPUTED_VALUE"""),"No")</f>
        <v>No</v>
      </c>
      <c r="I1116" s="1" t="str">
        <f ca="1">IFERROR(__xludf.DUMMYFUNCTION("""COMPUTED_VALUE"""),"Will NOT work for them")</f>
        <v>Will NOT work for them</v>
      </c>
      <c r="J1116" s="1">
        <f ca="1">IFERROR(__xludf.DUMMYFUNCTION("""COMPUTED_VALUE"""),1)</f>
        <v>1</v>
      </c>
      <c r="K1116" s="1" t="str">
        <f ca="1">IFERROR(__xludf.DUMMYFUNCTION("""COMPUTED_VALUE"""),"Hybrid Working Environment with more than 15 days a month at office")</f>
        <v>Hybrid Working Environment with more than 15 days a month at office</v>
      </c>
      <c r="L1116" s="1" t="str">
        <f ca="1">IFERROR(__xludf.DUMMYFUNCTION("""COMPUTED_VALUE"""),"Employer who pushes your limits by enabling an learning environment, and rewards you at the end")</f>
        <v>Employer who pushes your limits by enabling an learning environment, and rewards you at the end</v>
      </c>
      <c r="M11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16"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116" s="1" t="str">
        <f ca="1">IFERROR(__xludf.DUMMYFUNCTION("""COMPUTED_VALUE"""),"Manager who explains what is expected, sets a goal and helps achieve it")</f>
        <v>Manager who explains what is expected, sets a goal and helps achieve it</v>
      </c>
      <c r="P1116" s="1" t="str">
        <f ca="1">IFERROR(__xludf.DUMMYFUNCTION("""COMPUTED_VALUE"""),"Work alone")</f>
        <v>Work alone</v>
      </c>
      <c r="Q1116" s="1"/>
    </row>
    <row r="1117" spans="1:17" ht="13.2" x14ac:dyDescent="0.25">
      <c r="A1117" s="2">
        <f ca="1">IFERROR(__xludf.DUMMYFUNCTION("""COMPUTED_VALUE"""),45044.0201141666)</f>
        <v>45044.020114166597</v>
      </c>
      <c r="B1117" s="1" t="str">
        <f ca="1">IFERROR(__xludf.DUMMYFUNCTION("""COMPUTED_VALUE"""),"India")</f>
        <v>India</v>
      </c>
      <c r="C1117" s="1">
        <f ca="1">IFERROR(__xludf.DUMMYFUNCTION("""COMPUTED_VALUE"""),440008)</f>
        <v>440008</v>
      </c>
      <c r="D1117" s="3" t="str">
        <f ca="1">IFERROR(__xludf.DUMMYFUNCTION("""COMPUTED_VALUE"""),"Female")</f>
        <v>Female</v>
      </c>
      <c r="E1117" s="1" t="str">
        <f ca="1">IFERROR(__xludf.DUMMYFUNCTION("""COMPUTED_VALUE"""),"My Parents")</f>
        <v>My Parents</v>
      </c>
      <c r="F1117" s="1" t="str">
        <f ca="1">IFERROR(__xludf.DUMMYFUNCTION("""COMPUTED_VALUE"""),"No, But if someone could bare the cost I will")</f>
        <v>No, But if someone could bare the cost I will</v>
      </c>
      <c r="G1117" s="1" t="str">
        <f ca="1">IFERROR(__xludf.DUMMYFUNCTION("""COMPUTED_VALUE"""),"This will be hard to do, but if it is the right company I would try")</f>
        <v>This will be hard to do, but if it is the right company I would try</v>
      </c>
      <c r="H1117" s="1" t="str">
        <f ca="1">IFERROR(__xludf.DUMMYFUNCTION("""COMPUTED_VALUE"""),"Yes")</f>
        <v>Yes</v>
      </c>
      <c r="I1117" s="1" t="str">
        <f ca="1">IFERROR(__xludf.DUMMYFUNCTION("""COMPUTED_VALUE"""),"Will NOT work for them")</f>
        <v>Will NOT work for them</v>
      </c>
      <c r="J1117" s="1">
        <f ca="1">IFERROR(__xludf.DUMMYFUNCTION("""COMPUTED_VALUE"""),7)</f>
        <v>7</v>
      </c>
      <c r="K1117" s="1" t="str">
        <f ca="1">IFERROR(__xludf.DUMMYFUNCTION("""COMPUTED_VALUE"""),"Fully Remote with Options to travel as and when needed")</f>
        <v>Fully Remote with Options to travel as and when needed</v>
      </c>
      <c r="L1117" s="1" t="str">
        <f ca="1">IFERROR(__xludf.DUMMYFUNCTION("""COMPUTED_VALUE"""),"Employer who pushes your limits by enabling an learning environment, and rewards you at the end")</f>
        <v>Employer who pushes your limits by enabling an learning environment, and rewards you at the end</v>
      </c>
      <c r="M1117"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117"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117" s="1" t="str">
        <f ca="1">IFERROR(__xludf.DUMMYFUNCTION("""COMPUTED_VALUE"""),"Manager who sets goal and helps me achieve it")</f>
        <v>Manager who sets goal and helps me achieve it</v>
      </c>
      <c r="P1117" s="1" t="str">
        <f ca="1">IFERROR(__xludf.DUMMYFUNCTION("""COMPUTED_VALUE"""),"Work with 2 to 3 people in my team")</f>
        <v>Work with 2 to 3 people in my team</v>
      </c>
      <c r="Q1117" s="1"/>
    </row>
    <row r="1118" spans="1:17" ht="13.2" x14ac:dyDescent="0.25">
      <c r="A1118" s="2">
        <f ca="1">IFERROR(__xludf.DUMMYFUNCTION("""COMPUTED_VALUE"""),45044.0318261458)</f>
        <v>45044.031826145801</v>
      </c>
      <c r="B1118" s="1" t="str">
        <f ca="1">IFERROR(__xludf.DUMMYFUNCTION("""COMPUTED_VALUE"""),"India")</f>
        <v>India</v>
      </c>
      <c r="C1118" s="1">
        <f ca="1">IFERROR(__xludf.DUMMYFUNCTION("""COMPUTED_VALUE"""),560100)</f>
        <v>560100</v>
      </c>
      <c r="D1118" s="3" t="str">
        <f ca="1">IFERROR(__xludf.DUMMYFUNCTION("""COMPUTED_VALUE"""),"Female")</f>
        <v>Female</v>
      </c>
      <c r="E1118" s="1" t="str">
        <f ca="1">IFERROR(__xludf.DUMMYFUNCTION("""COMPUTED_VALUE"""),"Influencers who had successful careers")</f>
        <v>Influencers who had successful careers</v>
      </c>
      <c r="F1118" s="1" t="str">
        <f ca="1">IFERROR(__xludf.DUMMYFUNCTION("""COMPUTED_VALUE"""),"Yes, I will earn and do that")</f>
        <v>Yes, I will earn and do that</v>
      </c>
      <c r="G1118" s="1" t="str">
        <f ca="1">IFERROR(__xludf.DUMMYFUNCTION("""COMPUTED_VALUE"""),"Will work for 3 years or more")</f>
        <v>Will work for 3 years or more</v>
      </c>
      <c r="H1118" s="1" t="str">
        <f ca="1">IFERROR(__xludf.DUMMYFUNCTION("""COMPUTED_VALUE"""),"Yes")</f>
        <v>Yes</v>
      </c>
      <c r="I1118" s="1" t="str">
        <f ca="1">IFERROR(__xludf.DUMMYFUNCTION("""COMPUTED_VALUE"""),"Will work for them")</f>
        <v>Will work for them</v>
      </c>
      <c r="J1118" s="1">
        <f ca="1">IFERROR(__xludf.DUMMYFUNCTION("""COMPUTED_VALUE"""),5)</f>
        <v>5</v>
      </c>
      <c r="K1118" s="1" t="str">
        <f ca="1">IFERROR(__xludf.DUMMYFUNCTION("""COMPUTED_VALUE"""),"Hybrid Working Environment with less than 3 days a month at office")</f>
        <v>Hybrid Working Environment with less than 3 days a month at office</v>
      </c>
      <c r="L1118" s="1" t="str">
        <f ca="1">IFERROR(__xludf.DUMMYFUNCTION("""COMPUTED_VALUE"""),"Employer who appreciates learning and enables that environment")</f>
        <v>Employer who appreciates learning and enables that environment</v>
      </c>
      <c r="M11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118" s="1" t="str">
        <f ca="1">IFERROR(__xludf.DUMMYFUNCTION("""COMPUTED_VALUE"""),"Manager who explains what is expected, sets a goal and helps achieve it")</f>
        <v>Manager who explains what is expected, sets a goal and helps achieve it</v>
      </c>
      <c r="P1118" s="1" t="str">
        <f ca="1">IFERROR(__xludf.DUMMYFUNCTION("""COMPUTED_VALUE"""),"Work with 5 to 6 people in my team")</f>
        <v>Work with 5 to 6 people in my team</v>
      </c>
      <c r="Q1118" s="1"/>
    </row>
    <row r="1119" spans="1:17" ht="13.2" x14ac:dyDescent="0.25">
      <c r="A1119" s="2">
        <f ca="1">IFERROR(__xludf.DUMMYFUNCTION("""COMPUTED_VALUE"""),45044.0319816088)</f>
        <v>45044.031981608801</v>
      </c>
      <c r="B1119" s="1" t="str">
        <f ca="1">IFERROR(__xludf.DUMMYFUNCTION("""COMPUTED_VALUE"""),"India")</f>
        <v>India</v>
      </c>
      <c r="C1119" s="1">
        <f ca="1">IFERROR(__xludf.DUMMYFUNCTION("""COMPUTED_VALUE"""),440024)</f>
        <v>440024</v>
      </c>
      <c r="D1119" s="3" t="str">
        <f ca="1">IFERROR(__xludf.DUMMYFUNCTION("""COMPUTED_VALUE"""),"Female")</f>
        <v>Female</v>
      </c>
      <c r="E1119" s="1" t="str">
        <f ca="1">IFERROR(__xludf.DUMMYFUNCTION("""COMPUTED_VALUE"""),"Influencers who had successful careers")</f>
        <v>Influencers who had successful careers</v>
      </c>
      <c r="F1119" s="1" t="str">
        <f ca="1">IFERROR(__xludf.DUMMYFUNCTION("""COMPUTED_VALUE"""),"Yes, I will earn and do that")</f>
        <v>Yes, I will earn and do that</v>
      </c>
      <c r="G1119" s="1" t="str">
        <f ca="1">IFERROR(__xludf.DUMMYFUNCTION("""COMPUTED_VALUE"""),"This will be hard to do, but if it is the right company I would try")</f>
        <v>This will be hard to do, but if it is the right company I would try</v>
      </c>
      <c r="H1119" s="1" t="str">
        <f ca="1">IFERROR(__xludf.DUMMYFUNCTION("""COMPUTED_VALUE"""),"No")</f>
        <v>No</v>
      </c>
      <c r="I1119" s="1" t="str">
        <f ca="1">IFERROR(__xludf.DUMMYFUNCTION("""COMPUTED_VALUE"""),"Will NOT work for them")</f>
        <v>Will NOT work for them</v>
      </c>
      <c r="J1119" s="1">
        <f ca="1">IFERROR(__xludf.DUMMYFUNCTION("""COMPUTED_VALUE"""),6)</f>
        <v>6</v>
      </c>
      <c r="K1119" s="1" t="str">
        <f ca="1">IFERROR(__xludf.DUMMYFUNCTION("""COMPUTED_VALUE"""),"Hybrid Working Environment with more than 15 days a month at office")</f>
        <v>Hybrid Working Environment with more than 15 days a month at office</v>
      </c>
      <c r="L1119" s="1" t="str">
        <f ca="1">IFERROR(__xludf.DUMMYFUNCTION("""COMPUTED_VALUE"""),"Employer who rewards learning and enables that environment")</f>
        <v>Employer who rewards learning and enables that environment</v>
      </c>
      <c r="M111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19"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119" s="1" t="str">
        <f ca="1">IFERROR(__xludf.DUMMYFUNCTION("""COMPUTED_VALUE"""),"Manager who explains what is expected, sets a goal and helps achieve it")</f>
        <v>Manager who explains what is expected, sets a goal and helps achieve it</v>
      </c>
      <c r="P1119" s="1" t="str">
        <f ca="1">IFERROR(__xludf.DUMMYFUNCTION("""COMPUTED_VALUE"""),"Work with 5 to 6 people in my team")</f>
        <v>Work with 5 to 6 people in my team</v>
      </c>
      <c r="Q1119" s="1"/>
    </row>
    <row r="1120" spans="1:17" ht="13.2" x14ac:dyDescent="0.25">
      <c r="A1120" s="2">
        <f ca="1">IFERROR(__xludf.DUMMYFUNCTION("""COMPUTED_VALUE"""),45044.0439959953)</f>
        <v>45044.0439959953</v>
      </c>
      <c r="B1120" s="1" t="str">
        <f ca="1">IFERROR(__xludf.DUMMYFUNCTION("""COMPUTED_VALUE"""),"India")</f>
        <v>India</v>
      </c>
      <c r="C1120" s="1">
        <f ca="1">IFERROR(__xludf.DUMMYFUNCTION("""COMPUTED_VALUE"""),121009)</f>
        <v>121009</v>
      </c>
      <c r="D1120" s="3" t="str">
        <f ca="1">IFERROR(__xludf.DUMMYFUNCTION("""COMPUTED_VALUE"""),"Female")</f>
        <v>Female</v>
      </c>
      <c r="E1120" s="1" t="str">
        <f ca="1">IFERROR(__xludf.DUMMYFUNCTION("""COMPUTED_VALUE"""),"My Parents")</f>
        <v>My Parents</v>
      </c>
      <c r="F1120" s="1" t="str">
        <f ca="1">IFERROR(__xludf.DUMMYFUNCTION("""COMPUTED_VALUE"""),"Yes, I will earn and do that")</f>
        <v>Yes, I will earn and do that</v>
      </c>
      <c r="G1120" s="1" t="str">
        <f ca="1">IFERROR(__xludf.DUMMYFUNCTION("""COMPUTED_VALUE"""),"This will be hard to do, but if it is the right company I would try")</f>
        <v>This will be hard to do, but if it is the right company I would try</v>
      </c>
      <c r="H1120" s="1" t="str">
        <f ca="1">IFERROR(__xludf.DUMMYFUNCTION("""COMPUTED_VALUE"""),"No")</f>
        <v>No</v>
      </c>
      <c r="I1120" s="1" t="str">
        <f ca="1">IFERROR(__xludf.DUMMYFUNCTION("""COMPUTED_VALUE"""),"Will NOT work for them")</f>
        <v>Will NOT work for them</v>
      </c>
      <c r="J1120" s="1">
        <f ca="1">IFERROR(__xludf.DUMMYFUNCTION("""COMPUTED_VALUE"""),2)</f>
        <v>2</v>
      </c>
      <c r="K1120" s="1" t="str">
        <f ca="1">IFERROR(__xludf.DUMMYFUNCTION("""COMPUTED_VALUE"""),"Every Day Office Environment")</f>
        <v>Every Day Office Environment</v>
      </c>
      <c r="L1120" s="1" t="str">
        <f ca="1">IFERROR(__xludf.DUMMYFUNCTION("""COMPUTED_VALUE"""),"Employer who appreciates learning and enables that environment")</f>
        <v>Employer who appreciates learning and enables that environment</v>
      </c>
      <c r="M112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20"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120" s="1" t="str">
        <f ca="1">IFERROR(__xludf.DUMMYFUNCTION("""COMPUTED_VALUE"""),"Manager who explains what is expected, sets a goal and helps achieve it")</f>
        <v>Manager who explains what is expected, sets a goal and helps achieve it</v>
      </c>
      <c r="P1120" s="1" t="str">
        <f ca="1">IFERROR(__xludf.DUMMYFUNCTION("""COMPUTED_VALUE"""),"Work with 2 to 3 people in my team")</f>
        <v>Work with 2 to 3 people in my team</v>
      </c>
      <c r="Q1120" s="1"/>
    </row>
    <row r="1121" spans="1:17" ht="13.2" x14ac:dyDescent="0.25">
      <c r="A1121" s="2">
        <f ca="1">IFERROR(__xludf.DUMMYFUNCTION("""COMPUTED_VALUE"""),45044.0488197453)</f>
        <v>45044.048819745301</v>
      </c>
      <c r="B1121" s="1" t="str">
        <f ca="1">IFERROR(__xludf.DUMMYFUNCTION("""COMPUTED_VALUE"""),"India")</f>
        <v>India</v>
      </c>
      <c r="C1121" s="1">
        <f ca="1">IFERROR(__xludf.DUMMYFUNCTION("""COMPUTED_VALUE"""),490023)</f>
        <v>490023</v>
      </c>
      <c r="D1121" s="3" t="str">
        <f ca="1">IFERROR(__xludf.DUMMYFUNCTION("""COMPUTED_VALUE"""),"Male")</f>
        <v>Male</v>
      </c>
      <c r="E1121" s="1" t="str">
        <f ca="1">IFERROR(__xludf.DUMMYFUNCTION("""COMPUTED_VALUE"""),"People who have changed the world for better")</f>
        <v>People who have changed the world for better</v>
      </c>
      <c r="F1121" s="1" t="str">
        <f ca="1">IFERROR(__xludf.DUMMYFUNCTION("""COMPUTED_VALUE"""),"No I would not be pursuing Higher Education outside of India")</f>
        <v>No I would not be pursuing Higher Education outside of India</v>
      </c>
      <c r="G1121" s="1" t="str">
        <f ca="1">IFERROR(__xludf.DUMMYFUNCTION("""COMPUTED_VALUE"""),"Will work for 3 years or more")</f>
        <v>Will work for 3 years or more</v>
      </c>
      <c r="H1121" s="1" t="str">
        <f ca="1">IFERROR(__xludf.DUMMYFUNCTION("""COMPUTED_VALUE"""),"No")</f>
        <v>No</v>
      </c>
      <c r="I1121" s="1" t="str">
        <f ca="1">IFERROR(__xludf.DUMMYFUNCTION("""COMPUTED_VALUE"""),"Will work for them")</f>
        <v>Will work for them</v>
      </c>
      <c r="J1121" s="1">
        <f ca="1">IFERROR(__xludf.DUMMYFUNCTION("""COMPUTED_VALUE"""),8)</f>
        <v>8</v>
      </c>
      <c r="K1121" s="1" t="str">
        <f ca="1">IFERROR(__xludf.DUMMYFUNCTION("""COMPUTED_VALUE"""),"Hybrid Working Environment with more than 15 days a month at office")</f>
        <v>Hybrid Working Environment with more than 15 days a month at office</v>
      </c>
      <c r="L1121" s="1" t="str">
        <f ca="1">IFERROR(__xludf.DUMMYFUNCTION("""COMPUTED_VALUE"""),"Employer who pushes your limits by enabling an learning environment, and rewards you at the end")</f>
        <v>Employer who pushes your limits by enabling an learning environment, and rewards you at the end</v>
      </c>
      <c r="M1121" s="1" t="str">
        <f ca="1">IFERROR(__xludf.DUMMYFUNCTION("""COMPUTED_VALUE"""),"Instructor or Expert Learning Programs, Learning by observing others, Manager Teaching you")</f>
        <v>Instructor or Expert Learning Programs, Learning by observing others, Manager Teaching you</v>
      </c>
      <c r="N1121"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121" s="1" t="str">
        <f ca="1">IFERROR(__xludf.DUMMYFUNCTION("""COMPUTED_VALUE"""),"Manager who explains what is expected, sets a goal and helps achieve it")</f>
        <v>Manager who explains what is expected, sets a goal and helps achieve it</v>
      </c>
      <c r="P1121" s="1" t="str">
        <f ca="1">IFERROR(__xludf.DUMMYFUNCTION("""COMPUTED_VALUE"""),"Work with 2 to 3 people in my team, Work with 5 to 6 people in my team")</f>
        <v>Work with 2 to 3 people in my team, Work with 5 to 6 people in my team</v>
      </c>
      <c r="Q1121" s="1"/>
    </row>
    <row r="1122" spans="1:17" ht="13.2" x14ac:dyDescent="0.25">
      <c r="A1122" s="2">
        <f ca="1">IFERROR(__xludf.DUMMYFUNCTION("""COMPUTED_VALUE"""),45044.0499119675)</f>
        <v>45044.049911967501</v>
      </c>
      <c r="B1122" s="1" t="str">
        <f ca="1">IFERROR(__xludf.DUMMYFUNCTION("""COMPUTED_VALUE"""),"India")</f>
        <v>India</v>
      </c>
      <c r="C1122" s="1">
        <f ca="1">IFERROR(__xludf.DUMMYFUNCTION("""COMPUTED_VALUE"""),500062)</f>
        <v>500062</v>
      </c>
      <c r="D1122" s="3" t="str">
        <f ca="1">IFERROR(__xludf.DUMMYFUNCTION("""COMPUTED_VALUE"""),"Female")</f>
        <v>Female</v>
      </c>
      <c r="E1122" s="1" t="str">
        <f ca="1">IFERROR(__xludf.DUMMYFUNCTION("""COMPUTED_VALUE"""),"My Parents")</f>
        <v>My Parents</v>
      </c>
      <c r="F1122" s="1" t="str">
        <f ca="1">IFERROR(__xludf.DUMMYFUNCTION("""COMPUTED_VALUE"""),"Yes, I will earn and do that")</f>
        <v>Yes, I will earn and do that</v>
      </c>
      <c r="G1122" s="1" t="str">
        <f ca="1">IFERROR(__xludf.DUMMYFUNCTION("""COMPUTED_VALUE"""),"This will be hard to do, but if it is the right company I would try")</f>
        <v>This will be hard to do, but if it is the right company I would try</v>
      </c>
      <c r="H1122" s="1" t="str">
        <f ca="1">IFERROR(__xludf.DUMMYFUNCTION("""COMPUTED_VALUE"""),"No")</f>
        <v>No</v>
      </c>
      <c r="I1122" s="1" t="str">
        <f ca="1">IFERROR(__xludf.DUMMYFUNCTION("""COMPUTED_VALUE"""),"Will NOT work for them")</f>
        <v>Will NOT work for them</v>
      </c>
      <c r="J1122" s="1">
        <f ca="1">IFERROR(__xludf.DUMMYFUNCTION("""COMPUTED_VALUE"""),5)</f>
        <v>5</v>
      </c>
      <c r="K1122" s="1" t="str">
        <f ca="1">IFERROR(__xludf.DUMMYFUNCTION("""COMPUTED_VALUE"""),"Hybrid Working Environment with less than 3 days a month at office")</f>
        <v>Hybrid Working Environment with less than 3 days a month at office</v>
      </c>
      <c r="L1122" s="1" t="str">
        <f ca="1">IFERROR(__xludf.DUMMYFUNCTION("""COMPUTED_VALUE"""),"Employer who appreciates learning and enables that environment")</f>
        <v>Employer who appreciates learning and enables that environment</v>
      </c>
      <c r="M11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22" s="1" t="str">
        <f ca="1">IFERROR(__xludf.DUMMYFUNCTION("""COMPUTED_VALUE"""),"Manager who clearly describes what she/he needs")</f>
        <v>Manager who clearly describes what she/he needs</v>
      </c>
      <c r="P1122" s="1" t="str">
        <f ca="1">IFERROR(__xludf.DUMMYFUNCTION("""COMPUTED_VALUE"""),"Work with 5 to 6 people in my team, Work with 7 to 10 or more people in my team")</f>
        <v>Work with 5 to 6 people in my team, Work with 7 to 10 or more people in my team</v>
      </c>
      <c r="Q1122" s="1"/>
    </row>
    <row r="1123" spans="1:17" ht="13.2" x14ac:dyDescent="0.25">
      <c r="A1123" s="2">
        <f ca="1">IFERROR(__xludf.DUMMYFUNCTION("""COMPUTED_VALUE"""),45044.0536814004)</f>
        <v>45044.053681400401</v>
      </c>
      <c r="B1123" s="1" t="str">
        <f ca="1">IFERROR(__xludf.DUMMYFUNCTION("""COMPUTED_VALUE"""),"India")</f>
        <v>India</v>
      </c>
      <c r="C1123" s="1">
        <f ca="1">IFERROR(__xludf.DUMMYFUNCTION("""COMPUTED_VALUE"""),524001)</f>
        <v>524001</v>
      </c>
      <c r="D1123" s="3" t="str">
        <f ca="1">IFERROR(__xludf.DUMMYFUNCTION("""COMPUTED_VALUE"""),"Female")</f>
        <v>Female</v>
      </c>
      <c r="E1123" s="1" t="str">
        <f ca="1">IFERROR(__xludf.DUMMYFUNCTION("""COMPUTED_VALUE"""),"Influencers who had successful careers")</f>
        <v>Influencers who had successful careers</v>
      </c>
      <c r="F1123" s="1" t="str">
        <f ca="1">IFERROR(__xludf.DUMMYFUNCTION("""COMPUTED_VALUE"""),"No I would not be pursuing Higher Education outside of India")</f>
        <v>No I would not be pursuing Higher Education outside of India</v>
      </c>
      <c r="G1123" s="1" t="str">
        <f ca="1">IFERROR(__xludf.DUMMYFUNCTION("""COMPUTED_VALUE"""),"This will be hard to do, but if it is the right company I would try")</f>
        <v>This will be hard to do, but if it is the right company I would try</v>
      </c>
      <c r="H1123" s="1" t="str">
        <f ca="1">IFERROR(__xludf.DUMMYFUNCTION("""COMPUTED_VALUE"""),"No")</f>
        <v>No</v>
      </c>
      <c r="I1123" s="1" t="str">
        <f ca="1">IFERROR(__xludf.DUMMYFUNCTION("""COMPUTED_VALUE"""),"Will work for them")</f>
        <v>Will work for them</v>
      </c>
      <c r="J1123" s="1">
        <f ca="1">IFERROR(__xludf.DUMMYFUNCTION("""COMPUTED_VALUE"""),6)</f>
        <v>6</v>
      </c>
      <c r="K1123" s="1" t="str">
        <f ca="1">IFERROR(__xludf.DUMMYFUNCTION("""COMPUTED_VALUE"""),"Fully Remote with Options to travel as and when needed")</f>
        <v>Fully Remote with Options to travel as and when needed</v>
      </c>
      <c r="L1123" s="1" t="str">
        <f ca="1">IFERROR(__xludf.DUMMYFUNCTION("""COMPUTED_VALUE"""),"Employer who rewards learning and enables that environment")</f>
        <v>Employer who rewards learning and enables that environment</v>
      </c>
      <c r="M112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23"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123" s="1" t="str">
        <f ca="1">IFERROR(__xludf.DUMMYFUNCTION("""COMPUTED_VALUE"""),"Manager who explains what is expected, sets a goal and helps achieve it")</f>
        <v>Manager who explains what is expected, sets a goal and helps achieve it</v>
      </c>
      <c r="P1123" s="1" t="str">
        <f ca="1">IFERROR(__xludf.DUMMYFUNCTION("""COMPUTED_VALUE"""),"Work with 2 to 3 people in my team")</f>
        <v>Work with 2 to 3 people in my team</v>
      </c>
      <c r="Q1123" s="1"/>
    </row>
    <row r="1124" spans="1:17" ht="13.2" x14ac:dyDescent="0.25">
      <c r="A1124" s="2">
        <f ca="1">IFERROR(__xludf.DUMMYFUNCTION("""COMPUTED_VALUE"""),45044.0588253125)</f>
        <v>45044.058825312502</v>
      </c>
      <c r="B1124" s="1" t="str">
        <f ca="1">IFERROR(__xludf.DUMMYFUNCTION("""COMPUTED_VALUE"""),"India")</f>
        <v>India</v>
      </c>
      <c r="C1124" s="1">
        <f ca="1">IFERROR(__xludf.DUMMYFUNCTION("""COMPUTED_VALUE"""),500097)</f>
        <v>500097</v>
      </c>
      <c r="D1124" s="3" t="str">
        <f ca="1">IFERROR(__xludf.DUMMYFUNCTION("""COMPUTED_VALUE"""),"Female")</f>
        <v>Female</v>
      </c>
      <c r="E1124" s="1" t="str">
        <f ca="1">IFERROR(__xludf.DUMMYFUNCTION("""COMPUTED_VALUE"""),"Influencers who had successful careers")</f>
        <v>Influencers who had successful careers</v>
      </c>
      <c r="F1124" s="1" t="str">
        <f ca="1">IFERROR(__xludf.DUMMYFUNCTION("""COMPUTED_VALUE"""),"No, But if someone could bare the cost I will")</f>
        <v>No, But if someone could bare the cost I will</v>
      </c>
      <c r="G1124" s="1" t="str">
        <f ca="1">IFERROR(__xludf.DUMMYFUNCTION("""COMPUTED_VALUE"""),"Will work for 3 years or more")</f>
        <v>Will work for 3 years or more</v>
      </c>
      <c r="H1124" s="1" t="str">
        <f ca="1">IFERROR(__xludf.DUMMYFUNCTION("""COMPUTED_VALUE"""),"No")</f>
        <v>No</v>
      </c>
      <c r="I1124" s="1" t="str">
        <f ca="1">IFERROR(__xludf.DUMMYFUNCTION("""COMPUTED_VALUE"""),"Will NOT work for them")</f>
        <v>Will NOT work for them</v>
      </c>
      <c r="J1124" s="1">
        <f ca="1">IFERROR(__xludf.DUMMYFUNCTION("""COMPUTED_VALUE"""),1)</f>
        <v>1</v>
      </c>
      <c r="K1124" s="1" t="str">
        <f ca="1">IFERROR(__xludf.DUMMYFUNCTION("""COMPUTED_VALUE"""),"Hybrid Working Environment with less than 3 days a month at office")</f>
        <v>Hybrid Working Environment with less than 3 days a month at office</v>
      </c>
      <c r="L1124" s="1" t="str">
        <f ca="1">IFERROR(__xludf.DUMMYFUNCTION("""COMPUTED_VALUE"""),"Employer who rewards learning and enables that environment")</f>
        <v>Employer who rewards learning and enables that environment</v>
      </c>
      <c r="M11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24" s="1" t="str">
        <f ca="1">IFERROR(__xludf.DUMMYFUNCTION("""COMPUTED_VALUE"""),"Manager who sets goal and helps me achieve it")</f>
        <v>Manager who sets goal and helps me achieve it</v>
      </c>
      <c r="P1124" s="1" t="str">
        <f ca="1">IFERROR(__xludf.DUMMYFUNCTION("""COMPUTED_VALUE"""),"Work with 5 to 6 people in my team")</f>
        <v>Work with 5 to 6 people in my team</v>
      </c>
      <c r="Q1124" s="1"/>
    </row>
    <row r="1125" spans="1:17" ht="13.2" x14ac:dyDescent="0.25">
      <c r="A1125" s="2">
        <f ca="1">IFERROR(__xludf.DUMMYFUNCTION("""COMPUTED_VALUE"""),45044.1029188425)</f>
        <v>45044.102918842502</v>
      </c>
      <c r="B1125" s="1" t="str">
        <f ca="1">IFERROR(__xludf.DUMMYFUNCTION("""COMPUTED_VALUE"""),"India")</f>
        <v>India</v>
      </c>
      <c r="C1125" s="1">
        <f ca="1">IFERROR(__xludf.DUMMYFUNCTION("""COMPUTED_VALUE"""),600122)</f>
        <v>600122</v>
      </c>
      <c r="D1125" s="3" t="str">
        <f ca="1">IFERROR(__xludf.DUMMYFUNCTION("""COMPUTED_VALUE"""),"Female")</f>
        <v>Female</v>
      </c>
      <c r="E1125" s="1" t="str">
        <f ca="1">IFERROR(__xludf.DUMMYFUNCTION("""COMPUTED_VALUE"""),"People from my circle, but not family members")</f>
        <v>People from my circle, but not family members</v>
      </c>
      <c r="F1125" s="1" t="str">
        <f ca="1">IFERROR(__xludf.DUMMYFUNCTION("""COMPUTED_VALUE"""),"Yes, I will earn and do that")</f>
        <v>Yes, I will earn and do that</v>
      </c>
      <c r="G1125" s="1" t="str">
        <f ca="1">IFERROR(__xludf.DUMMYFUNCTION("""COMPUTED_VALUE"""),"This will be hard to do, but if it is the right company I would try")</f>
        <v>This will be hard to do, but if it is the right company I would try</v>
      </c>
      <c r="H1125" s="1" t="str">
        <f ca="1">IFERROR(__xludf.DUMMYFUNCTION("""COMPUTED_VALUE"""),"No")</f>
        <v>No</v>
      </c>
      <c r="I1125" s="1" t="str">
        <f ca="1">IFERROR(__xludf.DUMMYFUNCTION("""COMPUTED_VALUE"""),"Will NOT work for them")</f>
        <v>Will NOT work for them</v>
      </c>
      <c r="J1125" s="1">
        <f ca="1">IFERROR(__xludf.DUMMYFUNCTION("""COMPUTED_VALUE"""),1)</f>
        <v>1</v>
      </c>
      <c r="K1125" s="1" t="str">
        <f ca="1">IFERROR(__xludf.DUMMYFUNCTION("""COMPUTED_VALUE"""),"Every Day Office Environment")</f>
        <v>Every Day Office Environment</v>
      </c>
      <c r="L1125" s="1" t="str">
        <f ca="1">IFERROR(__xludf.DUMMYFUNCTION("""COMPUTED_VALUE"""),"Employer who appreciates learning and enables that environment")</f>
        <v>Employer who appreciates learning and enables that environment</v>
      </c>
      <c r="M11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1125" s="1" t="str">
        <f ca="1">IFERROR(__xludf.DUMMYFUNCTION("""COMPUTED_VALUE"""),"Manager who explains what is expected, sets a goal and helps achieve it")</f>
        <v>Manager who explains what is expected, sets a goal and helps achieve it</v>
      </c>
      <c r="P1125" s="1" t="str">
        <f ca="1">IFERROR(__xludf.DUMMYFUNCTION("""COMPUTED_VALUE"""),"Work with 7 to 10 or more people in my team")</f>
        <v>Work with 7 to 10 or more people in my team</v>
      </c>
      <c r="Q1125" s="1"/>
    </row>
    <row r="1126" spans="1:17" ht="13.2" x14ac:dyDescent="0.25">
      <c r="A1126" s="2">
        <f ca="1">IFERROR(__xludf.DUMMYFUNCTION("""COMPUTED_VALUE"""),45044.1578602314)</f>
        <v>45044.157860231397</v>
      </c>
      <c r="B1126" s="1" t="str">
        <f ca="1">IFERROR(__xludf.DUMMYFUNCTION("""COMPUTED_VALUE"""),"India")</f>
        <v>India</v>
      </c>
      <c r="C1126" s="1">
        <f ca="1">IFERROR(__xludf.DUMMYFUNCTION("""COMPUTED_VALUE"""),600049)</f>
        <v>600049</v>
      </c>
      <c r="D1126" s="3" t="str">
        <f ca="1">IFERROR(__xludf.DUMMYFUNCTION("""COMPUTED_VALUE"""),"Female")</f>
        <v>Female</v>
      </c>
      <c r="E1126" s="1" t="str">
        <f ca="1">IFERROR(__xludf.DUMMYFUNCTION("""COMPUTED_VALUE"""),"People from my circle, but not family members")</f>
        <v>People from my circle, but not family members</v>
      </c>
      <c r="F1126" s="1" t="str">
        <f ca="1">IFERROR(__xludf.DUMMYFUNCTION("""COMPUTED_VALUE"""),"No, But if someone could bare the cost I will")</f>
        <v>No, But if someone could bare the cost I will</v>
      </c>
      <c r="G1126" s="1" t="str">
        <f ca="1">IFERROR(__xludf.DUMMYFUNCTION("""COMPUTED_VALUE"""),"Will work for 3 years or more")</f>
        <v>Will work for 3 years or more</v>
      </c>
      <c r="H1126" s="1" t="str">
        <f ca="1">IFERROR(__xludf.DUMMYFUNCTION("""COMPUTED_VALUE"""),"No")</f>
        <v>No</v>
      </c>
      <c r="I1126" s="1" t="str">
        <f ca="1">IFERROR(__xludf.DUMMYFUNCTION("""COMPUTED_VALUE"""),"Will work for them")</f>
        <v>Will work for them</v>
      </c>
      <c r="J1126" s="1">
        <f ca="1">IFERROR(__xludf.DUMMYFUNCTION("""COMPUTED_VALUE"""),8)</f>
        <v>8</v>
      </c>
      <c r="K1126" s="1" t="str">
        <f ca="1">IFERROR(__xludf.DUMMYFUNCTION("""COMPUTED_VALUE"""),"Hybrid Working Environment with more than 15 days a month at office")</f>
        <v>Hybrid Working Environment with more than 15 days a month at office</v>
      </c>
      <c r="L1126" s="1" t="str">
        <f ca="1">IFERROR(__xludf.DUMMYFUNCTION("""COMPUTED_VALUE"""),"Employer who pushes your limits by enabling an learning environment, and rewards you at the end")</f>
        <v>Employer who pushes your limits by enabling an learning environment, and rewards you at the end</v>
      </c>
      <c r="M112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6"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1126" s="1" t="str">
        <f ca="1">IFERROR(__xludf.DUMMYFUNCTION("""COMPUTED_VALUE"""),"Manager who explains what is expected, sets a goal and helps achieve it")</f>
        <v>Manager who explains what is expected, sets a goal and helps achieve it</v>
      </c>
      <c r="P1126" s="1" t="str">
        <f ca="1">IFERROR(__xludf.DUMMYFUNCTION("""COMPUTED_VALUE"""),"Work alone, Work with 5 to 6 people in my team")</f>
        <v>Work alone, Work with 5 to 6 people in my team</v>
      </c>
      <c r="Q1126" s="1"/>
    </row>
    <row r="1127" spans="1:17" ht="13.2" x14ac:dyDescent="0.25">
      <c r="A1127" s="2">
        <f ca="1">IFERROR(__xludf.DUMMYFUNCTION("""COMPUTED_VALUE"""),45044.1989993287)</f>
        <v>45044.198999328699</v>
      </c>
      <c r="B1127" s="1" t="str">
        <f ca="1">IFERROR(__xludf.DUMMYFUNCTION("""COMPUTED_VALUE"""),"India")</f>
        <v>India</v>
      </c>
      <c r="C1127" s="1">
        <f ca="1">IFERROR(__xludf.DUMMYFUNCTION("""COMPUTED_VALUE"""),500047)</f>
        <v>500047</v>
      </c>
      <c r="D1127" s="3" t="str">
        <f ca="1">IFERROR(__xludf.DUMMYFUNCTION("""COMPUTED_VALUE"""),"Male")</f>
        <v>Male</v>
      </c>
      <c r="E1127" s="1" t="str">
        <f ca="1">IFERROR(__xludf.DUMMYFUNCTION("""COMPUTED_VALUE"""),"People who have changed the world for better")</f>
        <v>People who have changed the world for better</v>
      </c>
      <c r="F1127" s="1" t="str">
        <f ca="1">IFERROR(__xludf.DUMMYFUNCTION("""COMPUTED_VALUE"""),"No I would not be pursuing Higher Education outside of India")</f>
        <v>No I would not be pursuing Higher Education outside of India</v>
      </c>
      <c r="G1127" s="1" t="str">
        <f ca="1">IFERROR(__xludf.DUMMYFUNCTION("""COMPUTED_VALUE"""),"Will work for 3 years or more")</f>
        <v>Will work for 3 years or more</v>
      </c>
      <c r="H1127" s="1" t="str">
        <f ca="1">IFERROR(__xludf.DUMMYFUNCTION("""COMPUTED_VALUE"""),"No")</f>
        <v>No</v>
      </c>
      <c r="I1127" s="1" t="str">
        <f ca="1">IFERROR(__xludf.DUMMYFUNCTION("""COMPUTED_VALUE"""),"Will NOT work for them")</f>
        <v>Will NOT work for them</v>
      </c>
      <c r="J1127" s="1">
        <f ca="1">IFERROR(__xludf.DUMMYFUNCTION("""COMPUTED_VALUE"""),6)</f>
        <v>6</v>
      </c>
      <c r="K1127" s="1" t="str">
        <f ca="1">IFERROR(__xludf.DUMMYFUNCTION("""COMPUTED_VALUE"""),"Fully Remote with No option to visit offices")</f>
        <v>Fully Remote with No option to visit offices</v>
      </c>
      <c r="L1127" s="1" t="str">
        <f ca="1">IFERROR(__xludf.DUMMYFUNCTION("""COMPUTED_VALUE"""),"Employer who appreciates learning and enables that environment")</f>
        <v>Employer who appreciates learning and enables that environment</v>
      </c>
      <c r="M112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27" s="1" t="str">
        <f ca="1">IFERROR(__xludf.DUMMYFUNCTION("""COMPUTED_VALUE"""),"Manager who explains what is expected, sets a goal and helps achieve it")</f>
        <v>Manager who explains what is expected, sets a goal and helps achieve it</v>
      </c>
      <c r="P1127" s="1" t="str">
        <f ca="1">IFERROR(__xludf.DUMMYFUNCTION("""COMPUTED_VALUE"""),"Work with 5 to 6 people in my team")</f>
        <v>Work with 5 to 6 people in my team</v>
      </c>
      <c r="Q1127" s="1"/>
    </row>
    <row r="1128" spans="1:17" ht="13.2" x14ac:dyDescent="0.25">
      <c r="A1128" s="2">
        <f ca="1">IFERROR(__xludf.DUMMYFUNCTION("""COMPUTED_VALUE"""),45044.204183206)</f>
        <v>45044.204183205999</v>
      </c>
      <c r="B1128" s="1" t="str">
        <f ca="1">IFERROR(__xludf.DUMMYFUNCTION("""COMPUTED_VALUE"""),"Others")</f>
        <v>Others</v>
      </c>
      <c r="C1128" s="1" t="str">
        <f ca="1">IFERROR(__xludf.DUMMYFUNCTION("""COMPUTED_VALUE"""),"GL50")</f>
        <v>GL50</v>
      </c>
      <c r="D1128" s="3" t="str">
        <f ca="1">IFERROR(__xludf.DUMMYFUNCTION("""COMPUTED_VALUE"""),"Female")</f>
        <v>Female</v>
      </c>
      <c r="E1128" s="1" t="str">
        <f ca="1">IFERROR(__xludf.DUMMYFUNCTION("""COMPUTED_VALUE"""),"People who have changed the world for better")</f>
        <v>People who have changed the world for better</v>
      </c>
      <c r="F1128" s="1" t="str">
        <f ca="1">IFERROR(__xludf.DUMMYFUNCTION("""COMPUTED_VALUE"""),"Yes, I will earn and do that")</f>
        <v>Yes, I will earn and do that</v>
      </c>
      <c r="G1128" s="1" t="str">
        <f ca="1">IFERROR(__xludf.DUMMYFUNCTION("""COMPUTED_VALUE"""),"Will work for 3 years or more")</f>
        <v>Will work for 3 years or more</v>
      </c>
      <c r="H1128" s="1" t="str">
        <f ca="1">IFERROR(__xludf.DUMMYFUNCTION("""COMPUTED_VALUE"""),"No")</f>
        <v>No</v>
      </c>
      <c r="I1128" s="1" t="str">
        <f ca="1">IFERROR(__xludf.DUMMYFUNCTION("""COMPUTED_VALUE"""),"Will NOT work for them")</f>
        <v>Will NOT work for them</v>
      </c>
      <c r="J1128" s="1">
        <f ca="1">IFERROR(__xludf.DUMMYFUNCTION("""COMPUTED_VALUE"""),8)</f>
        <v>8</v>
      </c>
      <c r="K1128" s="1" t="str">
        <f ca="1">IFERROR(__xludf.DUMMYFUNCTION("""COMPUTED_VALUE"""),"Fully Remote with Options to travel as and when needed")</f>
        <v>Fully Remote with Options to travel as and when needed</v>
      </c>
      <c r="L1128" s="1" t="str">
        <f ca="1">IFERROR(__xludf.DUMMYFUNCTION("""COMPUTED_VALUE"""),"Employer who pushes your limits by enabling an learning environment, and rewards you at the end")</f>
        <v>Employer who pushes your limits by enabling an learning environment, and rewards you at the end</v>
      </c>
      <c r="M112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8"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128" s="1" t="str">
        <f ca="1">IFERROR(__xludf.DUMMYFUNCTION("""COMPUTED_VALUE"""),"Manager who explains what is expected, sets a goal and helps achieve it")</f>
        <v>Manager who explains what is expected, sets a goal and helps achieve it</v>
      </c>
      <c r="P1128" s="1" t="str">
        <f ca="1">IFERROR(__xludf.DUMMYFUNCTION("""COMPUTED_VALUE"""),"Work with 7 to 10 or more people in my team")</f>
        <v>Work with 7 to 10 or more people in my team</v>
      </c>
      <c r="Q1128" s="1"/>
    </row>
    <row r="1129" spans="1:17" ht="13.2" x14ac:dyDescent="0.25">
      <c r="A1129" s="2">
        <f ca="1">IFERROR(__xludf.DUMMYFUNCTION("""COMPUTED_VALUE"""),45044.2162216319)</f>
        <v>45044.216221631897</v>
      </c>
      <c r="B1129" s="1" t="str">
        <f ca="1">IFERROR(__xludf.DUMMYFUNCTION("""COMPUTED_VALUE"""),"India")</f>
        <v>India</v>
      </c>
      <c r="C1129" s="1">
        <f ca="1">IFERROR(__xludf.DUMMYFUNCTION("""COMPUTED_VALUE"""),500037)</f>
        <v>500037</v>
      </c>
      <c r="D1129" s="3" t="str">
        <f ca="1">IFERROR(__xludf.DUMMYFUNCTION("""COMPUTED_VALUE"""),"Male")</f>
        <v>Male</v>
      </c>
      <c r="E1129" s="1" t="str">
        <f ca="1">IFERROR(__xludf.DUMMYFUNCTION("""COMPUTED_VALUE"""),"People who have changed the world for better")</f>
        <v>People who have changed the world for better</v>
      </c>
      <c r="F1129" s="1" t="str">
        <f ca="1">IFERROR(__xludf.DUMMYFUNCTION("""COMPUTED_VALUE"""),"No, But if someone could bare the cost I will")</f>
        <v>No, But if someone could bare the cost I will</v>
      </c>
      <c r="G1129" s="1" t="str">
        <f ca="1">IFERROR(__xludf.DUMMYFUNCTION("""COMPUTED_VALUE"""),"Will work for 3 years or more")</f>
        <v>Will work for 3 years or more</v>
      </c>
      <c r="H1129" s="1" t="str">
        <f ca="1">IFERROR(__xludf.DUMMYFUNCTION("""COMPUTED_VALUE"""),"Yes")</f>
        <v>Yes</v>
      </c>
      <c r="I1129" s="1" t="str">
        <f ca="1">IFERROR(__xludf.DUMMYFUNCTION("""COMPUTED_VALUE"""),"Will work for them")</f>
        <v>Will work for them</v>
      </c>
      <c r="J1129" s="1">
        <f ca="1">IFERROR(__xludf.DUMMYFUNCTION("""COMPUTED_VALUE"""),5)</f>
        <v>5</v>
      </c>
      <c r="K1129" s="1" t="str">
        <f ca="1">IFERROR(__xludf.DUMMYFUNCTION("""COMPUTED_VALUE"""),"Every Day Office Environment")</f>
        <v>Every Day Office Environment</v>
      </c>
      <c r="L1129" s="1" t="str">
        <f ca="1">IFERROR(__xludf.DUMMYFUNCTION("""COMPUTED_VALUE"""),"Employer who rewards learning and enables that environment")</f>
        <v>Employer who rewards learning and enables that environment</v>
      </c>
      <c r="M11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9"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129" s="1" t="str">
        <f ca="1">IFERROR(__xludf.DUMMYFUNCTION("""COMPUTED_VALUE"""),"Manager who explains what is expected, sets a goal and helps achieve it")</f>
        <v>Manager who explains what is expected, sets a goal and helps achieve it</v>
      </c>
      <c r="P1129" s="1" t="str">
        <f ca="1">IFERROR(__xludf.DUMMYFUNCTION("""COMPUTED_VALUE"""),"Work with 2 to 3 people in my team")</f>
        <v>Work with 2 to 3 people in my team</v>
      </c>
      <c r="Q1129" s="1"/>
    </row>
    <row r="1130" spans="1:17" ht="13.2" x14ac:dyDescent="0.25">
      <c r="A1130" s="2">
        <f ca="1">IFERROR(__xludf.DUMMYFUNCTION("""COMPUTED_VALUE"""),45044.2212982291)</f>
        <v>45044.221298229102</v>
      </c>
      <c r="B1130" s="1" t="str">
        <f ca="1">IFERROR(__xludf.DUMMYFUNCTION("""COMPUTED_VALUE"""),"India")</f>
        <v>India</v>
      </c>
      <c r="C1130" s="1">
        <f ca="1">IFERROR(__xludf.DUMMYFUNCTION("""COMPUTED_VALUE"""),501218)</f>
        <v>501218</v>
      </c>
      <c r="D1130" s="3" t="str">
        <f ca="1">IFERROR(__xludf.DUMMYFUNCTION("""COMPUTED_VALUE"""),"Female")</f>
        <v>Female</v>
      </c>
      <c r="E1130" s="1" t="str">
        <f ca="1">IFERROR(__xludf.DUMMYFUNCTION("""COMPUTED_VALUE"""),"My Parents")</f>
        <v>My Parents</v>
      </c>
      <c r="F1130" s="1" t="str">
        <f ca="1">IFERROR(__xludf.DUMMYFUNCTION("""COMPUTED_VALUE"""),"No, But if someone could bare the cost I will")</f>
        <v>No, But if someone could bare the cost I will</v>
      </c>
      <c r="G1130" s="1" t="str">
        <f ca="1">IFERROR(__xludf.DUMMYFUNCTION("""COMPUTED_VALUE"""),"This will be hard to do, but if it is the right company I would try")</f>
        <v>This will be hard to do, but if it is the right company I would try</v>
      </c>
      <c r="H1130" s="1" t="str">
        <f ca="1">IFERROR(__xludf.DUMMYFUNCTION("""COMPUTED_VALUE"""),"Yes")</f>
        <v>Yes</v>
      </c>
      <c r="I1130" s="1" t="str">
        <f ca="1">IFERROR(__xludf.DUMMYFUNCTION("""COMPUTED_VALUE"""),"Will NOT work for them")</f>
        <v>Will NOT work for them</v>
      </c>
      <c r="J1130" s="1">
        <f ca="1">IFERROR(__xludf.DUMMYFUNCTION("""COMPUTED_VALUE"""),8)</f>
        <v>8</v>
      </c>
      <c r="K1130" s="1" t="str">
        <f ca="1">IFERROR(__xludf.DUMMYFUNCTION("""COMPUTED_VALUE"""),"Hybrid Working Environment with less than 3 days a month at office")</f>
        <v>Hybrid Working Environment with less than 3 days a month at office</v>
      </c>
      <c r="L1130" s="1" t="str">
        <f ca="1">IFERROR(__xludf.DUMMYFUNCTION("""COMPUTED_VALUE"""),"Employer who pushes your limits by enabling an learning environment, and rewards you at the end")</f>
        <v>Employer who pushes your limits by enabling an learning environment, and rewards you at the end</v>
      </c>
      <c r="M1130" s="1" t="str">
        <f ca="1">IFERROR(__xludf.DUMMYFUNCTION("""COMPUTED_VALUE"""),"Self Paced Learning Portals of the Company, Instructor or Expert Learning Programs, Manager Teaching you")</f>
        <v>Self Paced Learning Portals of the Company, Instructor or Expert Learning Programs, Manager Teaching you</v>
      </c>
      <c r="N1130"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130" s="1" t="str">
        <f ca="1">IFERROR(__xludf.DUMMYFUNCTION("""COMPUTED_VALUE"""),"Manager who explains what is expected, sets a goal and helps achieve it")</f>
        <v>Manager who explains what is expected, sets a goal and helps achieve it</v>
      </c>
      <c r="P1130" s="1" t="str">
        <f ca="1">IFERROR(__xludf.DUMMYFUNCTION("""COMPUTED_VALUE"""),"Work with 2 to 3 people in my team")</f>
        <v>Work with 2 to 3 people in my team</v>
      </c>
      <c r="Q1130" s="1"/>
    </row>
    <row r="1131" spans="1:17" ht="13.2" x14ac:dyDescent="0.25">
      <c r="A1131" s="2">
        <f ca="1">IFERROR(__xludf.DUMMYFUNCTION("""COMPUTED_VALUE"""),45044.2248980671)</f>
        <v>45044.224898067099</v>
      </c>
      <c r="B1131" s="1" t="str">
        <f ca="1">IFERROR(__xludf.DUMMYFUNCTION("""COMPUTED_VALUE"""),"India")</f>
        <v>India</v>
      </c>
      <c r="C1131" s="1">
        <f ca="1">IFERROR(__xludf.DUMMYFUNCTION("""COMPUTED_VALUE"""),530046)</f>
        <v>530046</v>
      </c>
      <c r="D1131" s="3" t="str">
        <f ca="1">IFERROR(__xludf.DUMMYFUNCTION("""COMPUTED_VALUE"""),"Female")</f>
        <v>Female</v>
      </c>
      <c r="E1131" s="1" t="str">
        <f ca="1">IFERROR(__xludf.DUMMYFUNCTION("""COMPUTED_VALUE"""),"My Parents")</f>
        <v>My Parents</v>
      </c>
      <c r="F1131" s="1" t="str">
        <f ca="1">IFERROR(__xludf.DUMMYFUNCTION("""COMPUTED_VALUE"""),"No I would not be pursuing Higher Education outside of India")</f>
        <v>No I would not be pursuing Higher Education outside of India</v>
      </c>
      <c r="G1131" s="1" t="str">
        <f ca="1">IFERROR(__xludf.DUMMYFUNCTION("""COMPUTED_VALUE"""),"This will be hard to do, but if it is the right company I would try")</f>
        <v>This will be hard to do, but if it is the right company I would try</v>
      </c>
      <c r="H1131" s="1" t="str">
        <f ca="1">IFERROR(__xludf.DUMMYFUNCTION("""COMPUTED_VALUE"""),"No")</f>
        <v>No</v>
      </c>
      <c r="I1131" s="1" t="str">
        <f ca="1">IFERROR(__xludf.DUMMYFUNCTION("""COMPUTED_VALUE"""),"Will NOT work for them")</f>
        <v>Will NOT work for them</v>
      </c>
      <c r="J1131" s="1">
        <f ca="1">IFERROR(__xludf.DUMMYFUNCTION("""COMPUTED_VALUE"""),3)</f>
        <v>3</v>
      </c>
      <c r="K1131" s="1" t="str">
        <f ca="1">IFERROR(__xludf.DUMMYFUNCTION("""COMPUTED_VALUE"""),"Every Day Office Environment")</f>
        <v>Every Day Office Environment</v>
      </c>
      <c r="L1131" s="1" t="str">
        <f ca="1">IFERROR(__xludf.DUMMYFUNCTION("""COMPUTED_VALUE"""),"Employer who pushes your limits by enabling an learning environment, and rewards you at the end")</f>
        <v>Employer who pushes your limits by enabling an learning environment, and rewards you at the end</v>
      </c>
      <c r="M11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1"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131" s="1" t="str">
        <f ca="1">IFERROR(__xludf.DUMMYFUNCTION("""COMPUTED_VALUE"""),"Manager who explains what is expected, sets a goal and helps achieve it")</f>
        <v>Manager who explains what is expected, sets a goal and helps achieve it</v>
      </c>
      <c r="P1131" s="1" t="str">
        <f ca="1">IFERROR(__xludf.DUMMYFUNCTION("""COMPUTED_VALUE"""),"Work with 5 to 6 people in my team")</f>
        <v>Work with 5 to 6 people in my team</v>
      </c>
      <c r="Q1131" s="1"/>
    </row>
    <row r="1132" spans="1:17" ht="13.2" x14ac:dyDescent="0.25">
      <c r="A1132" s="2">
        <f ca="1">IFERROR(__xludf.DUMMYFUNCTION("""COMPUTED_VALUE"""),45044.2525910532)</f>
        <v>45044.252591053199</v>
      </c>
      <c r="B1132" s="1" t="str">
        <f ca="1">IFERROR(__xludf.DUMMYFUNCTION("""COMPUTED_VALUE"""),"India")</f>
        <v>India</v>
      </c>
      <c r="C1132" s="1">
        <f ca="1">IFERROR(__xludf.DUMMYFUNCTION("""COMPUTED_VALUE"""),530051)</f>
        <v>530051</v>
      </c>
      <c r="D1132" s="3" t="str">
        <f ca="1">IFERROR(__xludf.DUMMYFUNCTION("""COMPUTED_VALUE"""),"Male")</f>
        <v>Male</v>
      </c>
      <c r="E1132" s="1" t="str">
        <f ca="1">IFERROR(__xludf.DUMMYFUNCTION("""COMPUTED_VALUE"""),"Influencers who had successful careers")</f>
        <v>Influencers who had successful careers</v>
      </c>
      <c r="F1132" s="1" t="str">
        <f ca="1">IFERROR(__xludf.DUMMYFUNCTION("""COMPUTED_VALUE"""),"No I would not be pursuing Higher Education outside of India")</f>
        <v>No I would not be pursuing Higher Education outside of India</v>
      </c>
      <c r="G1132" s="1" t="str">
        <f ca="1">IFERROR(__xludf.DUMMYFUNCTION("""COMPUTED_VALUE"""),"This will be hard to do, but if it is the right company I would try")</f>
        <v>This will be hard to do, but if it is the right company I would try</v>
      </c>
      <c r="H1132" s="1" t="str">
        <f ca="1">IFERROR(__xludf.DUMMYFUNCTION("""COMPUTED_VALUE"""),"No")</f>
        <v>No</v>
      </c>
      <c r="I1132" s="1" t="str">
        <f ca="1">IFERROR(__xludf.DUMMYFUNCTION("""COMPUTED_VALUE"""),"Will NOT work for them")</f>
        <v>Will NOT work for them</v>
      </c>
      <c r="J1132" s="1">
        <f ca="1">IFERROR(__xludf.DUMMYFUNCTION("""COMPUTED_VALUE"""),5)</f>
        <v>5</v>
      </c>
      <c r="K1132" s="1" t="str">
        <f ca="1">IFERROR(__xludf.DUMMYFUNCTION("""COMPUTED_VALUE"""),"Fully Remote with Options to travel as and when needed")</f>
        <v>Fully Remote with Options to travel as and when needed</v>
      </c>
      <c r="L1132" s="1" t="str">
        <f ca="1">IFERROR(__xludf.DUMMYFUNCTION("""COMPUTED_VALUE"""),"Employer who pushes your limits by enabling an learning environment, and rewards you at the end")</f>
        <v>Employer who pushes your limits by enabling an learning environment, and rewards you at the end</v>
      </c>
      <c r="M1132" s="1" t="str">
        <f ca="1">IFERROR(__xludf.DUMMYFUNCTION("""COMPUTED_VALUE"""),"Self Paced Learning Portals of the Company, Instructor or Expert Learning Programs, Manager Teaching you")</f>
        <v>Self Paced Learning Portals of the Company, Instructor or Expert Learning Programs, Manager Teaching you</v>
      </c>
      <c r="N113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132" s="1" t="str">
        <f ca="1">IFERROR(__xludf.DUMMYFUNCTION("""COMPUTED_VALUE"""),"Manager who explains what is expected, sets a goal and helps achieve it")</f>
        <v>Manager who explains what is expected, sets a goal and helps achieve it</v>
      </c>
      <c r="P1132" s="1" t="str">
        <f ca="1">IFERROR(__xludf.DUMMYFUNCTION("""COMPUTED_VALUE"""),"Work with 2 to 3 people in my team")</f>
        <v>Work with 2 to 3 people in my team</v>
      </c>
      <c r="Q1132" s="1"/>
    </row>
    <row r="1133" spans="1:17" ht="13.2" x14ac:dyDescent="0.25">
      <c r="A1133" s="2">
        <f ca="1">IFERROR(__xludf.DUMMYFUNCTION("""COMPUTED_VALUE"""),45044.2614409838)</f>
        <v>45044.261440983799</v>
      </c>
      <c r="B1133" s="1" t="str">
        <f ca="1">IFERROR(__xludf.DUMMYFUNCTION("""COMPUTED_VALUE"""),"India")</f>
        <v>India</v>
      </c>
      <c r="C1133" s="1">
        <f ca="1">IFERROR(__xludf.DUMMYFUNCTION("""COMPUTED_VALUE"""),501510)</f>
        <v>501510</v>
      </c>
      <c r="D1133" s="3" t="str">
        <f ca="1">IFERROR(__xludf.DUMMYFUNCTION("""COMPUTED_VALUE"""),"Female")</f>
        <v>Female</v>
      </c>
      <c r="E1133" s="1" t="str">
        <f ca="1">IFERROR(__xludf.DUMMYFUNCTION("""COMPUTED_VALUE"""),"My Parents")</f>
        <v>My Parents</v>
      </c>
      <c r="F1133" s="1" t="str">
        <f ca="1">IFERROR(__xludf.DUMMYFUNCTION("""COMPUTED_VALUE"""),"Yes, I will earn and do that")</f>
        <v>Yes, I will earn and do that</v>
      </c>
      <c r="G1133" s="1" t="str">
        <f ca="1">IFERROR(__xludf.DUMMYFUNCTION("""COMPUTED_VALUE"""),"Will work for 3 years or more")</f>
        <v>Will work for 3 years or more</v>
      </c>
      <c r="H1133" s="1" t="str">
        <f ca="1">IFERROR(__xludf.DUMMYFUNCTION("""COMPUTED_VALUE"""),"No")</f>
        <v>No</v>
      </c>
      <c r="I1133" s="1" t="str">
        <f ca="1">IFERROR(__xludf.DUMMYFUNCTION("""COMPUTED_VALUE"""),"Will NOT work for them")</f>
        <v>Will NOT work for them</v>
      </c>
      <c r="J1133" s="1">
        <f ca="1">IFERROR(__xludf.DUMMYFUNCTION("""COMPUTED_VALUE"""),5)</f>
        <v>5</v>
      </c>
      <c r="K1133" s="1" t="str">
        <f ca="1">IFERROR(__xludf.DUMMYFUNCTION("""COMPUTED_VALUE"""),"Fully Remote with Options to travel as and when needed")</f>
        <v>Fully Remote with Options to travel as and when needed</v>
      </c>
      <c r="L1133" s="1" t="str">
        <f ca="1">IFERROR(__xludf.DUMMYFUNCTION("""COMPUTED_VALUE"""),"Employer who pushes your limits by enabling an learning environment, and rewards you at the end")</f>
        <v>Employer who pushes your limits by enabling an learning environment, and rewards you at the end</v>
      </c>
      <c r="M113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33"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1133" s="1" t="str">
        <f ca="1">IFERROR(__xludf.DUMMYFUNCTION("""COMPUTED_VALUE"""),"Manager who sets goal and helps me achieve it")</f>
        <v>Manager who sets goal and helps me achieve it</v>
      </c>
      <c r="P1133" s="1" t="str">
        <f ca="1">IFERROR(__xludf.DUMMYFUNCTION("""COMPUTED_VALUE"""),"Work with 5 to 6 people in my team")</f>
        <v>Work with 5 to 6 people in my team</v>
      </c>
      <c r="Q1133" s="1"/>
    </row>
    <row r="1134" spans="1:17" ht="13.2" x14ac:dyDescent="0.25">
      <c r="A1134" s="2">
        <f ca="1">IFERROR(__xludf.DUMMYFUNCTION("""COMPUTED_VALUE"""),45044.2635573379)</f>
        <v>45044.263557337901</v>
      </c>
      <c r="B1134" s="1" t="str">
        <f ca="1">IFERROR(__xludf.DUMMYFUNCTION("""COMPUTED_VALUE"""),"India")</f>
        <v>India</v>
      </c>
      <c r="C1134" s="1">
        <f ca="1">IFERROR(__xludf.DUMMYFUNCTION("""COMPUTED_VALUE"""),530051)</f>
        <v>530051</v>
      </c>
      <c r="D1134" s="3" t="str">
        <f ca="1">IFERROR(__xludf.DUMMYFUNCTION("""COMPUTED_VALUE"""),"Female")</f>
        <v>Female</v>
      </c>
      <c r="E1134" s="1" t="str">
        <f ca="1">IFERROR(__xludf.DUMMYFUNCTION("""COMPUTED_VALUE"""),"My Parents")</f>
        <v>My Parents</v>
      </c>
      <c r="F1134" s="1" t="str">
        <f ca="1">IFERROR(__xludf.DUMMYFUNCTION("""COMPUTED_VALUE"""),"Yes, I will earn and do that")</f>
        <v>Yes, I will earn and do that</v>
      </c>
      <c r="G1134" s="1" t="str">
        <f ca="1">IFERROR(__xludf.DUMMYFUNCTION("""COMPUTED_VALUE"""),"No way")</f>
        <v>No way</v>
      </c>
      <c r="H1134" s="1" t="str">
        <f ca="1">IFERROR(__xludf.DUMMYFUNCTION("""COMPUTED_VALUE"""),"No")</f>
        <v>No</v>
      </c>
      <c r="I1134" s="1" t="str">
        <f ca="1">IFERROR(__xludf.DUMMYFUNCTION("""COMPUTED_VALUE"""),"Will NOT work for them")</f>
        <v>Will NOT work for them</v>
      </c>
      <c r="J1134" s="1">
        <f ca="1">IFERROR(__xludf.DUMMYFUNCTION("""COMPUTED_VALUE"""),1)</f>
        <v>1</v>
      </c>
      <c r="K1134" s="1" t="str">
        <f ca="1">IFERROR(__xludf.DUMMYFUNCTION("""COMPUTED_VALUE"""),"Fully Remote with Options to travel as and when needed")</f>
        <v>Fully Remote with Options to travel as and when needed</v>
      </c>
      <c r="L1134" s="1" t="str">
        <f ca="1">IFERROR(__xludf.DUMMYFUNCTION("""COMPUTED_VALUE"""),"Employer who pushes your limits by enabling an learning environment, and rewards you at the end")</f>
        <v>Employer who pushes your limits by enabling an learning environment, and rewards you at the end</v>
      </c>
      <c r="M113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4"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1134" s="1" t="str">
        <f ca="1">IFERROR(__xludf.DUMMYFUNCTION("""COMPUTED_VALUE"""),"Manager who explains what is expected, sets a goal and helps achieve it")</f>
        <v>Manager who explains what is expected, sets a goal and helps achieve it</v>
      </c>
      <c r="P1134" s="1" t="str">
        <f ca="1">IFERROR(__xludf.DUMMYFUNCTION("""COMPUTED_VALUE"""),"Work with 2 to 3 people in my team")</f>
        <v>Work with 2 to 3 people in my team</v>
      </c>
      <c r="Q1134" s="1"/>
    </row>
    <row r="1135" spans="1:17" ht="13.2" x14ac:dyDescent="0.25">
      <c r="A1135" s="2">
        <f ca="1">IFERROR(__xludf.DUMMYFUNCTION("""COMPUTED_VALUE"""),45044.2656138078)</f>
        <v>45044.265613807802</v>
      </c>
      <c r="B1135" s="1" t="str">
        <f ca="1">IFERROR(__xludf.DUMMYFUNCTION("""COMPUTED_VALUE"""),"India")</f>
        <v>India</v>
      </c>
      <c r="C1135" s="1">
        <f ca="1">IFERROR(__xludf.DUMMYFUNCTION("""COMPUTED_VALUE"""),530029)</f>
        <v>530029</v>
      </c>
      <c r="D1135" s="3" t="str">
        <f ca="1">IFERROR(__xludf.DUMMYFUNCTION("""COMPUTED_VALUE"""),"Male")</f>
        <v>Male</v>
      </c>
      <c r="E1135" s="1" t="str">
        <f ca="1">IFERROR(__xludf.DUMMYFUNCTION("""COMPUTED_VALUE"""),"People from my circle, but not family members")</f>
        <v>People from my circle, but not family members</v>
      </c>
      <c r="F1135" s="1" t="str">
        <f ca="1">IFERROR(__xludf.DUMMYFUNCTION("""COMPUTED_VALUE"""),"No, But if someone could bare the cost I will")</f>
        <v>No, But if someone could bare the cost I will</v>
      </c>
      <c r="G1135" s="1" t="str">
        <f ca="1">IFERROR(__xludf.DUMMYFUNCTION("""COMPUTED_VALUE"""),"This will be hard to do, but if it is the right company I would try")</f>
        <v>This will be hard to do, but if it is the right company I would try</v>
      </c>
      <c r="H1135" s="1" t="str">
        <f ca="1">IFERROR(__xludf.DUMMYFUNCTION("""COMPUTED_VALUE"""),"No")</f>
        <v>No</v>
      </c>
      <c r="I1135" s="1" t="str">
        <f ca="1">IFERROR(__xludf.DUMMYFUNCTION("""COMPUTED_VALUE"""),"Will NOT work for them")</f>
        <v>Will NOT work for them</v>
      </c>
      <c r="J1135" s="1">
        <f ca="1">IFERROR(__xludf.DUMMYFUNCTION("""COMPUTED_VALUE"""),1)</f>
        <v>1</v>
      </c>
      <c r="K1135" s="1" t="str">
        <f ca="1">IFERROR(__xludf.DUMMYFUNCTION("""COMPUTED_VALUE"""),"Fully Remote with Options to travel as and when needed")</f>
        <v>Fully Remote with Options to travel as and when needed</v>
      </c>
      <c r="L1135" s="1" t="str">
        <f ca="1">IFERROR(__xludf.DUMMYFUNCTION("""COMPUTED_VALUE"""),"Employer who appreciates learning and enables that environment")</f>
        <v>Employer who appreciates learning and enables that environment</v>
      </c>
      <c r="M11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3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35" s="1" t="str">
        <f ca="1">IFERROR(__xludf.DUMMYFUNCTION("""COMPUTED_VALUE"""),"Manager who explains what is expected, sets a goal and helps achieve it")</f>
        <v>Manager who explains what is expected, sets a goal and helps achieve it</v>
      </c>
      <c r="P1135" s="1" t="str">
        <f ca="1">IFERROR(__xludf.DUMMYFUNCTION("""COMPUTED_VALUE"""),"Work with 5 to 6 people in my team")</f>
        <v>Work with 5 to 6 people in my team</v>
      </c>
      <c r="Q1135" s="1"/>
    </row>
    <row r="1136" spans="1:17" ht="13.2" x14ac:dyDescent="0.25">
      <c r="A1136" s="2">
        <f ca="1">IFERROR(__xludf.DUMMYFUNCTION("""COMPUTED_VALUE"""),45044.2665764583)</f>
        <v>45044.2665764583</v>
      </c>
      <c r="B1136" s="1" t="str">
        <f ca="1">IFERROR(__xludf.DUMMYFUNCTION("""COMPUTED_VALUE"""),"India")</f>
        <v>India</v>
      </c>
      <c r="C1136" s="1">
        <f ca="1">IFERROR(__xludf.DUMMYFUNCTION("""COMPUTED_VALUE"""),530007)</f>
        <v>530007</v>
      </c>
      <c r="D1136" s="3" t="str">
        <f ca="1">IFERROR(__xludf.DUMMYFUNCTION("""COMPUTED_VALUE"""),"Female")</f>
        <v>Female</v>
      </c>
      <c r="E1136" s="1" t="str">
        <f ca="1">IFERROR(__xludf.DUMMYFUNCTION("""COMPUTED_VALUE"""),"People from my circle, but not family members")</f>
        <v>People from my circle, but not family members</v>
      </c>
      <c r="F1136" s="1" t="str">
        <f ca="1">IFERROR(__xludf.DUMMYFUNCTION("""COMPUTED_VALUE"""),"No I would not be pursuing Higher Education outside of India")</f>
        <v>No I would not be pursuing Higher Education outside of India</v>
      </c>
      <c r="G1136" s="1" t="str">
        <f ca="1">IFERROR(__xludf.DUMMYFUNCTION("""COMPUTED_VALUE"""),"This will be hard to do, but if it is the right company I would try")</f>
        <v>This will be hard to do, but if it is the right company I would try</v>
      </c>
      <c r="H1136" s="1" t="str">
        <f ca="1">IFERROR(__xludf.DUMMYFUNCTION("""COMPUTED_VALUE"""),"No")</f>
        <v>No</v>
      </c>
      <c r="I1136" s="1" t="str">
        <f ca="1">IFERROR(__xludf.DUMMYFUNCTION("""COMPUTED_VALUE"""),"Will NOT work for them")</f>
        <v>Will NOT work for them</v>
      </c>
      <c r="J1136" s="1">
        <f ca="1">IFERROR(__xludf.DUMMYFUNCTION("""COMPUTED_VALUE"""),4)</f>
        <v>4</v>
      </c>
      <c r="K1136" s="1" t="str">
        <f ca="1">IFERROR(__xludf.DUMMYFUNCTION("""COMPUTED_VALUE"""),"Fully Remote with Options to travel as and when needed")</f>
        <v>Fully Remote with Options to travel as and when needed</v>
      </c>
      <c r="L1136" s="1" t="str">
        <f ca="1">IFERROR(__xludf.DUMMYFUNCTION("""COMPUTED_VALUE"""),"Employer who pushes your limits by enabling an learning environment, and rewards you at the end")</f>
        <v>Employer who pushes your limits by enabling an learning environment, and rewards you at the end</v>
      </c>
      <c r="M11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6" s="1" t="str">
        <f ca="1">IFERROR(__xludf.DUMMYFUNCTION("""COMPUTED_VALUE"""),"Teaching in any of the institutes/colleges/online or offline, Business Operations in any organization, Look deeply into Data and generate insights, An Artificial Intelligence Specialist / Talking to Robots")</f>
        <v>Teaching in any of the institutes/colleges/online or offline, Business Operations in any organization, Look deeply into Data and generate insights, An Artificial Intelligence Specialist / Talking to Robots</v>
      </c>
      <c r="O1136" s="1" t="str">
        <f ca="1">IFERROR(__xludf.DUMMYFUNCTION("""COMPUTED_VALUE"""),"Manager who explains what is expected, sets a goal and helps achieve it")</f>
        <v>Manager who explains what is expected, sets a goal and helps achieve it</v>
      </c>
      <c r="P1136" s="1" t="str">
        <f ca="1">IFERROR(__xludf.DUMMYFUNCTION("""COMPUTED_VALUE"""),"Work alone")</f>
        <v>Work alone</v>
      </c>
      <c r="Q1136" s="1"/>
    </row>
    <row r="1137" spans="1:17" ht="13.2" x14ac:dyDescent="0.25">
      <c r="A1137" s="2">
        <f ca="1">IFERROR(__xludf.DUMMYFUNCTION("""COMPUTED_VALUE"""),45044.2699898611)</f>
        <v>45044.269989861103</v>
      </c>
      <c r="B1137" s="1" t="str">
        <f ca="1">IFERROR(__xludf.DUMMYFUNCTION("""COMPUTED_VALUE"""),"India")</f>
        <v>India</v>
      </c>
      <c r="C1137" s="1" t="str">
        <f ca="1">IFERROR(__xludf.DUMMYFUNCTION("""COMPUTED_VALUE"""),"Lahari")</f>
        <v>Lahari</v>
      </c>
      <c r="D1137" s="3" t="str">
        <f ca="1">IFERROR(__xludf.DUMMYFUNCTION("""COMPUTED_VALUE"""),"Female")</f>
        <v>Female</v>
      </c>
      <c r="E1137" s="1" t="str">
        <f ca="1">IFERROR(__xludf.DUMMYFUNCTION("""COMPUTED_VALUE"""),"My Parents")</f>
        <v>My Parents</v>
      </c>
      <c r="F1137" s="1" t="str">
        <f ca="1">IFERROR(__xludf.DUMMYFUNCTION("""COMPUTED_VALUE"""),"No, But if someone could bare the cost I will")</f>
        <v>No, But if someone could bare the cost I will</v>
      </c>
      <c r="G1137" s="1" t="str">
        <f ca="1">IFERROR(__xludf.DUMMYFUNCTION("""COMPUTED_VALUE"""),"Will work for 3 years or more")</f>
        <v>Will work for 3 years or more</v>
      </c>
      <c r="H1137" s="1" t="str">
        <f ca="1">IFERROR(__xludf.DUMMYFUNCTION("""COMPUTED_VALUE"""),"No")</f>
        <v>No</v>
      </c>
      <c r="I1137" s="1" t="str">
        <f ca="1">IFERROR(__xludf.DUMMYFUNCTION("""COMPUTED_VALUE"""),"Will NOT work for them")</f>
        <v>Will NOT work for them</v>
      </c>
      <c r="J1137" s="1">
        <f ca="1">IFERROR(__xludf.DUMMYFUNCTION("""COMPUTED_VALUE"""),4)</f>
        <v>4</v>
      </c>
      <c r="K1137" s="1" t="str">
        <f ca="1">IFERROR(__xludf.DUMMYFUNCTION("""COMPUTED_VALUE"""),"Hybrid Working Environment with more than 15 days a month at office")</f>
        <v>Hybrid Working Environment with more than 15 days a month at office</v>
      </c>
      <c r="L1137" s="1" t="str">
        <f ca="1">IFERROR(__xludf.DUMMYFUNCTION("""COMPUTED_VALUE"""),"Employer who appreciates learning and enables that environment")</f>
        <v>Employer who appreciates learning and enables that environment</v>
      </c>
      <c r="M1137" s="1" t="str">
        <f ca="1">IFERROR(__xludf.DUMMYFUNCTION("""COMPUTED_VALUE"""),"Self Paced Learning Portals of the Company, Instructor or Expert Learning Programs, Manager Teaching you")</f>
        <v>Self Paced Learning Portals of the Company, Instructor or Expert Learning Programs, Manager Teaching you</v>
      </c>
      <c r="N113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37" s="1" t="str">
        <f ca="1">IFERROR(__xludf.DUMMYFUNCTION("""COMPUTED_VALUE"""),"Manager who sets targets and expects me to achieve it")</f>
        <v>Manager who sets targets and expects me to achieve it</v>
      </c>
      <c r="P1137" s="1" t="str">
        <f ca="1">IFERROR(__xludf.DUMMYFUNCTION("""COMPUTED_VALUE"""),"Work with 5 to 6 people in my team")</f>
        <v>Work with 5 to 6 people in my team</v>
      </c>
      <c r="Q1137" s="1"/>
    </row>
    <row r="1138" spans="1:17" ht="13.2" x14ac:dyDescent="0.25">
      <c r="A1138" s="2">
        <f ca="1">IFERROR(__xludf.DUMMYFUNCTION("""COMPUTED_VALUE"""),45044.2758887963)</f>
        <v>45044.275888796299</v>
      </c>
      <c r="B1138" s="1" t="str">
        <f ca="1">IFERROR(__xludf.DUMMYFUNCTION("""COMPUTED_VALUE"""),"India")</f>
        <v>India</v>
      </c>
      <c r="C1138" s="1">
        <f ca="1">IFERROR(__xludf.DUMMYFUNCTION("""COMPUTED_VALUE"""),221304)</f>
        <v>221304</v>
      </c>
      <c r="D1138" s="3" t="str">
        <f ca="1">IFERROR(__xludf.DUMMYFUNCTION("""COMPUTED_VALUE"""),"Male")</f>
        <v>Male</v>
      </c>
      <c r="E1138" s="1" t="str">
        <f ca="1">IFERROR(__xludf.DUMMYFUNCTION("""COMPUTED_VALUE"""),"People who have changed the world for better")</f>
        <v>People who have changed the world for better</v>
      </c>
      <c r="F1138" s="1" t="str">
        <f ca="1">IFERROR(__xludf.DUMMYFUNCTION("""COMPUTED_VALUE"""),"No I would not be pursuing Higher Education outside of India")</f>
        <v>No I would not be pursuing Higher Education outside of India</v>
      </c>
      <c r="G1138" s="1" t="str">
        <f ca="1">IFERROR(__xludf.DUMMYFUNCTION("""COMPUTED_VALUE"""),"This will be hard to do, but if it is the right company I would try")</f>
        <v>This will be hard to do, but if it is the right company I would try</v>
      </c>
      <c r="H1138" s="1" t="str">
        <f ca="1">IFERROR(__xludf.DUMMYFUNCTION("""COMPUTED_VALUE"""),"No")</f>
        <v>No</v>
      </c>
      <c r="I1138" s="1" t="str">
        <f ca="1">IFERROR(__xludf.DUMMYFUNCTION("""COMPUTED_VALUE"""),"Will NOT work for them")</f>
        <v>Will NOT work for them</v>
      </c>
      <c r="J1138" s="1">
        <f ca="1">IFERROR(__xludf.DUMMYFUNCTION("""COMPUTED_VALUE"""),8)</f>
        <v>8</v>
      </c>
      <c r="K1138" s="1" t="str">
        <f ca="1">IFERROR(__xludf.DUMMYFUNCTION("""COMPUTED_VALUE"""),"Hybrid Working Environment with more than 15 days a month at office")</f>
        <v>Hybrid Working Environment with more than 15 days a month at office</v>
      </c>
      <c r="L1138" s="1" t="str">
        <f ca="1">IFERROR(__xludf.DUMMYFUNCTION("""COMPUTED_VALUE"""),"Employer who pushes your limits by enabling an learning environment, and rewards you at the end")</f>
        <v>Employer who pushes your limits by enabling an learning environment, and rewards you at the end</v>
      </c>
      <c r="M11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38" s="1" t="str">
        <f ca="1">IFERROR(__xludf.DUMMYFUNCTION("""COMPUTED_VALUE"""),"Manager who clearly describes what she/he needs")</f>
        <v>Manager who clearly describes what she/he needs</v>
      </c>
      <c r="P113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38" s="1"/>
    </row>
    <row r="1139" spans="1:17" ht="13.2" x14ac:dyDescent="0.25">
      <c r="A1139" s="2">
        <f ca="1">IFERROR(__xludf.DUMMYFUNCTION("""COMPUTED_VALUE"""),45044.2826354513)</f>
        <v>45044.282635451302</v>
      </c>
      <c r="B1139" s="1" t="str">
        <f ca="1">IFERROR(__xludf.DUMMYFUNCTION("""COMPUTED_VALUE"""),"India")</f>
        <v>India</v>
      </c>
      <c r="C1139" s="1">
        <f ca="1">IFERROR(__xludf.DUMMYFUNCTION("""COMPUTED_VALUE"""),110025)</f>
        <v>110025</v>
      </c>
      <c r="D1139" s="3" t="str">
        <f ca="1">IFERROR(__xludf.DUMMYFUNCTION("""COMPUTED_VALUE"""),"Male")</f>
        <v>Male</v>
      </c>
      <c r="E1139" s="1" t="str">
        <f ca="1">IFERROR(__xludf.DUMMYFUNCTION("""COMPUTED_VALUE"""),"Social Media like LinkedIn")</f>
        <v>Social Media like LinkedIn</v>
      </c>
      <c r="F1139" s="1" t="str">
        <f ca="1">IFERROR(__xludf.DUMMYFUNCTION("""COMPUTED_VALUE"""),"No I would not be pursuing Higher Education outside of India")</f>
        <v>No I would not be pursuing Higher Education outside of India</v>
      </c>
      <c r="G1139" s="1" t="str">
        <f ca="1">IFERROR(__xludf.DUMMYFUNCTION("""COMPUTED_VALUE"""),"This will be hard to do, but if it is the right company I would try")</f>
        <v>This will be hard to do, but if it is the right company I would try</v>
      </c>
      <c r="H1139" s="1" t="str">
        <f ca="1">IFERROR(__xludf.DUMMYFUNCTION("""COMPUTED_VALUE"""),"Yes")</f>
        <v>Yes</v>
      </c>
      <c r="I1139" s="1" t="str">
        <f ca="1">IFERROR(__xludf.DUMMYFUNCTION("""COMPUTED_VALUE"""),"Will NOT work for them")</f>
        <v>Will NOT work for them</v>
      </c>
      <c r="J1139" s="1">
        <f ca="1">IFERROR(__xludf.DUMMYFUNCTION("""COMPUTED_VALUE"""),4)</f>
        <v>4</v>
      </c>
      <c r="K1139" s="1" t="str">
        <f ca="1">IFERROR(__xludf.DUMMYFUNCTION("""COMPUTED_VALUE"""),"Fully Remote with Options to travel as and when needed")</f>
        <v>Fully Remote with Options to travel as and when needed</v>
      </c>
      <c r="L1139" s="1" t="str">
        <f ca="1">IFERROR(__xludf.DUMMYFUNCTION("""COMPUTED_VALUE"""),"Employer who pushes your limits by enabling an learning environment, and rewards you at the end")</f>
        <v>Employer who pushes your limits by enabling an learning environment, and rewards you at the end</v>
      </c>
      <c r="M113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39" s="1" t="str">
        <f ca="1">IFERROR(__xludf.DUMMYFUNCTION("""COMPUTED_VALUE"""),"Manager who explains what is expected, sets a goal and helps achieve it")</f>
        <v>Manager who explains what is expected, sets a goal and helps achieve it</v>
      </c>
      <c r="P1139" s="1" t="str">
        <f ca="1">IFERROR(__xludf.DUMMYFUNCTION("""COMPUTED_VALUE"""),"Work with 5 to 6 people in my team")</f>
        <v>Work with 5 to 6 people in my team</v>
      </c>
      <c r="Q1139" s="1"/>
    </row>
    <row r="1140" spans="1:17" ht="13.2" x14ac:dyDescent="0.25">
      <c r="A1140" s="2">
        <f ca="1">IFERROR(__xludf.DUMMYFUNCTION("""COMPUTED_VALUE"""),45044.2877974652)</f>
        <v>45044.2877974652</v>
      </c>
      <c r="B1140" s="1" t="str">
        <f ca="1">IFERROR(__xludf.DUMMYFUNCTION("""COMPUTED_VALUE"""),"India")</f>
        <v>India</v>
      </c>
      <c r="C1140" s="1">
        <f ca="1">IFERROR(__xludf.DUMMYFUNCTION("""COMPUTED_VALUE"""),530029)</f>
        <v>530029</v>
      </c>
      <c r="D1140" s="3" t="str">
        <f ca="1">IFERROR(__xludf.DUMMYFUNCTION("""COMPUTED_VALUE"""),"Female")</f>
        <v>Female</v>
      </c>
      <c r="E1140" s="1" t="str">
        <f ca="1">IFERROR(__xludf.DUMMYFUNCTION("""COMPUTED_VALUE"""),"People who have changed the world for better")</f>
        <v>People who have changed the world for better</v>
      </c>
      <c r="F1140" s="1" t="str">
        <f ca="1">IFERROR(__xludf.DUMMYFUNCTION("""COMPUTED_VALUE"""),"Yes, I will earn and do that")</f>
        <v>Yes, I will earn and do that</v>
      </c>
      <c r="G1140" s="1" t="str">
        <f ca="1">IFERROR(__xludf.DUMMYFUNCTION("""COMPUTED_VALUE"""),"Will work for 3 years or more")</f>
        <v>Will work for 3 years or more</v>
      </c>
      <c r="H1140" s="1" t="str">
        <f ca="1">IFERROR(__xludf.DUMMYFUNCTION("""COMPUTED_VALUE"""),"No")</f>
        <v>No</v>
      </c>
      <c r="I1140" s="1" t="str">
        <f ca="1">IFERROR(__xludf.DUMMYFUNCTION("""COMPUTED_VALUE"""),"Will NOT work for them")</f>
        <v>Will NOT work for them</v>
      </c>
      <c r="J1140" s="1">
        <f ca="1">IFERROR(__xludf.DUMMYFUNCTION("""COMPUTED_VALUE"""),5)</f>
        <v>5</v>
      </c>
      <c r="K1140" s="1" t="str">
        <f ca="1">IFERROR(__xludf.DUMMYFUNCTION("""COMPUTED_VALUE"""),"Every Day Office Environment")</f>
        <v>Every Day Office Environment</v>
      </c>
      <c r="L1140" s="1" t="str">
        <f ca="1">IFERROR(__xludf.DUMMYFUNCTION("""COMPUTED_VALUE"""),"Employer who pushes your limits by enabling an learning environment, and rewards you at the end")</f>
        <v>Employer who pushes your limits by enabling an learning environment, and rewards you at the end</v>
      </c>
      <c r="M1140" s="1" t="str">
        <f ca="1">IFERROR(__xludf.DUMMYFUNCTION("""COMPUTED_VALUE"""),"Self Paced Learning Portals of the Company, Instructor or Expert Learning Programs, Manager Teaching you")</f>
        <v>Self Paced Learning Portals of the Company, Instructor or Expert Learning Programs, Manager Teaching you</v>
      </c>
      <c r="N1140"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140" s="1" t="str">
        <f ca="1">IFERROR(__xludf.DUMMYFUNCTION("""COMPUTED_VALUE"""),"Manager who explains what is expected, sets a goal and helps achieve it")</f>
        <v>Manager who explains what is expected, sets a goal and helps achieve it</v>
      </c>
      <c r="P1140" s="1" t="str">
        <f ca="1">IFERROR(__xludf.DUMMYFUNCTION("""COMPUTED_VALUE"""),"Work with more than 10 people in my team")</f>
        <v>Work with more than 10 people in my team</v>
      </c>
      <c r="Q1140" s="1"/>
    </row>
    <row r="1141" spans="1:17" ht="13.2" x14ac:dyDescent="0.25">
      <c r="A1141" s="2">
        <f ca="1">IFERROR(__xludf.DUMMYFUNCTION("""COMPUTED_VALUE"""),45044.2903220833)</f>
        <v>45044.290322083303</v>
      </c>
      <c r="B1141" s="1" t="str">
        <f ca="1">IFERROR(__xludf.DUMMYFUNCTION("""COMPUTED_VALUE"""),"India")</f>
        <v>India</v>
      </c>
      <c r="C1141" s="1">
        <f ca="1">IFERROR(__xludf.DUMMYFUNCTION("""COMPUTED_VALUE"""),243001)</f>
        <v>243001</v>
      </c>
      <c r="D1141" s="3" t="str">
        <f ca="1">IFERROR(__xludf.DUMMYFUNCTION("""COMPUTED_VALUE"""),"Female")</f>
        <v>Female</v>
      </c>
      <c r="E1141" s="1" t="str">
        <f ca="1">IFERROR(__xludf.DUMMYFUNCTION("""COMPUTED_VALUE"""),"My Parents")</f>
        <v>My Parents</v>
      </c>
      <c r="F1141" s="1" t="str">
        <f ca="1">IFERROR(__xludf.DUMMYFUNCTION("""COMPUTED_VALUE"""),"Yes, I will earn and do that")</f>
        <v>Yes, I will earn and do that</v>
      </c>
      <c r="G1141" s="1" t="str">
        <f ca="1">IFERROR(__xludf.DUMMYFUNCTION("""COMPUTED_VALUE"""),"This will be hard to do, but if it is the right company I would try")</f>
        <v>This will be hard to do, but if it is the right company I would try</v>
      </c>
      <c r="H1141" s="1" t="str">
        <f ca="1">IFERROR(__xludf.DUMMYFUNCTION("""COMPUTED_VALUE"""),"No")</f>
        <v>No</v>
      </c>
      <c r="I1141" s="1" t="str">
        <f ca="1">IFERROR(__xludf.DUMMYFUNCTION("""COMPUTED_VALUE"""),"Will NOT work for them")</f>
        <v>Will NOT work for them</v>
      </c>
      <c r="J1141" s="1">
        <f ca="1">IFERROR(__xludf.DUMMYFUNCTION("""COMPUTED_VALUE"""),10)</f>
        <v>10</v>
      </c>
      <c r="K1141" s="1" t="str">
        <f ca="1">IFERROR(__xludf.DUMMYFUNCTION("""COMPUTED_VALUE"""),"Fully Remote with Options to travel as and when needed")</f>
        <v>Fully Remote with Options to travel as and when needed</v>
      </c>
      <c r="L1141" s="1" t="str">
        <f ca="1">IFERROR(__xludf.DUMMYFUNCTION("""COMPUTED_VALUE"""),"Employer who pushes your limits by enabling an learning environment, and rewards you at the end")</f>
        <v>Employer who pushes your limits by enabling an learning environment, and rewards you at the end</v>
      </c>
      <c r="M1141" s="1" t="str">
        <f ca="1">IFERROR(__xludf.DUMMYFUNCTION("""COMPUTED_VALUE"""),"Self Paced Learning Portals of the Company, Instructor or Expert Learning Programs, Manager Teaching you")</f>
        <v>Self Paced Learning Portals of the Company, Instructor or Expert Learning Programs, Manager Teaching you</v>
      </c>
      <c r="N114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141" s="1" t="str">
        <f ca="1">IFERROR(__xludf.DUMMYFUNCTION("""COMPUTED_VALUE"""),"Manager who sets goal and helps me achieve it")</f>
        <v>Manager who sets goal and helps me achieve it</v>
      </c>
      <c r="P1141" s="1" t="str">
        <f ca="1">IFERROR(__xludf.DUMMYFUNCTION("""COMPUTED_VALUE"""),"Work with 2 to 3 people in my team")</f>
        <v>Work with 2 to 3 people in my team</v>
      </c>
      <c r="Q1141" s="1"/>
    </row>
    <row r="1142" spans="1:17" ht="13.2" x14ac:dyDescent="0.25">
      <c r="A1142" s="2">
        <f ca="1">IFERROR(__xludf.DUMMYFUNCTION("""COMPUTED_VALUE"""),45044.2989393981)</f>
        <v>45044.298939398097</v>
      </c>
      <c r="B1142" s="1" t="str">
        <f ca="1">IFERROR(__xludf.DUMMYFUNCTION("""COMPUTED_VALUE"""),"India")</f>
        <v>India</v>
      </c>
      <c r="C1142" s="1">
        <f ca="1">IFERROR(__xludf.DUMMYFUNCTION("""COMPUTED_VALUE"""),530051)</f>
        <v>530051</v>
      </c>
      <c r="D1142" s="3" t="str">
        <f ca="1">IFERROR(__xludf.DUMMYFUNCTION("""COMPUTED_VALUE"""),"Female")</f>
        <v>Female</v>
      </c>
      <c r="E1142" s="1" t="str">
        <f ca="1">IFERROR(__xludf.DUMMYFUNCTION("""COMPUTED_VALUE"""),"Influencers who had successful careers")</f>
        <v>Influencers who had successful careers</v>
      </c>
      <c r="F1142" s="1" t="str">
        <f ca="1">IFERROR(__xludf.DUMMYFUNCTION("""COMPUTED_VALUE"""),"No I would not be pursuing Higher Education outside of India")</f>
        <v>No I would not be pursuing Higher Education outside of India</v>
      </c>
      <c r="G1142" s="1" t="str">
        <f ca="1">IFERROR(__xludf.DUMMYFUNCTION("""COMPUTED_VALUE"""),"This will be hard to do, but if it is the right company I would try")</f>
        <v>This will be hard to do, but if it is the right company I would try</v>
      </c>
      <c r="H1142" s="1" t="str">
        <f ca="1">IFERROR(__xludf.DUMMYFUNCTION("""COMPUTED_VALUE"""),"No")</f>
        <v>No</v>
      </c>
      <c r="I1142" s="1" t="str">
        <f ca="1">IFERROR(__xludf.DUMMYFUNCTION("""COMPUTED_VALUE"""),"Will NOT work for them")</f>
        <v>Will NOT work for them</v>
      </c>
      <c r="J1142" s="1">
        <f ca="1">IFERROR(__xludf.DUMMYFUNCTION("""COMPUTED_VALUE"""),5)</f>
        <v>5</v>
      </c>
      <c r="K1142" s="1" t="str">
        <f ca="1">IFERROR(__xludf.DUMMYFUNCTION("""COMPUTED_VALUE"""),"Hybrid Working Environment with more than 15 days a month at office")</f>
        <v>Hybrid Working Environment with more than 15 days a month at office</v>
      </c>
      <c r="L1142" s="1" t="str">
        <f ca="1">IFERROR(__xludf.DUMMYFUNCTION("""COMPUTED_VALUE"""),"Employer who pushes your limits by enabling an learning environment, and rewards you at the end")</f>
        <v>Employer who pushes your limits by enabling an learning environment, and rewards you at the end</v>
      </c>
      <c r="M11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2" s="1" t="str">
        <f ca="1">IFERROR(__xludf.DUMMYFUNCTION("""COMPUTED_VALUE"""),"Design and Creative strategy in any company, Manage and drive End-to-End Projects or Products, I Want to sell things/Sales, Manufacturing / Oil and Gas/ Construction / Hard Physical Work related")</f>
        <v>Design and Creative strategy in any company, Manage and drive End-to-End Projects or Products, I Want to sell things/Sales, Manufacturing / Oil and Gas/ Construction / Hard Physical Work related</v>
      </c>
      <c r="O1142" s="1" t="str">
        <f ca="1">IFERROR(__xludf.DUMMYFUNCTION("""COMPUTED_VALUE"""),"Manager who clearly describes what she/he needs")</f>
        <v>Manager who clearly describes what she/he needs</v>
      </c>
      <c r="P1142" s="1" t="str">
        <f ca="1">IFERROR(__xludf.DUMMYFUNCTION("""COMPUTED_VALUE"""),"Work with 2 to 3 people in my team")</f>
        <v>Work with 2 to 3 people in my team</v>
      </c>
      <c r="Q1142" s="1"/>
    </row>
    <row r="1143" spans="1:17" ht="13.2" x14ac:dyDescent="0.25">
      <c r="A1143" s="2">
        <f ca="1">IFERROR(__xludf.DUMMYFUNCTION("""COMPUTED_VALUE"""),45044.3183920254)</f>
        <v>45044.318392025401</v>
      </c>
      <c r="B1143" s="1" t="str">
        <f ca="1">IFERROR(__xludf.DUMMYFUNCTION("""COMPUTED_VALUE"""),"India")</f>
        <v>India</v>
      </c>
      <c r="C1143" s="1">
        <f ca="1">IFERROR(__xludf.DUMMYFUNCTION("""COMPUTED_VALUE"""),500098)</f>
        <v>500098</v>
      </c>
      <c r="D1143" s="3" t="str">
        <f ca="1">IFERROR(__xludf.DUMMYFUNCTION("""COMPUTED_VALUE"""),"Male")</f>
        <v>Male</v>
      </c>
      <c r="E1143" s="1" t="str">
        <f ca="1">IFERROR(__xludf.DUMMYFUNCTION("""COMPUTED_VALUE"""),"People who have changed the world for better")</f>
        <v>People who have changed the world for better</v>
      </c>
      <c r="F1143" s="1" t="str">
        <f ca="1">IFERROR(__xludf.DUMMYFUNCTION("""COMPUTED_VALUE"""),"Yes, I will earn and do that")</f>
        <v>Yes, I will earn and do that</v>
      </c>
      <c r="G1143" s="1" t="str">
        <f ca="1">IFERROR(__xludf.DUMMYFUNCTION("""COMPUTED_VALUE"""),"This will be hard to do, but if it is the right company I would try")</f>
        <v>This will be hard to do, but if it is the right company I would try</v>
      </c>
      <c r="H1143" s="1" t="str">
        <f ca="1">IFERROR(__xludf.DUMMYFUNCTION("""COMPUTED_VALUE"""),"No")</f>
        <v>No</v>
      </c>
      <c r="I1143" s="1" t="str">
        <f ca="1">IFERROR(__xludf.DUMMYFUNCTION("""COMPUTED_VALUE"""),"Will NOT work for them")</f>
        <v>Will NOT work for them</v>
      </c>
      <c r="J1143" s="1">
        <f ca="1">IFERROR(__xludf.DUMMYFUNCTION("""COMPUTED_VALUE"""),9)</f>
        <v>9</v>
      </c>
      <c r="K1143" s="1" t="str">
        <f ca="1">IFERROR(__xludf.DUMMYFUNCTION("""COMPUTED_VALUE"""),"Fully Remote with Options to travel as and when needed")</f>
        <v>Fully Remote with Options to travel as and when needed</v>
      </c>
      <c r="L1143" s="1" t="str">
        <f ca="1">IFERROR(__xludf.DUMMYFUNCTION("""COMPUTED_VALUE"""),"Employer who pushes your limits by enabling an learning environment, and rewards you at the end")</f>
        <v>Employer who pushes your limits by enabling an learning environment, and rewards you at the end</v>
      </c>
      <c r="M114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143"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43" s="1" t="str">
        <f ca="1">IFERROR(__xludf.DUMMYFUNCTION("""COMPUTED_VALUE"""),"Manager who clearly describes what she/he needs")</f>
        <v>Manager who clearly describes what she/he needs</v>
      </c>
      <c r="P1143" s="1" t="str">
        <f ca="1">IFERROR(__xludf.DUMMYFUNCTION("""COMPUTED_VALUE"""),"Work alone")</f>
        <v>Work alone</v>
      </c>
      <c r="Q1143" s="1"/>
    </row>
    <row r="1144" spans="1:17" ht="13.2" x14ac:dyDescent="0.25">
      <c r="A1144" s="2">
        <f ca="1">IFERROR(__xludf.DUMMYFUNCTION("""COMPUTED_VALUE"""),45044.3199665277)</f>
        <v>45044.319966527699</v>
      </c>
      <c r="B1144" s="1" t="str">
        <f ca="1">IFERROR(__xludf.DUMMYFUNCTION("""COMPUTED_VALUE"""),"India")</f>
        <v>India</v>
      </c>
      <c r="C1144" s="1">
        <f ca="1">IFERROR(__xludf.DUMMYFUNCTION("""COMPUTED_VALUE"""),534197)</f>
        <v>534197</v>
      </c>
      <c r="D1144" s="3" t="str">
        <f ca="1">IFERROR(__xludf.DUMMYFUNCTION("""COMPUTED_VALUE"""),"Male")</f>
        <v>Male</v>
      </c>
      <c r="E1144" s="1" t="str">
        <f ca="1">IFERROR(__xludf.DUMMYFUNCTION("""COMPUTED_VALUE"""),"Influencers who had successful careers")</f>
        <v>Influencers who had successful careers</v>
      </c>
      <c r="F1144" s="1" t="str">
        <f ca="1">IFERROR(__xludf.DUMMYFUNCTION("""COMPUTED_VALUE"""),"No I would not be pursuing Higher Education outside of India")</f>
        <v>No I would not be pursuing Higher Education outside of India</v>
      </c>
      <c r="G1144" s="1" t="str">
        <f ca="1">IFERROR(__xludf.DUMMYFUNCTION("""COMPUTED_VALUE"""),"Will work for 3 years or more")</f>
        <v>Will work for 3 years or more</v>
      </c>
      <c r="H1144" s="1" t="str">
        <f ca="1">IFERROR(__xludf.DUMMYFUNCTION("""COMPUTED_VALUE"""),"No")</f>
        <v>No</v>
      </c>
      <c r="I1144" s="1" t="str">
        <f ca="1">IFERROR(__xludf.DUMMYFUNCTION("""COMPUTED_VALUE"""),"Will NOT work for them")</f>
        <v>Will NOT work for them</v>
      </c>
      <c r="J1144" s="1">
        <f ca="1">IFERROR(__xludf.DUMMYFUNCTION("""COMPUTED_VALUE"""),2)</f>
        <v>2</v>
      </c>
      <c r="K1144" s="1" t="str">
        <f ca="1">IFERROR(__xludf.DUMMYFUNCTION("""COMPUTED_VALUE"""),"Every Day Office Environment")</f>
        <v>Every Day Office Environment</v>
      </c>
      <c r="L1144" s="1" t="str">
        <f ca="1">IFERROR(__xludf.DUMMYFUNCTION("""COMPUTED_VALUE"""),"Employer who appreciates learning and enables that environment")</f>
        <v>Employer who appreciates learning and enables that environment</v>
      </c>
      <c r="M114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44" s="1" t="str">
        <f ca="1">IFERROR(__xludf.DUMMYFUNCTION("""COMPUTED_VALUE"""),"Manager who explains what is expected, sets a goal and helps achieve it")</f>
        <v>Manager who explains what is expected, sets a goal and helps achieve it</v>
      </c>
      <c r="P1144" s="1" t="str">
        <f ca="1">IFERROR(__xludf.DUMMYFUNCTION("""COMPUTED_VALUE"""),"Work with 5 to 6 people in my team")</f>
        <v>Work with 5 to 6 people in my team</v>
      </c>
      <c r="Q1144" s="1"/>
    </row>
    <row r="1145" spans="1:17" ht="13.2" x14ac:dyDescent="0.25">
      <c r="A1145" s="2">
        <f ca="1">IFERROR(__xludf.DUMMYFUNCTION("""COMPUTED_VALUE"""),45044.3277191319)</f>
        <v>45044.327719131899</v>
      </c>
      <c r="B1145" s="1" t="str">
        <f ca="1">IFERROR(__xludf.DUMMYFUNCTION("""COMPUTED_VALUE"""),"India")</f>
        <v>India</v>
      </c>
      <c r="C1145" s="1">
        <f ca="1">IFERROR(__xludf.DUMMYFUNCTION("""COMPUTED_VALUE"""),535003)</f>
        <v>535003</v>
      </c>
      <c r="D1145" s="3" t="str">
        <f ca="1">IFERROR(__xludf.DUMMYFUNCTION("""COMPUTED_VALUE"""),"Female")</f>
        <v>Female</v>
      </c>
      <c r="E1145" s="1" t="str">
        <f ca="1">IFERROR(__xludf.DUMMYFUNCTION("""COMPUTED_VALUE"""),"Influencers who had successful careers")</f>
        <v>Influencers who had successful careers</v>
      </c>
      <c r="F1145" s="1" t="str">
        <f ca="1">IFERROR(__xludf.DUMMYFUNCTION("""COMPUTED_VALUE"""),"No, But if someone could bare the cost I will")</f>
        <v>No, But if someone could bare the cost I will</v>
      </c>
      <c r="G1145" s="1" t="str">
        <f ca="1">IFERROR(__xludf.DUMMYFUNCTION("""COMPUTED_VALUE"""),"This will be hard to do, but if it is the right company I would try")</f>
        <v>This will be hard to do, but if it is the right company I would try</v>
      </c>
      <c r="H1145" s="1" t="str">
        <f ca="1">IFERROR(__xludf.DUMMYFUNCTION("""COMPUTED_VALUE"""),"No")</f>
        <v>No</v>
      </c>
      <c r="I1145" s="1" t="str">
        <f ca="1">IFERROR(__xludf.DUMMYFUNCTION("""COMPUTED_VALUE"""),"Will NOT work for them")</f>
        <v>Will NOT work for them</v>
      </c>
      <c r="J1145" s="1">
        <f ca="1">IFERROR(__xludf.DUMMYFUNCTION("""COMPUTED_VALUE"""),1)</f>
        <v>1</v>
      </c>
      <c r="K1145" s="1" t="str">
        <f ca="1">IFERROR(__xludf.DUMMYFUNCTION("""COMPUTED_VALUE"""),"Hybrid Working Environment with more than 15 days a month at office")</f>
        <v>Hybrid Working Environment with more than 15 days a month at office</v>
      </c>
      <c r="L1145" s="1" t="str">
        <f ca="1">IFERROR(__xludf.DUMMYFUNCTION("""COMPUTED_VALUE"""),"Employer who pushes your limits by enabling an learning environment, and rewards you at the end")</f>
        <v>Employer who pushes your limits by enabling an learning environment, and rewards you at the end</v>
      </c>
      <c r="M11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5" s="1" t="str">
        <f ca="1">IFERROR(__xludf.DUMMYFUNCTION("""COMPUTED_VALUE"""),"Build and develop a Team, Look deeply into Data and generate insights, Work in a BPO setup for some well known client, An Artificial Intelligence Specialist / Talking to Robots")</f>
        <v>Build and develop a Team, Look deeply into Data and generate insights, Work in a BPO setup for some well known client, An Artificial Intelligence Specialist / Talking to Robots</v>
      </c>
      <c r="O1145" s="1" t="str">
        <f ca="1">IFERROR(__xludf.DUMMYFUNCTION("""COMPUTED_VALUE"""),"Manager who explains what is expected, sets a goal and helps achieve it")</f>
        <v>Manager who explains what is expected, sets a goal and helps achieve it</v>
      </c>
      <c r="P1145" s="1" t="str">
        <f ca="1">IFERROR(__xludf.DUMMYFUNCTION("""COMPUTED_VALUE"""),"Work with 2 to 3 people in my team, Work with 5 to 6 people in my team")</f>
        <v>Work with 2 to 3 people in my team, Work with 5 to 6 people in my team</v>
      </c>
      <c r="Q1145" s="1"/>
    </row>
    <row r="1146" spans="1:17" ht="13.2" x14ac:dyDescent="0.25">
      <c r="A1146" s="2">
        <f ca="1">IFERROR(__xludf.DUMMYFUNCTION("""COMPUTED_VALUE"""),45044.3326683101)</f>
        <v>45044.332668310097</v>
      </c>
      <c r="B1146" s="1" t="str">
        <f ca="1">IFERROR(__xludf.DUMMYFUNCTION("""COMPUTED_VALUE"""),"India")</f>
        <v>India</v>
      </c>
      <c r="C1146" s="1">
        <f ca="1">IFERROR(__xludf.DUMMYFUNCTION("""COMPUTED_VALUE"""),500082)</f>
        <v>500082</v>
      </c>
      <c r="D1146" s="3" t="str">
        <f ca="1">IFERROR(__xludf.DUMMYFUNCTION("""COMPUTED_VALUE"""),"Female")</f>
        <v>Female</v>
      </c>
      <c r="E1146" s="1" t="str">
        <f ca="1">IFERROR(__xludf.DUMMYFUNCTION("""COMPUTED_VALUE"""),"People who have changed the world for better")</f>
        <v>People who have changed the world for better</v>
      </c>
      <c r="F1146" s="1" t="str">
        <f ca="1">IFERROR(__xludf.DUMMYFUNCTION("""COMPUTED_VALUE"""),"No I would not be pursuing Higher Education outside of India")</f>
        <v>No I would not be pursuing Higher Education outside of India</v>
      </c>
      <c r="G1146" s="1" t="str">
        <f ca="1">IFERROR(__xludf.DUMMYFUNCTION("""COMPUTED_VALUE"""),"Will work for 3 years or more")</f>
        <v>Will work for 3 years or more</v>
      </c>
      <c r="H1146" s="1" t="str">
        <f ca="1">IFERROR(__xludf.DUMMYFUNCTION("""COMPUTED_VALUE"""),"No")</f>
        <v>No</v>
      </c>
      <c r="I1146" s="1" t="str">
        <f ca="1">IFERROR(__xludf.DUMMYFUNCTION("""COMPUTED_VALUE"""),"Will NOT work for them")</f>
        <v>Will NOT work for them</v>
      </c>
      <c r="J1146" s="1">
        <f ca="1">IFERROR(__xludf.DUMMYFUNCTION("""COMPUTED_VALUE"""),3)</f>
        <v>3</v>
      </c>
      <c r="K1146" s="1" t="str">
        <f ca="1">IFERROR(__xludf.DUMMYFUNCTION("""COMPUTED_VALUE"""),"Every Day Office Environment")</f>
        <v>Every Day Office Environment</v>
      </c>
      <c r="L1146" s="1" t="str">
        <f ca="1">IFERROR(__xludf.DUMMYFUNCTION("""COMPUTED_VALUE"""),"Employer who appreciates learning and enables that environment")</f>
        <v>Employer who appreciates learning and enables that environment</v>
      </c>
      <c r="M11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6"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46" s="1" t="str">
        <f ca="1">IFERROR(__xludf.DUMMYFUNCTION("""COMPUTED_VALUE"""),"Manager who explains what is expected, sets a goal and helps achieve it")</f>
        <v>Manager who explains what is expected, sets a goal and helps achieve it</v>
      </c>
      <c r="P1146" s="1" t="str">
        <f ca="1">IFERROR(__xludf.DUMMYFUNCTION("""COMPUTED_VALUE"""),"Work with more than 10 people in my team")</f>
        <v>Work with more than 10 people in my team</v>
      </c>
      <c r="Q1146" s="1"/>
    </row>
    <row r="1147" spans="1:17" ht="13.2" x14ac:dyDescent="0.25">
      <c r="A1147" s="2">
        <f ca="1">IFERROR(__xludf.DUMMYFUNCTION("""COMPUTED_VALUE"""),45044.3351480208)</f>
        <v>45044.3351480208</v>
      </c>
      <c r="B1147" s="1" t="str">
        <f ca="1">IFERROR(__xludf.DUMMYFUNCTION("""COMPUTED_VALUE"""),"India")</f>
        <v>India</v>
      </c>
      <c r="C1147" s="1">
        <f ca="1">IFERROR(__xludf.DUMMYFUNCTION("""COMPUTED_VALUE"""),395006)</f>
        <v>395006</v>
      </c>
      <c r="D1147" s="3" t="str">
        <f ca="1">IFERROR(__xludf.DUMMYFUNCTION("""COMPUTED_VALUE"""),"Male")</f>
        <v>Male</v>
      </c>
      <c r="E1147" s="1" t="str">
        <f ca="1">IFERROR(__xludf.DUMMYFUNCTION("""COMPUTED_VALUE"""),"People from my circle, but not family members")</f>
        <v>People from my circle, but not family members</v>
      </c>
      <c r="F1147" s="1" t="str">
        <f ca="1">IFERROR(__xludf.DUMMYFUNCTION("""COMPUTED_VALUE"""),"Yes, I will earn and do that")</f>
        <v>Yes, I will earn and do that</v>
      </c>
      <c r="G1147" s="1" t="str">
        <f ca="1">IFERROR(__xludf.DUMMYFUNCTION("""COMPUTED_VALUE"""),"Will work for 3 years or more")</f>
        <v>Will work for 3 years or more</v>
      </c>
      <c r="H1147" s="1" t="str">
        <f ca="1">IFERROR(__xludf.DUMMYFUNCTION("""COMPUTED_VALUE"""),"No")</f>
        <v>No</v>
      </c>
      <c r="I1147" s="1" t="str">
        <f ca="1">IFERROR(__xludf.DUMMYFUNCTION("""COMPUTED_VALUE"""),"Will NOT work for them")</f>
        <v>Will NOT work for them</v>
      </c>
      <c r="J1147" s="1">
        <f ca="1">IFERROR(__xludf.DUMMYFUNCTION("""COMPUTED_VALUE"""),6)</f>
        <v>6</v>
      </c>
      <c r="K1147" s="1" t="str">
        <f ca="1">IFERROR(__xludf.DUMMYFUNCTION("""COMPUTED_VALUE"""),"Hybrid Working Environment with more than 15 days a month at office")</f>
        <v>Hybrid Working Environment with more than 15 days a month at office</v>
      </c>
      <c r="L1147" s="1" t="str">
        <f ca="1">IFERROR(__xludf.DUMMYFUNCTION("""COMPUTED_VALUE"""),"Employer who appreciates learning and enables that environment")</f>
        <v>Employer who appreciates learning and enables that environment</v>
      </c>
      <c r="M1147" s="1" t="str">
        <f ca="1">IFERROR(__xludf.DUMMYFUNCTION("""COMPUTED_VALUE"""),"Self Paced Learning Portals of the Company, Instructor or Expert Learning Programs, Manager Teaching you")</f>
        <v>Self Paced Learning Portals of the Company, Instructor or Expert Learning Programs, Manager Teaching you</v>
      </c>
      <c r="N1147"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147" s="1" t="str">
        <f ca="1">IFERROR(__xludf.DUMMYFUNCTION("""COMPUTED_VALUE"""),"Manager who explains what is expected, sets a goal and helps achieve it")</f>
        <v>Manager who explains what is expected, sets a goal and helps achieve it</v>
      </c>
      <c r="P1147" s="1" t="str">
        <f ca="1">IFERROR(__xludf.DUMMYFUNCTION("""COMPUTED_VALUE"""),"Work alone, Work with 5 to 6 people in my team")</f>
        <v>Work alone, Work with 5 to 6 people in my team</v>
      </c>
      <c r="Q1147" s="1"/>
    </row>
    <row r="1148" spans="1:17" ht="13.2" x14ac:dyDescent="0.25">
      <c r="A1148" s="2">
        <f ca="1">IFERROR(__xludf.DUMMYFUNCTION("""COMPUTED_VALUE"""),45044.3373971759)</f>
        <v>45044.337397175899</v>
      </c>
      <c r="B1148" s="1" t="str">
        <f ca="1">IFERROR(__xludf.DUMMYFUNCTION("""COMPUTED_VALUE"""),"India")</f>
        <v>India</v>
      </c>
      <c r="C1148" s="1">
        <f ca="1">IFERROR(__xludf.DUMMYFUNCTION("""COMPUTED_VALUE"""),500054)</f>
        <v>500054</v>
      </c>
      <c r="D1148" s="3" t="str">
        <f ca="1">IFERROR(__xludf.DUMMYFUNCTION("""COMPUTED_VALUE"""),"Female")</f>
        <v>Female</v>
      </c>
      <c r="E1148" s="1" t="str">
        <f ca="1">IFERROR(__xludf.DUMMYFUNCTION("""COMPUTED_VALUE"""),"People from my circle, but not family members")</f>
        <v>People from my circle, but not family members</v>
      </c>
      <c r="F1148" s="1" t="str">
        <f ca="1">IFERROR(__xludf.DUMMYFUNCTION("""COMPUTED_VALUE"""),"No I would not be pursuing Higher Education outside of India")</f>
        <v>No I would not be pursuing Higher Education outside of India</v>
      </c>
      <c r="G1148" s="1" t="str">
        <f ca="1">IFERROR(__xludf.DUMMYFUNCTION("""COMPUTED_VALUE"""),"This will be hard to do, but if it is the right company I would try")</f>
        <v>This will be hard to do, but if it is the right company I would try</v>
      </c>
      <c r="H1148" s="1" t="str">
        <f ca="1">IFERROR(__xludf.DUMMYFUNCTION("""COMPUTED_VALUE"""),"Yes")</f>
        <v>Yes</v>
      </c>
      <c r="I1148" s="1" t="str">
        <f ca="1">IFERROR(__xludf.DUMMYFUNCTION("""COMPUTED_VALUE"""),"Will NOT work for them")</f>
        <v>Will NOT work for them</v>
      </c>
      <c r="J1148" s="1">
        <f ca="1">IFERROR(__xludf.DUMMYFUNCTION("""COMPUTED_VALUE"""),5)</f>
        <v>5</v>
      </c>
      <c r="K1148" s="1" t="str">
        <f ca="1">IFERROR(__xludf.DUMMYFUNCTION("""COMPUTED_VALUE"""),"Hybrid Working Environment with more than 15 days a month at office")</f>
        <v>Hybrid Working Environment with more than 15 days a month at office</v>
      </c>
      <c r="L1148" s="1" t="str">
        <f ca="1">IFERROR(__xludf.DUMMYFUNCTION("""COMPUTED_VALUE"""),"Employer who pushes your limits by enabling an learning environment, and rewards you at the end")</f>
        <v>Employer who pushes your limits by enabling an learning environment, and rewards you at the end</v>
      </c>
      <c r="M114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48"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1148" s="1" t="str">
        <f ca="1">IFERROR(__xludf.DUMMYFUNCTION("""COMPUTED_VALUE"""),"Manager who explains what is expected, sets a goal and helps achieve it")</f>
        <v>Manager who explains what is expected, sets a goal and helps achieve it</v>
      </c>
      <c r="P1148" s="1" t="str">
        <f ca="1">IFERROR(__xludf.DUMMYFUNCTION("""COMPUTED_VALUE"""),"Work with 5 to 6 people in my team")</f>
        <v>Work with 5 to 6 people in my team</v>
      </c>
      <c r="Q1148" s="1"/>
    </row>
    <row r="1149" spans="1:17" ht="13.2" x14ac:dyDescent="0.25">
      <c r="A1149" s="2">
        <f ca="1">IFERROR(__xludf.DUMMYFUNCTION("""COMPUTED_VALUE"""),45044.3377527777)</f>
        <v>45044.337752777697</v>
      </c>
      <c r="B1149" s="1" t="str">
        <f ca="1">IFERROR(__xludf.DUMMYFUNCTION("""COMPUTED_VALUE"""),"Others")</f>
        <v>Others</v>
      </c>
      <c r="C1149" s="1">
        <f ca="1">IFERROR(__xludf.DUMMYFUNCTION("""COMPUTED_VALUE"""),4701)</f>
        <v>4701</v>
      </c>
      <c r="D1149" s="3" t="str">
        <f ca="1">IFERROR(__xludf.DUMMYFUNCTION("""COMPUTED_VALUE"""),"Female")</f>
        <v>Female</v>
      </c>
      <c r="E1149" s="1" t="str">
        <f ca="1">IFERROR(__xludf.DUMMYFUNCTION("""COMPUTED_VALUE"""),"My Parents")</f>
        <v>My Parents</v>
      </c>
      <c r="F1149" s="1" t="str">
        <f ca="1">IFERROR(__xludf.DUMMYFUNCTION("""COMPUTED_VALUE"""),"Yes, I will earn and do that")</f>
        <v>Yes, I will earn and do that</v>
      </c>
      <c r="G1149" s="1" t="str">
        <f ca="1">IFERROR(__xludf.DUMMYFUNCTION("""COMPUTED_VALUE"""),"This will be hard to do, but if it is the right company I would try")</f>
        <v>This will be hard to do, but if it is the right company I would try</v>
      </c>
      <c r="H1149" s="1" t="str">
        <f ca="1">IFERROR(__xludf.DUMMYFUNCTION("""COMPUTED_VALUE"""),"No")</f>
        <v>No</v>
      </c>
      <c r="I1149" s="1" t="str">
        <f ca="1">IFERROR(__xludf.DUMMYFUNCTION("""COMPUTED_VALUE"""),"Will NOT work for them")</f>
        <v>Will NOT work for them</v>
      </c>
      <c r="J1149" s="1">
        <f ca="1">IFERROR(__xludf.DUMMYFUNCTION("""COMPUTED_VALUE"""),5)</f>
        <v>5</v>
      </c>
      <c r="K1149" s="1" t="str">
        <f ca="1">IFERROR(__xludf.DUMMYFUNCTION("""COMPUTED_VALUE"""),"Hybrid Working Environment with more than 15 days a month at office")</f>
        <v>Hybrid Working Environment with more than 15 days a month at office</v>
      </c>
      <c r="L1149" s="1" t="str">
        <f ca="1">IFERROR(__xludf.DUMMYFUNCTION("""COMPUTED_VALUE"""),"Employer who pushes your limits by enabling an learning environment, and rewards you at the end")</f>
        <v>Employer who pushes your limits by enabling an learning environment, and rewards you at the end</v>
      </c>
      <c r="M114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4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49" s="1" t="str">
        <f ca="1">IFERROR(__xludf.DUMMYFUNCTION("""COMPUTED_VALUE"""),"Manager who explains what is expected, sets a goal and helps achieve it")</f>
        <v>Manager who explains what is expected, sets a goal and helps achieve it</v>
      </c>
      <c r="P1149" s="1" t="str">
        <f ca="1">IFERROR(__xludf.DUMMYFUNCTION("""COMPUTED_VALUE"""),"Work with 2 to 3 people in my team")</f>
        <v>Work with 2 to 3 people in my team</v>
      </c>
      <c r="Q1149" s="1"/>
    </row>
    <row r="1150" spans="1:17" ht="13.2" x14ac:dyDescent="0.25">
      <c r="A1150" s="2">
        <f ca="1">IFERROR(__xludf.DUMMYFUNCTION("""COMPUTED_VALUE"""),45044.3410362384)</f>
        <v>45044.341036238402</v>
      </c>
      <c r="B1150" s="1" t="str">
        <f ca="1">IFERROR(__xludf.DUMMYFUNCTION("""COMPUTED_VALUE"""),"India")</f>
        <v>India</v>
      </c>
      <c r="C1150" s="1">
        <f ca="1">IFERROR(__xludf.DUMMYFUNCTION("""COMPUTED_VALUE"""),600056)</f>
        <v>600056</v>
      </c>
      <c r="D1150" s="3" t="str">
        <f ca="1">IFERROR(__xludf.DUMMYFUNCTION("""COMPUTED_VALUE"""),"Female")</f>
        <v>Female</v>
      </c>
      <c r="E1150" s="1" t="str">
        <f ca="1">IFERROR(__xludf.DUMMYFUNCTION("""COMPUTED_VALUE"""),"People who have changed the world for better")</f>
        <v>People who have changed the world for better</v>
      </c>
      <c r="F1150" s="1" t="str">
        <f ca="1">IFERROR(__xludf.DUMMYFUNCTION("""COMPUTED_VALUE"""),"No I would not be pursuing Higher Education outside of India")</f>
        <v>No I would not be pursuing Higher Education outside of India</v>
      </c>
      <c r="G1150" s="1" t="str">
        <f ca="1">IFERROR(__xludf.DUMMYFUNCTION("""COMPUTED_VALUE"""),"This will be hard to do, but if it is the right company I would try")</f>
        <v>This will be hard to do, but if it is the right company I would try</v>
      </c>
      <c r="H1150" s="1" t="str">
        <f ca="1">IFERROR(__xludf.DUMMYFUNCTION("""COMPUTED_VALUE"""),"No")</f>
        <v>No</v>
      </c>
      <c r="I1150" s="1" t="str">
        <f ca="1">IFERROR(__xludf.DUMMYFUNCTION("""COMPUTED_VALUE"""),"Will NOT work for them")</f>
        <v>Will NOT work for them</v>
      </c>
      <c r="J1150" s="1">
        <f ca="1">IFERROR(__xludf.DUMMYFUNCTION("""COMPUTED_VALUE"""),2)</f>
        <v>2</v>
      </c>
      <c r="K1150" s="1" t="str">
        <f ca="1">IFERROR(__xludf.DUMMYFUNCTION("""COMPUTED_VALUE"""),"Hybrid Working Environment with more than 15 days a month at office")</f>
        <v>Hybrid Working Environment with more than 15 days a month at office</v>
      </c>
      <c r="L1150" s="1" t="str">
        <f ca="1">IFERROR(__xludf.DUMMYFUNCTION("""COMPUTED_VALUE"""),"Employer who pushes your limits by enabling an learning environment, and rewards you at the end")</f>
        <v>Employer who pushes your limits by enabling an learning environment, and rewards you at the end</v>
      </c>
      <c r="M11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50"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50" s="1" t="str">
        <f ca="1">IFERROR(__xludf.DUMMYFUNCTION("""COMPUTED_VALUE"""),"Manager who explains what is expected, sets a goal and helps achieve it")</f>
        <v>Manager who explains what is expected, sets a goal and helps achieve it</v>
      </c>
      <c r="P1150" s="1" t="str">
        <f ca="1">IFERROR(__xludf.DUMMYFUNCTION("""COMPUTED_VALUE"""),"Work with 5 to 6 people in my team")</f>
        <v>Work with 5 to 6 people in my team</v>
      </c>
      <c r="Q1150" s="1"/>
    </row>
    <row r="1151" spans="1:17" ht="13.2" x14ac:dyDescent="0.25">
      <c r="A1151" s="2">
        <f ca="1">IFERROR(__xludf.DUMMYFUNCTION("""COMPUTED_VALUE"""),45044.3424342476)</f>
        <v>45044.342434247599</v>
      </c>
      <c r="B1151" s="1" t="str">
        <f ca="1">IFERROR(__xludf.DUMMYFUNCTION("""COMPUTED_VALUE"""),"India")</f>
        <v>India</v>
      </c>
      <c r="C1151" s="1">
        <f ca="1">IFERROR(__xludf.DUMMYFUNCTION("""COMPUTED_VALUE"""),531031)</f>
        <v>531031</v>
      </c>
      <c r="D1151" s="3" t="str">
        <f ca="1">IFERROR(__xludf.DUMMYFUNCTION("""COMPUTED_VALUE"""),"Male")</f>
        <v>Male</v>
      </c>
      <c r="E1151" s="1" t="str">
        <f ca="1">IFERROR(__xludf.DUMMYFUNCTION("""COMPUTED_VALUE"""),"People who have changed the world for better")</f>
        <v>People who have changed the world for better</v>
      </c>
      <c r="F1151" s="1" t="str">
        <f ca="1">IFERROR(__xludf.DUMMYFUNCTION("""COMPUTED_VALUE"""),"No, But if someone could bare the cost I will")</f>
        <v>No, But if someone could bare the cost I will</v>
      </c>
      <c r="G1151" s="1" t="str">
        <f ca="1">IFERROR(__xludf.DUMMYFUNCTION("""COMPUTED_VALUE"""),"This will be hard to do, but if it is the right company I would try")</f>
        <v>This will be hard to do, but if it is the right company I would try</v>
      </c>
      <c r="H1151" s="1" t="str">
        <f ca="1">IFERROR(__xludf.DUMMYFUNCTION("""COMPUTED_VALUE"""),"No")</f>
        <v>No</v>
      </c>
      <c r="I1151" s="1" t="str">
        <f ca="1">IFERROR(__xludf.DUMMYFUNCTION("""COMPUTED_VALUE"""),"Will NOT work for them")</f>
        <v>Will NOT work for them</v>
      </c>
      <c r="J1151" s="1">
        <f ca="1">IFERROR(__xludf.DUMMYFUNCTION("""COMPUTED_VALUE"""),8)</f>
        <v>8</v>
      </c>
      <c r="K1151" s="1" t="str">
        <f ca="1">IFERROR(__xludf.DUMMYFUNCTION("""COMPUTED_VALUE"""),"Every Day Office Environment")</f>
        <v>Every Day Office Environment</v>
      </c>
      <c r="L1151" s="1" t="str">
        <f ca="1">IFERROR(__xludf.DUMMYFUNCTION("""COMPUTED_VALUE"""),"Employer who pushes your limits by enabling an learning environment, and rewards you at the end")</f>
        <v>Employer who pushes your limits by enabling an learning environment, and rewards you at the end</v>
      </c>
      <c r="M115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51"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51" s="1" t="str">
        <f ca="1">IFERROR(__xludf.DUMMYFUNCTION("""COMPUTED_VALUE"""),"Manager who sets goal and helps me achieve it")</f>
        <v>Manager who sets goal and helps me achieve it</v>
      </c>
      <c r="P1151" s="1" t="str">
        <f ca="1">IFERROR(__xludf.DUMMYFUNCTION("""COMPUTED_VALUE"""),"Work with 7 to 10 or more people in my team")</f>
        <v>Work with 7 to 10 or more people in my team</v>
      </c>
      <c r="Q1151" s="1"/>
    </row>
    <row r="1152" spans="1:17" ht="13.2" x14ac:dyDescent="0.25">
      <c r="A1152" s="2">
        <f ca="1">IFERROR(__xludf.DUMMYFUNCTION("""COMPUTED_VALUE"""),45044.3453370717)</f>
        <v>45044.345337071703</v>
      </c>
      <c r="B1152" s="1" t="str">
        <f ca="1">IFERROR(__xludf.DUMMYFUNCTION("""COMPUTED_VALUE"""),"India")</f>
        <v>India</v>
      </c>
      <c r="C1152" s="1">
        <f ca="1">IFERROR(__xludf.DUMMYFUNCTION("""COMPUTED_VALUE"""),533435)</f>
        <v>533435</v>
      </c>
      <c r="D1152" s="3" t="str">
        <f ca="1">IFERROR(__xludf.DUMMYFUNCTION("""COMPUTED_VALUE"""),"Male")</f>
        <v>Male</v>
      </c>
      <c r="E1152" s="1" t="str">
        <f ca="1">IFERROR(__xludf.DUMMYFUNCTION("""COMPUTED_VALUE"""),"My Parents")</f>
        <v>My Parents</v>
      </c>
      <c r="F1152" s="1" t="str">
        <f ca="1">IFERROR(__xludf.DUMMYFUNCTION("""COMPUTED_VALUE"""),"Yes, I will earn and do that")</f>
        <v>Yes, I will earn and do that</v>
      </c>
      <c r="G1152" s="1" t="str">
        <f ca="1">IFERROR(__xludf.DUMMYFUNCTION("""COMPUTED_VALUE"""),"Will work for 3 years or more")</f>
        <v>Will work for 3 years or more</v>
      </c>
      <c r="H1152" s="1" t="str">
        <f ca="1">IFERROR(__xludf.DUMMYFUNCTION("""COMPUTED_VALUE"""),"No")</f>
        <v>No</v>
      </c>
      <c r="I1152" s="1" t="str">
        <f ca="1">IFERROR(__xludf.DUMMYFUNCTION("""COMPUTED_VALUE"""),"Will NOT work for them")</f>
        <v>Will NOT work for them</v>
      </c>
      <c r="J1152" s="1">
        <f ca="1">IFERROR(__xludf.DUMMYFUNCTION("""COMPUTED_VALUE"""),6)</f>
        <v>6</v>
      </c>
      <c r="K1152" s="1" t="str">
        <f ca="1">IFERROR(__xludf.DUMMYFUNCTION("""COMPUTED_VALUE"""),"Hybrid Working Environment with more than 15 days a month at office")</f>
        <v>Hybrid Working Environment with more than 15 days a month at office</v>
      </c>
      <c r="L1152" s="1" t="str">
        <f ca="1">IFERROR(__xludf.DUMMYFUNCTION("""COMPUTED_VALUE"""),"Employer who pushes your limits by enabling an learning environment, and rewards you at the end")</f>
        <v>Employer who pushes your limits by enabling an learning environment, and rewards you at the end</v>
      </c>
      <c r="M115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5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152" s="1" t="str">
        <f ca="1">IFERROR(__xludf.DUMMYFUNCTION("""COMPUTED_VALUE"""),"Manager who explains what is expected, sets a goal and helps achieve it")</f>
        <v>Manager who explains what is expected, sets a goal and helps achieve it</v>
      </c>
      <c r="P1152" s="1" t="str">
        <f ca="1">IFERROR(__xludf.DUMMYFUNCTION("""COMPUTED_VALUE"""),"Work with 7 to 10 or more people in my team, Work with more than 10 people in my team")</f>
        <v>Work with 7 to 10 or more people in my team, Work with more than 10 people in my team</v>
      </c>
      <c r="Q1152" s="1"/>
    </row>
    <row r="1153" spans="1:17" ht="13.2" x14ac:dyDescent="0.25">
      <c r="A1153" s="2">
        <f ca="1">IFERROR(__xludf.DUMMYFUNCTION("""COMPUTED_VALUE"""),45044.3478526851)</f>
        <v>45044.347852685103</v>
      </c>
      <c r="B1153" s="1" t="str">
        <f ca="1">IFERROR(__xludf.DUMMYFUNCTION("""COMPUTED_VALUE"""),"India")</f>
        <v>India</v>
      </c>
      <c r="C1153" s="1">
        <f ca="1">IFERROR(__xludf.DUMMYFUNCTION("""COMPUTED_VALUE"""),403801)</f>
        <v>403801</v>
      </c>
      <c r="D1153" s="3" t="str">
        <f ca="1">IFERROR(__xludf.DUMMYFUNCTION("""COMPUTED_VALUE"""),"Female")</f>
        <v>Female</v>
      </c>
      <c r="E1153" s="1" t="str">
        <f ca="1">IFERROR(__xludf.DUMMYFUNCTION("""COMPUTED_VALUE"""),"People who have changed the world for better")</f>
        <v>People who have changed the world for better</v>
      </c>
      <c r="F1153" s="1" t="str">
        <f ca="1">IFERROR(__xludf.DUMMYFUNCTION("""COMPUTED_VALUE"""),"Yes, I will earn and do that")</f>
        <v>Yes, I will earn and do that</v>
      </c>
      <c r="G1153" s="1" t="str">
        <f ca="1">IFERROR(__xludf.DUMMYFUNCTION("""COMPUTED_VALUE"""),"Will work for 3 years or more")</f>
        <v>Will work for 3 years or more</v>
      </c>
      <c r="H1153" s="1" t="str">
        <f ca="1">IFERROR(__xludf.DUMMYFUNCTION("""COMPUTED_VALUE"""),"Yes")</f>
        <v>Yes</v>
      </c>
      <c r="I1153" s="1" t="str">
        <f ca="1">IFERROR(__xludf.DUMMYFUNCTION("""COMPUTED_VALUE"""),"Will work for them")</f>
        <v>Will work for them</v>
      </c>
      <c r="J1153" s="1">
        <f ca="1">IFERROR(__xludf.DUMMYFUNCTION("""COMPUTED_VALUE"""),10)</f>
        <v>10</v>
      </c>
      <c r="K1153" s="1" t="str">
        <f ca="1">IFERROR(__xludf.DUMMYFUNCTION("""COMPUTED_VALUE"""),"Every Day Office Environment")</f>
        <v>Every Day Office Environment</v>
      </c>
      <c r="L1153" s="1" t="str">
        <f ca="1">IFERROR(__xludf.DUMMYFUNCTION("""COMPUTED_VALUE"""),"Employer who appreciates learning and enables that environment")</f>
        <v>Employer who appreciates learning and enables that environment</v>
      </c>
      <c r="M115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53"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153" s="1" t="str">
        <f ca="1">IFERROR(__xludf.DUMMYFUNCTION("""COMPUTED_VALUE"""),"Manager who clearly describes what she/he needs")</f>
        <v>Manager who clearly describes what she/he needs</v>
      </c>
      <c r="P1153" s="1" t="str">
        <f ca="1">IFERROR(__xludf.DUMMYFUNCTION("""COMPUTED_VALUE"""),"Work with 5 to 6 people in my team")</f>
        <v>Work with 5 to 6 people in my team</v>
      </c>
      <c r="Q1153" s="1"/>
    </row>
    <row r="1154" spans="1:17" ht="13.2" x14ac:dyDescent="0.25">
      <c r="A1154" s="2">
        <f ca="1">IFERROR(__xludf.DUMMYFUNCTION("""COMPUTED_VALUE"""),45044.3507955555)</f>
        <v>45044.350795555503</v>
      </c>
      <c r="B1154" s="1" t="str">
        <f ca="1">IFERROR(__xludf.DUMMYFUNCTION("""COMPUTED_VALUE"""),"India")</f>
        <v>India</v>
      </c>
      <c r="C1154" s="1">
        <f ca="1">IFERROR(__xludf.DUMMYFUNCTION("""COMPUTED_VALUE"""),424307)</f>
        <v>424307</v>
      </c>
      <c r="D1154" s="3" t="str">
        <f ca="1">IFERROR(__xludf.DUMMYFUNCTION("""COMPUTED_VALUE"""),"Male")</f>
        <v>Male</v>
      </c>
      <c r="E1154" s="1" t="str">
        <f ca="1">IFERROR(__xludf.DUMMYFUNCTION("""COMPUTED_VALUE"""),"Social Media like LinkedIn")</f>
        <v>Social Media like LinkedIn</v>
      </c>
      <c r="F1154" s="1" t="str">
        <f ca="1">IFERROR(__xludf.DUMMYFUNCTION("""COMPUTED_VALUE"""),"Yes, I will earn and do that")</f>
        <v>Yes, I will earn and do that</v>
      </c>
      <c r="G1154" s="1" t="str">
        <f ca="1">IFERROR(__xludf.DUMMYFUNCTION("""COMPUTED_VALUE"""),"Will work for 3 years or more")</f>
        <v>Will work for 3 years or more</v>
      </c>
      <c r="H1154" s="1" t="str">
        <f ca="1">IFERROR(__xludf.DUMMYFUNCTION("""COMPUTED_VALUE"""),"No")</f>
        <v>No</v>
      </c>
      <c r="I1154" s="1" t="str">
        <f ca="1">IFERROR(__xludf.DUMMYFUNCTION("""COMPUTED_VALUE"""),"Will NOT work for them")</f>
        <v>Will NOT work for them</v>
      </c>
      <c r="J1154" s="1">
        <f ca="1">IFERROR(__xludf.DUMMYFUNCTION("""COMPUTED_VALUE"""),8)</f>
        <v>8</v>
      </c>
      <c r="K1154" s="1" t="str">
        <f ca="1">IFERROR(__xludf.DUMMYFUNCTION("""COMPUTED_VALUE"""),"Hybrid Working Environment with less than 3 days a month at office")</f>
        <v>Hybrid Working Environment with less than 3 days a month at office</v>
      </c>
      <c r="L1154" s="1" t="str">
        <f ca="1">IFERROR(__xludf.DUMMYFUNCTION("""COMPUTED_VALUE"""),"Employer who appreciates learning and enables that environment")</f>
        <v>Employer who appreciates learning and enables that environment</v>
      </c>
      <c r="M115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154" s="1" t="str">
        <f ca="1">IFERROR(__xludf.DUMMYFUNCTION("""COMPUTED_VALUE"""),"Manager who clearly describes what she/he needs")</f>
        <v>Manager who clearly describes what she/he needs</v>
      </c>
      <c r="P1154" s="1" t="str">
        <f ca="1">IFERROR(__xludf.DUMMYFUNCTION("""COMPUTED_VALUE"""),"Work with 5 to 6 people in my team")</f>
        <v>Work with 5 to 6 people in my team</v>
      </c>
      <c r="Q1154" s="1"/>
    </row>
    <row r="1155" spans="1:17" ht="13.2" x14ac:dyDescent="0.25">
      <c r="A1155" s="2">
        <f ca="1">IFERROR(__xludf.DUMMYFUNCTION("""COMPUTED_VALUE"""),45044.350843368)</f>
        <v>45044.350843368004</v>
      </c>
      <c r="B1155" s="1" t="str">
        <f ca="1">IFERROR(__xludf.DUMMYFUNCTION("""COMPUTED_VALUE"""),"India")</f>
        <v>India</v>
      </c>
      <c r="C1155" s="1">
        <f ca="1">IFERROR(__xludf.DUMMYFUNCTION("""COMPUTED_VALUE"""),201303)</f>
        <v>201303</v>
      </c>
      <c r="D1155" s="3" t="str">
        <f ca="1">IFERROR(__xludf.DUMMYFUNCTION("""COMPUTED_VALUE"""),"Male")</f>
        <v>Male</v>
      </c>
      <c r="E1155" s="1" t="str">
        <f ca="1">IFERROR(__xludf.DUMMYFUNCTION("""COMPUTED_VALUE"""),"Influencers who had successful careers")</f>
        <v>Influencers who had successful careers</v>
      </c>
      <c r="F1155" s="1" t="str">
        <f ca="1">IFERROR(__xludf.DUMMYFUNCTION("""COMPUTED_VALUE"""),"Yes, I will earn and do that")</f>
        <v>Yes, I will earn and do that</v>
      </c>
      <c r="G1155" s="1" t="str">
        <f ca="1">IFERROR(__xludf.DUMMYFUNCTION("""COMPUTED_VALUE"""),"This will be hard to do, but if it is the right company I would try")</f>
        <v>This will be hard to do, but if it is the right company I would try</v>
      </c>
      <c r="H1155" s="1" t="str">
        <f ca="1">IFERROR(__xludf.DUMMYFUNCTION("""COMPUTED_VALUE"""),"No")</f>
        <v>No</v>
      </c>
      <c r="I1155" s="1" t="str">
        <f ca="1">IFERROR(__xludf.DUMMYFUNCTION("""COMPUTED_VALUE"""),"Will work for them")</f>
        <v>Will work for them</v>
      </c>
      <c r="J1155" s="1">
        <f ca="1">IFERROR(__xludf.DUMMYFUNCTION("""COMPUTED_VALUE"""),6)</f>
        <v>6</v>
      </c>
      <c r="K1155" s="1" t="str">
        <f ca="1">IFERROR(__xludf.DUMMYFUNCTION("""COMPUTED_VALUE"""),"Fully Remote with Options to travel as and when needed")</f>
        <v>Fully Remote with Options to travel as and when needed</v>
      </c>
      <c r="L1155" s="1" t="str">
        <f ca="1">IFERROR(__xludf.DUMMYFUNCTION("""COMPUTED_VALUE"""),"Employer who pushes your limits by enabling an learning environment, and rewards you at the end")</f>
        <v>Employer who pushes your limits by enabling an learning environment, and rewards you at the end</v>
      </c>
      <c r="M115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5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155" s="1" t="str">
        <f ca="1">IFERROR(__xludf.DUMMYFUNCTION("""COMPUTED_VALUE"""),"Manager who explains what is expected, sets a goal and helps achieve it")</f>
        <v>Manager who explains what is expected, sets a goal and helps achieve it</v>
      </c>
      <c r="P1155" s="1" t="str">
        <f ca="1">IFERROR(__xludf.DUMMYFUNCTION("""COMPUTED_VALUE"""),"Work with 5 to 6 people in my team")</f>
        <v>Work with 5 to 6 people in my team</v>
      </c>
      <c r="Q1155" s="1"/>
    </row>
    <row r="1156" spans="1:17" ht="13.2" x14ac:dyDescent="0.25">
      <c r="A1156" s="2">
        <f ca="1">IFERROR(__xludf.DUMMYFUNCTION("""COMPUTED_VALUE"""),45044.357799537)</f>
        <v>45044.357799537</v>
      </c>
      <c r="B1156" s="1" t="str">
        <f ca="1">IFERROR(__xludf.DUMMYFUNCTION("""COMPUTED_VALUE"""),"India")</f>
        <v>India</v>
      </c>
      <c r="C1156" s="1">
        <f ca="1">IFERROR(__xludf.DUMMYFUNCTION("""COMPUTED_VALUE"""),515122)</f>
        <v>515122</v>
      </c>
      <c r="D1156" s="3" t="str">
        <f ca="1">IFERROR(__xludf.DUMMYFUNCTION("""COMPUTED_VALUE"""),"Female")</f>
        <v>Female</v>
      </c>
      <c r="E1156" s="1" t="str">
        <f ca="1">IFERROR(__xludf.DUMMYFUNCTION("""COMPUTED_VALUE"""),"Influencers who had successful careers")</f>
        <v>Influencers who had successful careers</v>
      </c>
      <c r="F1156" s="1" t="str">
        <f ca="1">IFERROR(__xludf.DUMMYFUNCTION("""COMPUTED_VALUE"""),"Yes, I will earn and do that")</f>
        <v>Yes, I will earn and do that</v>
      </c>
      <c r="G1156" s="1" t="str">
        <f ca="1">IFERROR(__xludf.DUMMYFUNCTION("""COMPUTED_VALUE"""),"This will be hard to do, but if it is the right company I would try")</f>
        <v>This will be hard to do, but if it is the right company I would try</v>
      </c>
      <c r="H1156" s="1" t="str">
        <f ca="1">IFERROR(__xludf.DUMMYFUNCTION("""COMPUTED_VALUE"""),"No")</f>
        <v>No</v>
      </c>
      <c r="I1156" s="1" t="str">
        <f ca="1">IFERROR(__xludf.DUMMYFUNCTION("""COMPUTED_VALUE"""),"Will NOT work for them")</f>
        <v>Will NOT work for them</v>
      </c>
      <c r="J1156" s="1">
        <f ca="1">IFERROR(__xludf.DUMMYFUNCTION("""COMPUTED_VALUE"""),5)</f>
        <v>5</v>
      </c>
      <c r="K1156" s="1" t="str">
        <f ca="1">IFERROR(__xludf.DUMMYFUNCTION("""COMPUTED_VALUE"""),"Fully Remote with No option to visit offices")</f>
        <v>Fully Remote with No option to visit offices</v>
      </c>
      <c r="L1156" s="1" t="str">
        <f ca="1">IFERROR(__xludf.DUMMYFUNCTION("""COMPUTED_VALUE"""),"Employer who appreciates learning and enables that environment")</f>
        <v>Employer who appreciates learning and enables that environment</v>
      </c>
      <c r="M115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56" s="1" t="str">
        <f ca="1">IFERROR(__xludf.DUMMYFUNCTION("""COMPUTED_VALUE"""),"Manager who explains what is expected, sets a goal and helps achieve it")</f>
        <v>Manager who explains what is expected, sets a goal and helps achieve it</v>
      </c>
      <c r="P1156" s="1" t="str">
        <f ca="1">IFERROR(__xludf.DUMMYFUNCTION("""COMPUTED_VALUE"""),"Work with more than 10 people in my team")</f>
        <v>Work with more than 10 people in my team</v>
      </c>
      <c r="Q1156" s="1"/>
    </row>
    <row r="1157" spans="1:17" ht="13.2" x14ac:dyDescent="0.25">
      <c r="A1157" s="2">
        <f ca="1">IFERROR(__xludf.DUMMYFUNCTION("""COMPUTED_VALUE"""),45044.3661189004)</f>
        <v>45044.366118900398</v>
      </c>
      <c r="B1157" s="1" t="str">
        <f ca="1">IFERROR(__xludf.DUMMYFUNCTION("""COMPUTED_VALUE"""),"India")</f>
        <v>India</v>
      </c>
      <c r="C1157" s="1">
        <f ca="1">IFERROR(__xludf.DUMMYFUNCTION("""COMPUTED_VALUE"""),530026)</f>
        <v>530026</v>
      </c>
      <c r="D1157" s="3" t="str">
        <f ca="1">IFERROR(__xludf.DUMMYFUNCTION("""COMPUTED_VALUE"""),"Female")</f>
        <v>Female</v>
      </c>
      <c r="E1157" s="1" t="str">
        <f ca="1">IFERROR(__xludf.DUMMYFUNCTION("""COMPUTED_VALUE"""),"People who have changed the world for better")</f>
        <v>People who have changed the world for better</v>
      </c>
      <c r="F1157" s="1" t="str">
        <f ca="1">IFERROR(__xludf.DUMMYFUNCTION("""COMPUTED_VALUE"""),"Yes, I will earn and do that")</f>
        <v>Yes, I will earn and do that</v>
      </c>
      <c r="G1157" s="1" t="str">
        <f ca="1">IFERROR(__xludf.DUMMYFUNCTION("""COMPUTED_VALUE"""),"This will be hard to do, but if it is the right company I would try")</f>
        <v>This will be hard to do, but if it is the right company I would try</v>
      </c>
      <c r="H1157" s="1" t="str">
        <f ca="1">IFERROR(__xludf.DUMMYFUNCTION("""COMPUTED_VALUE"""),"No")</f>
        <v>No</v>
      </c>
      <c r="I1157" s="1" t="str">
        <f ca="1">IFERROR(__xludf.DUMMYFUNCTION("""COMPUTED_VALUE"""),"Will NOT work for them")</f>
        <v>Will NOT work for them</v>
      </c>
      <c r="J1157" s="1">
        <f ca="1">IFERROR(__xludf.DUMMYFUNCTION("""COMPUTED_VALUE"""),8)</f>
        <v>8</v>
      </c>
      <c r="K1157" s="1" t="str">
        <f ca="1">IFERROR(__xludf.DUMMYFUNCTION("""COMPUTED_VALUE"""),"Hybrid Working Environment with less than 3 days a month at office")</f>
        <v>Hybrid Working Environment with less than 3 days a month at office</v>
      </c>
      <c r="L1157" s="1" t="str">
        <f ca="1">IFERROR(__xludf.DUMMYFUNCTION("""COMPUTED_VALUE"""),"Employer who appreciates learning and enables that environment")</f>
        <v>Employer who appreciates learning and enables that environment</v>
      </c>
      <c r="M115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5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57" s="1" t="str">
        <f ca="1">IFERROR(__xludf.DUMMYFUNCTION("""COMPUTED_VALUE"""),"Manager who sets unrealistic targets")</f>
        <v>Manager who sets unrealistic targets</v>
      </c>
      <c r="P1157" s="1" t="str">
        <f ca="1">IFERROR(__xludf.DUMMYFUNCTION("""COMPUTED_VALUE"""),"Work with 5 to 6 people in my team")</f>
        <v>Work with 5 to 6 people in my team</v>
      </c>
      <c r="Q1157" s="1"/>
    </row>
    <row r="1158" spans="1:17" ht="13.2" x14ac:dyDescent="0.25">
      <c r="A1158" s="2">
        <f ca="1">IFERROR(__xludf.DUMMYFUNCTION("""COMPUTED_VALUE"""),45044.3719316782)</f>
        <v>45044.371931678201</v>
      </c>
      <c r="B1158" s="1" t="str">
        <f ca="1">IFERROR(__xludf.DUMMYFUNCTION("""COMPUTED_VALUE"""),"India")</f>
        <v>India</v>
      </c>
      <c r="C1158" s="1">
        <f ca="1">IFERROR(__xludf.DUMMYFUNCTION("""COMPUTED_VALUE"""),143602)</f>
        <v>143602</v>
      </c>
      <c r="D1158" s="3" t="str">
        <f ca="1">IFERROR(__xludf.DUMMYFUNCTION("""COMPUTED_VALUE"""),"Male")</f>
        <v>Male</v>
      </c>
      <c r="E1158" s="1" t="str">
        <f ca="1">IFERROR(__xludf.DUMMYFUNCTION("""COMPUTED_VALUE"""),"People who have changed the world for better")</f>
        <v>People who have changed the world for better</v>
      </c>
      <c r="F1158" s="1" t="str">
        <f ca="1">IFERROR(__xludf.DUMMYFUNCTION("""COMPUTED_VALUE"""),"No, But if someone could bare the cost I will")</f>
        <v>No, But if someone could bare the cost I will</v>
      </c>
      <c r="G1158" s="1" t="str">
        <f ca="1">IFERROR(__xludf.DUMMYFUNCTION("""COMPUTED_VALUE"""),"This will be hard to do, but if it is the right company I would try")</f>
        <v>This will be hard to do, but if it is the right company I would try</v>
      </c>
      <c r="H1158" s="1" t="str">
        <f ca="1">IFERROR(__xludf.DUMMYFUNCTION("""COMPUTED_VALUE"""),"Yes")</f>
        <v>Yes</v>
      </c>
      <c r="I1158" s="1" t="str">
        <f ca="1">IFERROR(__xludf.DUMMYFUNCTION("""COMPUTED_VALUE"""),"Will work for them")</f>
        <v>Will work for them</v>
      </c>
      <c r="J1158" s="1">
        <f ca="1">IFERROR(__xludf.DUMMYFUNCTION("""COMPUTED_VALUE"""),9)</f>
        <v>9</v>
      </c>
      <c r="K1158" s="1" t="str">
        <f ca="1">IFERROR(__xludf.DUMMYFUNCTION("""COMPUTED_VALUE"""),"Hybrid Working Environment with more than 15 days a month at office")</f>
        <v>Hybrid Working Environment with more than 15 days a month at office</v>
      </c>
      <c r="L1158" s="1" t="str">
        <f ca="1">IFERROR(__xludf.DUMMYFUNCTION("""COMPUTED_VALUE"""),"Employer who pushes your limits and doesn't enables learning environment and never rewards you")</f>
        <v>Employer who pushes your limits and doesn't enables learning environment and never rewards you</v>
      </c>
      <c r="M1158" s="1" t="str">
        <f ca="1">IFERROR(__xludf.DUMMYFUNCTION("""COMPUTED_VALUE"""),"Instructor or Expert Learning Programs, Learning by observing others, Manager Teaching you")</f>
        <v>Instructor or Expert Learning Programs, Learning by observing others, Manager Teaching you</v>
      </c>
      <c r="N1158" s="1" t="str">
        <f ca="1">IFERROR(__xludf.DUMMYFUNCTION("""COMPUTED_VALUE"""),"Teaching in any of the institutes/colleges/online or offline, Build and develop a Team, Become a content Creator in some platform, An Artificial Intelligence Specialist / Talking to Robots")</f>
        <v>Teaching in any of the institutes/colleges/online or offline, Build and develop a Team, Become a content Creator in some platform, An Artificial Intelligence Specialist / Talking to Robots</v>
      </c>
      <c r="O1158" s="1" t="str">
        <f ca="1">IFERROR(__xludf.DUMMYFUNCTION("""COMPUTED_VALUE"""),"Manager who explains what is expected, sets a goal and helps achieve it")</f>
        <v>Manager who explains what is expected, sets a goal and helps achieve it</v>
      </c>
      <c r="P1158" s="1" t="str">
        <f ca="1">IFERROR(__xludf.DUMMYFUNCTION("""COMPUTED_VALUE"""),"Work with 5 to 6 people in my team")</f>
        <v>Work with 5 to 6 people in my team</v>
      </c>
      <c r="Q1158" s="1"/>
    </row>
    <row r="1159" spans="1:17" ht="13.2" x14ac:dyDescent="0.25">
      <c r="A1159" s="2">
        <f ca="1">IFERROR(__xludf.DUMMYFUNCTION("""COMPUTED_VALUE"""),45044.3828477546)</f>
        <v>45044.382847754598</v>
      </c>
      <c r="B1159" s="1" t="str">
        <f ca="1">IFERROR(__xludf.DUMMYFUNCTION("""COMPUTED_VALUE"""),"India")</f>
        <v>India</v>
      </c>
      <c r="C1159" s="1">
        <f ca="1">IFERROR(__xludf.DUMMYFUNCTION("""COMPUTED_VALUE"""),562106)</f>
        <v>562106</v>
      </c>
      <c r="D1159" s="3" t="str">
        <f ca="1">IFERROR(__xludf.DUMMYFUNCTION("""COMPUTED_VALUE"""),"Male")</f>
        <v>Male</v>
      </c>
      <c r="E1159" s="1" t="str">
        <f ca="1">IFERROR(__xludf.DUMMYFUNCTION("""COMPUTED_VALUE"""),"People who have changed the world for better")</f>
        <v>People who have changed the world for better</v>
      </c>
      <c r="F1159" s="1" t="str">
        <f ca="1">IFERROR(__xludf.DUMMYFUNCTION("""COMPUTED_VALUE"""),"Yes, I will earn and do that")</f>
        <v>Yes, I will earn and do that</v>
      </c>
      <c r="G1159" s="1" t="str">
        <f ca="1">IFERROR(__xludf.DUMMYFUNCTION("""COMPUTED_VALUE"""),"This will be hard to do, but if it is the right company I would try")</f>
        <v>This will be hard to do, but if it is the right company I would try</v>
      </c>
      <c r="H1159" s="1" t="str">
        <f ca="1">IFERROR(__xludf.DUMMYFUNCTION("""COMPUTED_VALUE"""),"No")</f>
        <v>No</v>
      </c>
      <c r="I1159" s="1" t="str">
        <f ca="1">IFERROR(__xludf.DUMMYFUNCTION("""COMPUTED_VALUE"""),"Will NOT work for them")</f>
        <v>Will NOT work for them</v>
      </c>
      <c r="J1159" s="1">
        <f ca="1">IFERROR(__xludf.DUMMYFUNCTION("""COMPUTED_VALUE"""),5)</f>
        <v>5</v>
      </c>
      <c r="K1159" s="1" t="str">
        <f ca="1">IFERROR(__xludf.DUMMYFUNCTION("""COMPUTED_VALUE"""),"Fully Remote with Options to travel as and when needed")</f>
        <v>Fully Remote with Options to travel as and when needed</v>
      </c>
      <c r="L1159" s="1" t="str">
        <f ca="1">IFERROR(__xludf.DUMMYFUNCTION("""COMPUTED_VALUE"""),"Employer who pushes your limits by enabling an learning environment, and rewards you at the end")</f>
        <v>Employer who pushes your limits by enabling an learning environment, and rewards you at the end</v>
      </c>
      <c r="M11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59"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159" s="1" t="str">
        <f ca="1">IFERROR(__xludf.DUMMYFUNCTION("""COMPUTED_VALUE"""),"Manager who explains what is expected, sets a goal and helps achieve it")</f>
        <v>Manager who explains what is expected, sets a goal and helps achieve it</v>
      </c>
      <c r="P1159" s="1" t="str">
        <f ca="1">IFERROR(__xludf.DUMMYFUNCTION("""COMPUTED_VALUE"""),"Work with 5 to 6 people in my team")</f>
        <v>Work with 5 to 6 people in my team</v>
      </c>
      <c r="Q1159" s="1"/>
    </row>
    <row r="1160" spans="1:17" ht="13.2" x14ac:dyDescent="0.25">
      <c r="A1160" s="2">
        <f ca="1">IFERROR(__xludf.DUMMYFUNCTION("""COMPUTED_VALUE"""),45044.3844955671)</f>
        <v>45044.384495567101</v>
      </c>
      <c r="B1160" s="1" t="str">
        <f ca="1">IFERROR(__xludf.DUMMYFUNCTION("""COMPUTED_VALUE"""),"India")</f>
        <v>India</v>
      </c>
      <c r="C1160" s="1">
        <f ca="1">IFERROR(__xludf.DUMMYFUNCTION("""COMPUTED_VALUE"""),581336)</f>
        <v>581336</v>
      </c>
      <c r="D1160" s="3" t="str">
        <f ca="1">IFERROR(__xludf.DUMMYFUNCTION("""COMPUTED_VALUE"""),"Male")</f>
        <v>Male</v>
      </c>
      <c r="E1160" s="1" t="str">
        <f ca="1">IFERROR(__xludf.DUMMYFUNCTION("""COMPUTED_VALUE"""),"My Parents")</f>
        <v>My Parents</v>
      </c>
      <c r="F1160" s="1" t="str">
        <f ca="1">IFERROR(__xludf.DUMMYFUNCTION("""COMPUTED_VALUE"""),"No, But if someone could bare the cost I will")</f>
        <v>No, But if someone could bare the cost I will</v>
      </c>
      <c r="G1160" s="1" t="str">
        <f ca="1">IFERROR(__xludf.DUMMYFUNCTION("""COMPUTED_VALUE"""),"This will be hard to do, but if it is the right company I would try")</f>
        <v>This will be hard to do, but if it is the right company I would try</v>
      </c>
      <c r="H1160" s="1" t="str">
        <f ca="1">IFERROR(__xludf.DUMMYFUNCTION("""COMPUTED_VALUE"""),"No")</f>
        <v>No</v>
      </c>
      <c r="I1160" s="1" t="str">
        <f ca="1">IFERROR(__xludf.DUMMYFUNCTION("""COMPUTED_VALUE"""),"Will NOT work for them")</f>
        <v>Will NOT work for them</v>
      </c>
      <c r="J1160" s="1">
        <f ca="1">IFERROR(__xludf.DUMMYFUNCTION("""COMPUTED_VALUE"""),3)</f>
        <v>3</v>
      </c>
      <c r="K1160" s="1" t="str">
        <f ca="1">IFERROR(__xludf.DUMMYFUNCTION("""COMPUTED_VALUE"""),"Hybrid Working Environment with less than 3 days a month at office")</f>
        <v>Hybrid Working Environment with less than 3 days a month at office</v>
      </c>
      <c r="L1160" s="1" t="str">
        <f ca="1">IFERROR(__xludf.DUMMYFUNCTION("""COMPUTED_VALUE"""),"Employer who appreciates learning and enables that environment")</f>
        <v>Employer who appreciates learning and enables that environment</v>
      </c>
      <c r="M116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60"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1160" s="1" t="str">
        <f ca="1">IFERROR(__xludf.DUMMYFUNCTION("""COMPUTED_VALUE"""),"Manager who clearly describes what she/he needs")</f>
        <v>Manager who clearly describes what she/he needs</v>
      </c>
      <c r="P1160" s="1" t="str">
        <f ca="1">IFERROR(__xludf.DUMMYFUNCTION("""COMPUTED_VALUE"""),"Work with 2 to 3 people in my team, Work with 5 to 6 people in my team")</f>
        <v>Work with 2 to 3 people in my team, Work with 5 to 6 people in my team</v>
      </c>
      <c r="Q1160" s="1"/>
    </row>
    <row r="1161" spans="1:17" ht="13.2" x14ac:dyDescent="0.25">
      <c r="A1161" s="2">
        <f ca="1">IFERROR(__xludf.DUMMYFUNCTION("""COMPUTED_VALUE"""),45044.3850417476)</f>
        <v>45044.385041747599</v>
      </c>
      <c r="B1161" s="1" t="str">
        <f ca="1">IFERROR(__xludf.DUMMYFUNCTION("""COMPUTED_VALUE"""),"India")</f>
        <v>India</v>
      </c>
      <c r="C1161" s="1">
        <f ca="1">IFERROR(__xludf.DUMMYFUNCTION("""COMPUTED_VALUE"""),440035)</f>
        <v>440035</v>
      </c>
      <c r="D1161" s="3" t="str">
        <f ca="1">IFERROR(__xludf.DUMMYFUNCTION("""COMPUTED_VALUE"""),"Female")</f>
        <v>Female</v>
      </c>
      <c r="E1161" s="1" t="str">
        <f ca="1">IFERROR(__xludf.DUMMYFUNCTION("""COMPUTED_VALUE"""),"My Parents")</f>
        <v>My Parents</v>
      </c>
      <c r="F1161" s="1" t="str">
        <f ca="1">IFERROR(__xludf.DUMMYFUNCTION("""COMPUTED_VALUE"""),"Yes, I will earn and do that")</f>
        <v>Yes, I will earn and do that</v>
      </c>
      <c r="G1161" s="1" t="str">
        <f ca="1">IFERROR(__xludf.DUMMYFUNCTION("""COMPUTED_VALUE"""),"Will work for 3 years or more")</f>
        <v>Will work for 3 years or more</v>
      </c>
      <c r="H1161" s="1" t="str">
        <f ca="1">IFERROR(__xludf.DUMMYFUNCTION("""COMPUTED_VALUE"""),"No")</f>
        <v>No</v>
      </c>
      <c r="I1161" s="1" t="str">
        <f ca="1">IFERROR(__xludf.DUMMYFUNCTION("""COMPUTED_VALUE"""),"Will NOT work for them")</f>
        <v>Will NOT work for them</v>
      </c>
      <c r="J1161" s="1">
        <f ca="1">IFERROR(__xludf.DUMMYFUNCTION("""COMPUTED_VALUE"""),1)</f>
        <v>1</v>
      </c>
      <c r="K1161" s="1" t="str">
        <f ca="1">IFERROR(__xludf.DUMMYFUNCTION("""COMPUTED_VALUE"""),"Fully Remote with Options to travel as and when needed")</f>
        <v>Fully Remote with Options to travel as and when needed</v>
      </c>
      <c r="L1161" s="1" t="str">
        <f ca="1">IFERROR(__xludf.DUMMYFUNCTION("""COMPUTED_VALUE"""),"Employer who pushes your limits by enabling an learning environment, and rewards you at the end")</f>
        <v>Employer who pushes your limits by enabling an learning environment, and rewards you at the end</v>
      </c>
      <c r="M1161" s="1" t="str">
        <f ca="1">IFERROR(__xludf.DUMMYFUNCTION("""COMPUTED_VALUE"""),"Self Paced Learning Portals of the Company, Instructor or Expert Learning Programs, Manager Teaching you")</f>
        <v>Self Paced Learning Portals of the Company, Instructor or Expert Learning Programs, Manager Teaching you</v>
      </c>
      <c r="N1161"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161" s="1" t="str">
        <f ca="1">IFERROR(__xludf.DUMMYFUNCTION("""COMPUTED_VALUE"""),"Manager who explains what is expected, sets a goal and helps achieve it")</f>
        <v>Manager who explains what is expected, sets a goal and helps achieve it</v>
      </c>
      <c r="P1161" s="1" t="str">
        <f ca="1">IFERROR(__xludf.DUMMYFUNCTION("""COMPUTED_VALUE"""),"Work with 2 to 3 people in my team")</f>
        <v>Work with 2 to 3 people in my team</v>
      </c>
      <c r="Q1161" s="1"/>
    </row>
    <row r="1162" spans="1:17" ht="13.2" x14ac:dyDescent="0.25">
      <c r="A1162" s="2">
        <f ca="1">IFERROR(__xludf.DUMMYFUNCTION("""COMPUTED_VALUE"""),45044.3881473495)</f>
        <v>45044.388147349498</v>
      </c>
      <c r="B1162" s="1" t="str">
        <f ca="1">IFERROR(__xludf.DUMMYFUNCTION("""COMPUTED_VALUE"""),"India")</f>
        <v>India</v>
      </c>
      <c r="C1162" s="1">
        <f ca="1">IFERROR(__xludf.DUMMYFUNCTION("""COMPUTED_VALUE"""),423203)</f>
        <v>423203</v>
      </c>
      <c r="D1162" s="3" t="str">
        <f ca="1">IFERROR(__xludf.DUMMYFUNCTION("""COMPUTED_VALUE"""),"Male")</f>
        <v>Male</v>
      </c>
      <c r="E1162" s="1" t="str">
        <f ca="1">IFERROR(__xludf.DUMMYFUNCTION("""COMPUTED_VALUE"""),"Influencers who had successful careers")</f>
        <v>Influencers who had successful careers</v>
      </c>
      <c r="F1162" s="1" t="str">
        <f ca="1">IFERROR(__xludf.DUMMYFUNCTION("""COMPUTED_VALUE"""),"No I would not be pursuing Higher Education outside of India")</f>
        <v>No I would not be pursuing Higher Education outside of India</v>
      </c>
      <c r="G1162" s="1" t="str">
        <f ca="1">IFERROR(__xludf.DUMMYFUNCTION("""COMPUTED_VALUE"""),"This will be hard to do, but if it is the right company I would try")</f>
        <v>This will be hard to do, but if it is the right company I would try</v>
      </c>
      <c r="H1162" s="1" t="str">
        <f ca="1">IFERROR(__xludf.DUMMYFUNCTION("""COMPUTED_VALUE"""),"No")</f>
        <v>No</v>
      </c>
      <c r="I1162" s="1" t="str">
        <f ca="1">IFERROR(__xludf.DUMMYFUNCTION("""COMPUTED_VALUE"""),"Will NOT work for them")</f>
        <v>Will NOT work for them</v>
      </c>
      <c r="J1162" s="1">
        <f ca="1">IFERROR(__xludf.DUMMYFUNCTION("""COMPUTED_VALUE"""),3)</f>
        <v>3</v>
      </c>
      <c r="K1162" s="1" t="str">
        <f ca="1">IFERROR(__xludf.DUMMYFUNCTION("""COMPUTED_VALUE"""),"Fully Remote with Options to travel as and when needed")</f>
        <v>Fully Remote with Options to travel as and when needed</v>
      </c>
      <c r="L1162" s="1" t="str">
        <f ca="1">IFERROR(__xludf.DUMMYFUNCTION("""COMPUTED_VALUE"""),"Employers who appreciates learning but doesn't enables an learning environment")</f>
        <v>Employers who appreciates learning but doesn't enables an learning environment</v>
      </c>
      <c r="M116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6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62" s="1" t="str">
        <f ca="1">IFERROR(__xludf.DUMMYFUNCTION("""COMPUTED_VALUE"""),"Manager who explains what is expected, sets a goal and helps achieve it")</f>
        <v>Manager who explains what is expected, sets a goal and helps achieve it</v>
      </c>
      <c r="P1162" s="1" t="str">
        <f ca="1">IFERROR(__xludf.DUMMYFUNCTION("""COMPUTED_VALUE"""),"Work with 2 to 3 people in my team")</f>
        <v>Work with 2 to 3 people in my team</v>
      </c>
      <c r="Q1162" s="1"/>
    </row>
    <row r="1163" spans="1:17" ht="13.2" x14ac:dyDescent="0.25">
      <c r="A1163" s="2">
        <f ca="1">IFERROR(__xludf.DUMMYFUNCTION("""COMPUTED_VALUE"""),45044.3917809375)</f>
        <v>45044.391780937498</v>
      </c>
      <c r="B1163" s="1" t="str">
        <f ca="1">IFERROR(__xludf.DUMMYFUNCTION("""COMPUTED_VALUE"""),"India")</f>
        <v>India</v>
      </c>
      <c r="C1163" s="1">
        <f ca="1">IFERROR(__xludf.DUMMYFUNCTION("""COMPUTED_VALUE"""),201204)</f>
        <v>201204</v>
      </c>
      <c r="D1163" s="3" t="str">
        <f ca="1">IFERROR(__xludf.DUMMYFUNCTION("""COMPUTED_VALUE"""),"Female")</f>
        <v>Female</v>
      </c>
      <c r="E1163" s="1" t="str">
        <f ca="1">IFERROR(__xludf.DUMMYFUNCTION("""COMPUTED_VALUE"""),"My Parents")</f>
        <v>My Parents</v>
      </c>
      <c r="F1163" s="1" t="str">
        <f ca="1">IFERROR(__xludf.DUMMYFUNCTION("""COMPUTED_VALUE"""),"Yes, I will earn and do that")</f>
        <v>Yes, I will earn and do that</v>
      </c>
      <c r="G1163" s="1" t="str">
        <f ca="1">IFERROR(__xludf.DUMMYFUNCTION("""COMPUTED_VALUE"""),"Will work for 3 years or more")</f>
        <v>Will work for 3 years or more</v>
      </c>
      <c r="H1163" s="1" t="str">
        <f ca="1">IFERROR(__xludf.DUMMYFUNCTION("""COMPUTED_VALUE"""),"No")</f>
        <v>No</v>
      </c>
      <c r="I1163" s="1" t="str">
        <f ca="1">IFERROR(__xludf.DUMMYFUNCTION("""COMPUTED_VALUE"""),"Will NOT work for them")</f>
        <v>Will NOT work for them</v>
      </c>
      <c r="J1163" s="1">
        <f ca="1">IFERROR(__xludf.DUMMYFUNCTION("""COMPUTED_VALUE"""),5)</f>
        <v>5</v>
      </c>
      <c r="K1163" s="1" t="str">
        <f ca="1">IFERROR(__xludf.DUMMYFUNCTION("""COMPUTED_VALUE"""),"Every Day Office Environment")</f>
        <v>Every Day Office Environment</v>
      </c>
      <c r="L1163" s="1" t="str">
        <f ca="1">IFERROR(__xludf.DUMMYFUNCTION("""COMPUTED_VALUE"""),"Employer who appreciates learning and enables that environment")</f>
        <v>Employer who appreciates learning and enables that environment</v>
      </c>
      <c r="M11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63" s="1" t="str">
        <f ca="1">IFERROR(__xludf.DUMMYFUNCTION("""COMPUTED_VALUE"""),"Design and Creative strategy in any company, Become a content Creator in some platform, I Want to sell things/Sales, Manufacturing / Oil and Gas/ Construction / Hard Physical Work related")</f>
        <v>Design and Creative strategy in any company, Become a content Creator in some platform, I Want to sell things/Sales, Manufacturing / Oil and Gas/ Construction / Hard Physical Work related</v>
      </c>
      <c r="O1163" s="1" t="str">
        <f ca="1">IFERROR(__xludf.DUMMYFUNCTION("""COMPUTED_VALUE"""),"Manager who sets goal and helps me achieve it")</f>
        <v>Manager who sets goal and helps me achieve it</v>
      </c>
      <c r="P1163" s="1" t="str">
        <f ca="1">IFERROR(__xludf.DUMMYFUNCTION("""COMPUTED_VALUE"""),"Work alone")</f>
        <v>Work alone</v>
      </c>
      <c r="Q1163" s="1"/>
    </row>
    <row r="1164" spans="1:17" ht="13.2" x14ac:dyDescent="0.25">
      <c r="A1164" s="2">
        <f ca="1">IFERROR(__xludf.DUMMYFUNCTION("""COMPUTED_VALUE"""),45044.4011956597)</f>
        <v>45044.401195659702</v>
      </c>
      <c r="B1164" s="1" t="str">
        <f ca="1">IFERROR(__xludf.DUMMYFUNCTION("""COMPUTED_VALUE"""),"India")</f>
        <v>India</v>
      </c>
      <c r="C1164" s="1">
        <f ca="1">IFERROR(__xludf.DUMMYFUNCTION("""COMPUTED_VALUE"""),534002)</f>
        <v>534002</v>
      </c>
      <c r="D1164" s="3" t="str">
        <f ca="1">IFERROR(__xludf.DUMMYFUNCTION("""COMPUTED_VALUE"""),"Female")</f>
        <v>Female</v>
      </c>
      <c r="E1164" s="1" t="str">
        <f ca="1">IFERROR(__xludf.DUMMYFUNCTION("""COMPUTED_VALUE"""),"My Parents")</f>
        <v>My Parents</v>
      </c>
      <c r="F1164" s="1" t="str">
        <f ca="1">IFERROR(__xludf.DUMMYFUNCTION("""COMPUTED_VALUE"""),"No I would not be pursuing Higher Education outside of India")</f>
        <v>No I would not be pursuing Higher Education outside of India</v>
      </c>
      <c r="G1164" s="1" t="str">
        <f ca="1">IFERROR(__xludf.DUMMYFUNCTION("""COMPUTED_VALUE"""),"Will work for 3 years or more")</f>
        <v>Will work for 3 years or more</v>
      </c>
      <c r="H1164" s="1" t="str">
        <f ca="1">IFERROR(__xludf.DUMMYFUNCTION("""COMPUTED_VALUE"""),"No")</f>
        <v>No</v>
      </c>
      <c r="I1164" s="1" t="str">
        <f ca="1">IFERROR(__xludf.DUMMYFUNCTION("""COMPUTED_VALUE"""),"Will NOT work for them")</f>
        <v>Will NOT work for them</v>
      </c>
      <c r="J1164" s="1">
        <f ca="1">IFERROR(__xludf.DUMMYFUNCTION("""COMPUTED_VALUE"""),3)</f>
        <v>3</v>
      </c>
      <c r="K1164" s="1" t="str">
        <f ca="1">IFERROR(__xludf.DUMMYFUNCTION("""COMPUTED_VALUE"""),"Hybrid Working Environment with more than 15 days a month at office")</f>
        <v>Hybrid Working Environment with more than 15 days a month at office</v>
      </c>
      <c r="L1164" s="1" t="str">
        <f ca="1">IFERROR(__xludf.DUMMYFUNCTION("""COMPUTED_VALUE"""),"Employer who rewards learning and enables that environment")</f>
        <v>Employer who rewards learning and enables that environment</v>
      </c>
      <c r="M1164" s="1" t="str">
        <f ca="1">IFERROR(__xludf.DUMMYFUNCTION("""COMPUTED_VALUE"""),"Self Paced Learning Portals of the Company, Instructor or Expert Learning Programs, Manager Teaching you")</f>
        <v>Self Paced Learning Portals of the Company, Instructor or Expert Learning Programs, Manager Teaching you</v>
      </c>
      <c r="N116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64" s="1" t="str">
        <f ca="1">IFERROR(__xludf.DUMMYFUNCTION("""COMPUTED_VALUE"""),"Manager who clearly describes what she/he needs")</f>
        <v>Manager who clearly describes what she/he needs</v>
      </c>
      <c r="P116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64" s="1"/>
    </row>
    <row r="1165" spans="1:17" ht="13.2" x14ac:dyDescent="0.25">
      <c r="A1165" s="2">
        <f ca="1">IFERROR(__xludf.DUMMYFUNCTION("""COMPUTED_VALUE"""),45044.4088640856)</f>
        <v>45044.408864085599</v>
      </c>
      <c r="B1165" s="1" t="str">
        <f ca="1">IFERROR(__xludf.DUMMYFUNCTION("""COMPUTED_VALUE"""),"India")</f>
        <v>India</v>
      </c>
      <c r="C1165" s="1">
        <f ca="1">IFERROR(__xludf.DUMMYFUNCTION("""COMPUTED_VALUE"""),560068)</f>
        <v>560068</v>
      </c>
      <c r="D1165" s="3" t="str">
        <f ca="1">IFERROR(__xludf.DUMMYFUNCTION("""COMPUTED_VALUE"""),"Female")</f>
        <v>Female</v>
      </c>
      <c r="E1165" s="1" t="str">
        <f ca="1">IFERROR(__xludf.DUMMYFUNCTION("""COMPUTED_VALUE"""),"My Parents")</f>
        <v>My Parents</v>
      </c>
      <c r="F1165" s="1" t="str">
        <f ca="1">IFERROR(__xludf.DUMMYFUNCTION("""COMPUTED_VALUE"""),"Yes, I will earn and do that")</f>
        <v>Yes, I will earn and do that</v>
      </c>
      <c r="G1165" s="1" t="str">
        <f ca="1">IFERROR(__xludf.DUMMYFUNCTION("""COMPUTED_VALUE"""),"This will be hard to do, but if it is the right company I would try")</f>
        <v>This will be hard to do, but if it is the right company I would try</v>
      </c>
      <c r="H1165" s="1" t="str">
        <f ca="1">IFERROR(__xludf.DUMMYFUNCTION("""COMPUTED_VALUE"""),"No")</f>
        <v>No</v>
      </c>
      <c r="I1165" s="1" t="str">
        <f ca="1">IFERROR(__xludf.DUMMYFUNCTION("""COMPUTED_VALUE"""),"Will NOT work for them")</f>
        <v>Will NOT work for them</v>
      </c>
      <c r="J1165" s="1">
        <f ca="1">IFERROR(__xludf.DUMMYFUNCTION("""COMPUTED_VALUE"""),5)</f>
        <v>5</v>
      </c>
      <c r="K1165" s="1" t="str">
        <f ca="1">IFERROR(__xludf.DUMMYFUNCTION("""COMPUTED_VALUE"""),"Fully Remote with Options to travel as and when needed")</f>
        <v>Fully Remote with Options to travel as and when needed</v>
      </c>
      <c r="L1165" s="1" t="str">
        <f ca="1">IFERROR(__xludf.DUMMYFUNCTION("""COMPUTED_VALUE"""),"Employer who pushes your limits by enabling an learning environment, and rewards you at the end")</f>
        <v>Employer who pushes your limits by enabling an learning environment, and rewards you at the end</v>
      </c>
      <c r="M116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5"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1165" s="1" t="str">
        <f ca="1">IFERROR(__xludf.DUMMYFUNCTION("""COMPUTED_VALUE"""),"Manager who explains what is expected, sets a goal and helps achieve it")</f>
        <v>Manager who explains what is expected, sets a goal and helps achieve it</v>
      </c>
      <c r="P1165" s="1" t="str">
        <f ca="1">IFERROR(__xludf.DUMMYFUNCTION("""COMPUTED_VALUE"""),"Work with 5 to 6 people in my team")</f>
        <v>Work with 5 to 6 people in my team</v>
      </c>
      <c r="Q1165" s="1"/>
    </row>
    <row r="1166" spans="1:17" ht="13.2" x14ac:dyDescent="0.25">
      <c r="A1166" s="2">
        <f ca="1">IFERROR(__xludf.DUMMYFUNCTION("""COMPUTED_VALUE"""),45044.411692037)</f>
        <v>45044.411692037</v>
      </c>
      <c r="B1166" s="1" t="str">
        <f ca="1">IFERROR(__xludf.DUMMYFUNCTION("""COMPUTED_VALUE"""),"India")</f>
        <v>India</v>
      </c>
      <c r="C1166" s="1">
        <f ca="1">IFERROR(__xludf.DUMMYFUNCTION("""COMPUTED_VALUE"""),530002)</f>
        <v>530002</v>
      </c>
      <c r="D1166" s="3" t="str">
        <f ca="1">IFERROR(__xludf.DUMMYFUNCTION("""COMPUTED_VALUE"""),"Female")</f>
        <v>Female</v>
      </c>
      <c r="E1166" s="1" t="str">
        <f ca="1">IFERROR(__xludf.DUMMYFUNCTION("""COMPUTED_VALUE"""),"People who have changed the world for better")</f>
        <v>People who have changed the world for better</v>
      </c>
      <c r="F1166" s="1" t="str">
        <f ca="1">IFERROR(__xludf.DUMMYFUNCTION("""COMPUTED_VALUE"""),"Yes, I will earn and do that")</f>
        <v>Yes, I will earn and do that</v>
      </c>
      <c r="G1166" s="1" t="str">
        <f ca="1">IFERROR(__xludf.DUMMYFUNCTION("""COMPUTED_VALUE"""),"This will be hard to do, but if it is the right company I would try")</f>
        <v>This will be hard to do, but if it is the right company I would try</v>
      </c>
      <c r="H1166" s="1" t="str">
        <f ca="1">IFERROR(__xludf.DUMMYFUNCTION("""COMPUTED_VALUE"""),"No")</f>
        <v>No</v>
      </c>
      <c r="I1166" s="1" t="str">
        <f ca="1">IFERROR(__xludf.DUMMYFUNCTION("""COMPUTED_VALUE"""),"Will NOT work for them")</f>
        <v>Will NOT work for them</v>
      </c>
      <c r="J1166" s="1">
        <f ca="1">IFERROR(__xludf.DUMMYFUNCTION("""COMPUTED_VALUE"""),3)</f>
        <v>3</v>
      </c>
      <c r="K1166" s="1" t="str">
        <f ca="1">IFERROR(__xludf.DUMMYFUNCTION("""COMPUTED_VALUE"""),"Fully Remote with Options to travel as and when needed")</f>
        <v>Fully Remote with Options to travel as and when needed</v>
      </c>
      <c r="L1166" s="1" t="str">
        <f ca="1">IFERROR(__xludf.DUMMYFUNCTION("""COMPUTED_VALUE"""),"Employer who pushes your limits by enabling an learning environment, and rewards you at the end")</f>
        <v>Employer who pushes your limits by enabling an learning environment, and rewards you at the end</v>
      </c>
      <c r="M116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6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166" s="1" t="str">
        <f ca="1">IFERROR(__xludf.DUMMYFUNCTION("""COMPUTED_VALUE"""),"Manager who explains what is expected, sets a goal and helps achieve it")</f>
        <v>Manager who explains what is expected, sets a goal and helps achieve it</v>
      </c>
      <c r="P1166" s="1" t="str">
        <f ca="1">IFERROR(__xludf.DUMMYFUNCTION("""COMPUTED_VALUE"""),"Work with 5 to 6 people in my team")</f>
        <v>Work with 5 to 6 people in my team</v>
      </c>
      <c r="Q1166" s="1"/>
    </row>
    <row r="1167" spans="1:17" ht="13.2" x14ac:dyDescent="0.25">
      <c r="A1167" s="2">
        <f ca="1">IFERROR(__xludf.DUMMYFUNCTION("""COMPUTED_VALUE"""),45044.4152023495)</f>
        <v>45044.415202349497</v>
      </c>
      <c r="B1167" s="1" t="str">
        <f ca="1">IFERROR(__xludf.DUMMYFUNCTION("""COMPUTED_VALUE"""),"India")</f>
        <v>India</v>
      </c>
      <c r="C1167" s="1">
        <f ca="1">IFERROR(__xludf.DUMMYFUNCTION("""COMPUTED_VALUE"""),560079)</f>
        <v>560079</v>
      </c>
      <c r="D1167" s="3" t="str">
        <f ca="1">IFERROR(__xludf.DUMMYFUNCTION("""COMPUTED_VALUE"""),"Male")</f>
        <v>Male</v>
      </c>
      <c r="E1167" s="1" t="str">
        <f ca="1">IFERROR(__xludf.DUMMYFUNCTION("""COMPUTED_VALUE"""),"My Parents")</f>
        <v>My Parents</v>
      </c>
      <c r="F1167" s="1" t="str">
        <f ca="1">IFERROR(__xludf.DUMMYFUNCTION("""COMPUTED_VALUE"""),"Yes, I will earn and do that")</f>
        <v>Yes, I will earn and do that</v>
      </c>
      <c r="G1167" s="1" t="str">
        <f ca="1">IFERROR(__xludf.DUMMYFUNCTION("""COMPUTED_VALUE"""),"Will work for 3 years or more")</f>
        <v>Will work for 3 years or more</v>
      </c>
      <c r="H1167" s="1" t="str">
        <f ca="1">IFERROR(__xludf.DUMMYFUNCTION("""COMPUTED_VALUE"""),"Yes")</f>
        <v>Yes</v>
      </c>
      <c r="I1167" s="1" t="str">
        <f ca="1">IFERROR(__xludf.DUMMYFUNCTION("""COMPUTED_VALUE"""),"Will work for them")</f>
        <v>Will work for them</v>
      </c>
      <c r="J1167" s="1">
        <f ca="1">IFERROR(__xludf.DUMMYFUNCTION("""COMPUTED_VALUE"""),5)</f>
        <v>5</v>
      </c>
      <c r="K1167" s="1" t="str">
        <f ca="1">IFERROR(__xludf.DUMMYFUNCTION("""COMPUTED_VALUE"""),"Every Day Office Environment")</f>
        <v>Every Day Office Environment</v>
      </c>
      <c r="L1167" s="1" t="str">
        <f ca="1">IFERROR(__xludf.DUMMYFUNCTION("""COMPUTED_VALUE"""),"Employer who pushes your limits by enabling an learning environment, and rewards you at the end")</f>
        <v>Employer who pushes your limits by enabling an learning environment, and rewards you at the end</v>
      </c>
      <c r="M116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67"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1167" s="1" t="str">
        <f ca="1">IFERROR(__xludf.DUMMYFUNCTION("""COMPUTED_VALUE"""),"Manager who clearly describes what she/he needs")</f>
        <v>Manager who clearly describes what she/he needs</v>
      </c>
      <c r="P1167" s="1" t="str">
        <f ca="1">IFERROR(__xludf.DUMMYFUNCTION("""COMPUTED_VALUE"""),"Work with 7 to 10 or more people in my team")</f>
        <v>Work with 7 to 10 or more people in my team</v>
      </c>
      <c r="Q1167" s="1"/>
    </row>
    <row r="1168" spans="1:17" ht="13.2" x14ac:dyDescent="0.25">
      <c r="A1168" s="2">
        <f ca="1">IFERROR(__xludf.DUMMYFUNCTION("""COMPUTED_VALUE"""),45044.4190348263)</f>
        <v>45044.4190348263</v>
      </c>
      <c r="B1168" s="1" t="str">
        <f ca="1">IFERROR(__xludf.DUMMYFUNCTION("""COMPUTED_VALUE"""),"India")</f>
        <v>India</v>
      </c>
      <c r="C1168" s="1">
        <f ca="1">IFERROR(__xludf.DUMMYFUNCTION("""COMPUTED_VALUE"""),530002)</f>
        <v>530002</v>
      </c>
      <c r="D1168" s="3" t="str">
        <f ca="1">IFERROR(__xludf.DUMMYFUNCTION("""COMPUTED_VALUE"""),"Female")</f>
        <v>Female</v>
      </c>
      <c r="E1168" s="1" t="str">
        <f ca="1">IFERROR(__xludf.DUMMYFUNCTION("""COMPUTED_VALUE"""),"People who have changed the world for better")</f>
        <v>People who have changed the world for better</v>
      </c>
      <c r="F1168" s="1" t="str">
        <f ca="1">IFERROR(__xludf.DUMMYFUNCTION("""COMPUTED_VALUE"""),"No, But if someone could bare the cost I will")</f>
        <v>No, But if someone could bare the cost I will</v>
      </c>
      <c r="G1168" s="1" t="str">
        <f ca="1">IFERROR(__xludf.DUMMYFUNCTION("""COMPUTED_VALUE"""),"This will be hard to do, but if it is the right company I would try")</f>
        <v>This will be hard to do, but if it is the right company I would try</v>
      </c>
      <c r="H1168" s="1" t="str">
        <f ca="1">IFERROR(__xludf.DUMMYFUNCTION("""COMPUTED_VALUE"""),"No")</f>
        <v>No</v>
      </c>
      <c r="I1168" s="1" t="str">
        <f ca="1">IFERROR(__xludf.DUMMYFUNCTION("""COMPUTED_VALUE"""),"Will NOT work for them")</f>
        <v>Will NOT work for them</v>
      </c>
      <c r="J1168" s="1">
        <f ca="1">IFERROR(__xludf.DUMMYFUNCTION("""COMPUTED_VALUE"""),6)</f>
        <v>6</v>
      </c>
      <c r="K1168" s="1" t="str">
        <f ca="1">IFERROR(__xludf.DUMMYFUNCTION("""COMPUTED_VALUE"""),"Hybrid Working Environment with more than 15 days a month at office")</f>
        <v>Hybrid Working Environment with more than 15 days a month at office</v>
      </c>
      <c r="L1168" s="1" t="str">
        <f ca="1">IFERROR(__xludf.DUMMYFUNCTION("""COMPUTED_VALUE"""),"Employer who pushes your limits by enabling an learning environment, and rewards you at the end")</f>
        <v>Employer who pushes your limits by enabling an learning environment, and rewards you at the end</v>
      </c>
      <c r="M11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68" s="1" t="str">
        <f ca="1">IFERROR(__xludf.DUMMYFUNCTION("""COMPUTED_VALUE"""),"Manager who explains what is expected, sets a goal and helps achieve it")</f>
        <v>Manager who explains what is expected, sets a goal and helps achieve it</v>
      </c>
      <c r="P1168" s="1" t="str">
        <f ca="1">IFERROR(__xludf.DUMMYFUNCTION("""COMPUTED_VALUE"""),"Work with 2 to 3 people in my team")</f>
        <v>Work with 2 to 3 people in my team</v>
      </c>
      <c r="Q1168" s="1"/>
    </row>
    <row r="1169" spans="1:17" ht="13.2" x14ac:dyDescent="0.25">
      <c r="A1169" s="2">
        <f ca="1">IFERROR(__xludf.DUMMYFUNCTION("""COMPUTED_VALUE"""),45044.4201268171)</f>
        <v>45044.420126817102</v>
      </c>
      <c r="B1169" s="1" t="str">
        <f ca="1">IFERROR(__xludf.DUMMYFUNCTION("""COMPUTED_VALUE"""),"India")</f>
        <v>India</v>
      </c>
      <c r="C1169" s="1">
        <f ca="1">IFERROR(__xludf.DUMMYFUNCTION("""COMPUTED_VALUE"""),110091)</f>
        <v>110091</v>
      </c>
      <c r="D1169" s="3" t="str">
        <f ca="1">IFERROR(__xludf.DUMMYFUNCTION("""COMPUTED_VALUE"""),"Male")</f>
        <v>Male</v>
      </c>
      <c r="E1169" s="1" t="str">
        <f ca="1">IFERROR(__xludf.DUMMYFUNCTION("""COMPUTED_VALUE"""),"People from my circle, but not family members")</f>
        <v>People from my circle, but not family members</v>
      </c>
      <c r="F1169" s="1" t="str">
        <f ca="1">IFERROR(__xludf.DUMMYFUNCTION("""COMPUTED_VALUE"""),"No, But if someone could bare the cost I will")</f>
        <v>No, But if someone could bare the cost I will</v>
      </c>
      <c r="G1169" s="1" t="str">
        <f ca="1">IFERROR(__xludf.DUMMYFUNCTION("""COMPUTED_VALUE"""),"Will work for 3 years or more")</f>
        <v>Will work for 3 years or more</v>
      </c>
      <c r="H1169" s="1" t="str">
        <f ca="1">IFERROR(__xludf.DUMMYFUNCTION("""COMPUTED_VALUE"""),"No")</f>
        <v>No</v>
      </c>
      <c r="I1169" s="1" t="str">
        <f ca="1">IFERROR(__xludf.DUMMYFUNCTION("""COMPUTED_VALUE"""),"Will NOT work for them")</f>
        <v>Will NOT work for them</v>
      </c>
      <c r="J1169" s="1">
        <f ca="1">IFERROR(__xludf.DUMMYFUNCTION("""COMPUTED_VALUE"""),10)</f>
        <v>10</v>
      </c>
      <c r="K1169" s="1" t="str">
        <f ca="1">IFERROR(__xludf.DUMMYFUNCTION("""COMPUTED_VALUE"""),"Every Day Office Environment")</f>
        <v>Every Day Office Environment</v>
      </c>
      <c r="L1169" s="1" t="str">
        <f ca="1">IFERROR(__xludf.DUMMYFUNCTION("""COMPUTED_VALUE"""),"Employer who pushes your limits by enabling an learning environment, and rewards you at the end")</f>
        <v>Employer who pushes your limits by enabling an learning environment, and rewards you at the end</v>
      </c>
      <c r="M116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9"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169" s="1" t="str">
        <f ca="1">IFERROR(__xludf.DUMMYFUNCTION("""COMPUTED_VALUE"""),"Manager who explains what is expected, sets a goal and helps achieve it")</f>
        <v>Manager who explains what is expected, sets a goal and helps achieve it</v>
      </c>
      <c r="P1169" s="1" t="str">
        <f ca="1">IFERROR(__xludf.DUMMYFUNCTION("""COMPUTED_VALUE"""),"Work with 5 to 6 people in my team")</f>
        <v>Work with 5 to 6 people in my team</v>
      </c>
      <c r="Q1169" s="1"/>
    </row>
    <row r="1170" spans="1:17" ht="13.2" x14ac:dyDescent="0.25">
      <c r="A1170" s="2">
        <f ca="1">IFERROR(__xludf.DUMMYFUNCTION("""COMPUTED_VALUE"""),45044.4214031944)</f>
        <v>45044.421403194399</v>
      </c>
      <c r="B1170" s="1" t="str">
        <f ca="1">IFERROR(__xludf.DUMMYFUNCTION("""COMPUTED_VALUE"""),"India")</f>
        <v>India</v>
      </c>
      <c r="C1170" s="1">
        <f ca="1">IFERROR(__xludf.DUMMYFUNCTION("""COMPUTED_VALUE"""),560100)</f>
        <v>560100</v>
      </c>
      <c r="D1170" s="3" t="str">
        <f ca="1">IFERROR(__xludf.DUMMYFUNCTION("""COMPUTED_VALUE"""),"Male")</f>
        <v>Male</v>
      </c>
      <c r="E1170" s="1" t="str">
        <f ca="1">IFERROR(__xludf.DUMMYFUNCTION("""COMPUTED_VALUE"""),"My Parents")</f>
        <v>My Parents</v>
      </c>
      <c r="F1170" s="1" t="str">
        <f ca="1">IFERROR(__xludf.DUMMYFUNCTION("""COMPUTED_VALUE"""),"Yes, I will earn and do that")</f>
        <v>Yes, I will earn and do that</v>
      </c>
      <c r="G1170" s="1" t="str">
        <f ca="1">IFERROR(__xludf.DUMMYFUNCTION("""COMPUTED_VALUE"""),"Will work for 3 years or more")</f>
        <v>Will work for 3 years or more</v>
      </c>
      <c r="H1170" s="1" t="str">
        <f ca="1">IFERROR(__xludf.DUMMYFUNCTION("""COMPUTED_VALUE"""),"No")</f>
        <v>No</v>
      </c>
      <c r="I1170" s="1" t="str">
        <f ca="1">IFERROR(__xludf.DUMMYFUNCTION("""COMPUTED_VALUE"""),"Will work for them")</f>
        <v>Will work for them</v>
      </c>
      <c r="J1170" s="1">
        <f ca="1">IFERROR(__xludf.DUMMYFUNCTION("""COMPUTED_VALUE"""),4)</f>
        <v>4</v>
      </c>
      <c r="K1170" s="1" t="str">
        <f ca="1">IFERROR(__xludf.DUMMYFUNCTION("""COMPUTED_VALUE"""),"Fully Remote with Options to travel as and when needed")</f>
        <v>Fully Remote with Options to travel as and when needed</v>
      </c>
      <c r="L1170" s="1" t="str">
        <f ca="1">IFERROR(__xludf.DUMMYFUNCTION("""COMPUTED_VALUE"""),"Employer who rewards learning and enables that environment")</f>
        <v>Employer who rewards learning and enables that environment</v>
      </c>
      <c r="M117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70" s="1" t="str">
        <f ca="1">IFERROR(__xludf.DUMMYFUNCTION("""COMPUTED_VALUE"""),"Design and Creative strategy in any company, Business Operations in any organization, Work in a BPO setup for some well known client, Manufacturing / Oil and Gas/ Construction / Hard Physical Work related")</f>
        <v>Design and Creative strategy in any company, Business Operations in any organization, Work in a BPO setup for some well known client, Manufacturing / Oil and Gas/ Construction / Hard Physical Work related</v>
      </c>
      <c r="O1170" s="1" t="str">
        <f ca="1">IFERROR(__xludf.DUMMYFUNCTION("""COMPUTED_VALUE"""),"Manager who clearly describes what she/he needs")</f>
        <v>Manager who clearly describes what she/he needs</v>
      </c>
      <c r="P1170" s="1" t="str">
        <f ca="1">IFERROR(__xludf.DUMMYFUNCTION("""COMPUTED_VALUE"""),"Work alone")</f>
        <v>Work alone</v>
      </c>
      <c r="Q1170" s="1"/>
    </row>
    <row r="1171" spans="1:17" ht="13.2" x14ac:dyDescent="0.25">
      <c r="A1171" s="2">
        <f ca="1">IFERROR(__xludf.DUMMYFUNCTION("""COMPUTED_VALUE"""),45044.4215646875)</f>
        <v>45044.421564687502</v>
      </c>
      <c r="B1171" s="1" t="str">
        <f ca="1">IFERROR(__xludf.DUMMYFUNCTION("""COMPUTED_VALUE"""),"India")</f>
        <v>India</v>
      </c>
      <c r="C1171" s="1">
        <f ca="1">IFERROR(__xludf.DUMMYFUNCTION("""COMPUTED_VALUE"""),530024)</f>
        <v>530024</v>
      </c>
      <c r="D1171" s="3" t="str">
        <f ca="1">IFERROR(__xludf.DUMMYFUNCTION("""COMPUTED_VALUE"""),"Male")</f>
        <v>Male</v>
      </c>
      <c r="E1171" s="1" t="str">
        <f ca="1">IFERROR(__xludf.DUMMYFUNCTION("""COMPUTED_VALUE"""),"People from my circle, but not family members")</f>
        <v>People from my circle, but not family members</v>
      </c>
      <c r="F1171" s="1" t="str">
        <f ca="1">IFERROR(__xludf.DUMMYFUNCTION("""COMPUTED_VALUE"""),"Yes, I will earn and do that")</f>
        <v>Yes, I will earn and do that</v>
      </c>
      <c r="G1171" s="1" t="str">
        <f ca="1">IFERROR(__xludf.DUMMYFUNCTION("""COMPUTED_VALUE"""),"This will be hard to do, but if it is the right company I would try")</f>
        <v>This will be hard to do, but if it is the right company I would try</v>
      </c>
      <c r="H1171" s="1" t="str">
        <f ca="1">IFERROR(__xludf.DUMMYFUNCTION("""COMPUTED_VALUE"""),"No")</f>
        <v>No</v>
      </c>
      <c r="I1171" s="1" t="str">
        <f ca="1">IFERROR(__xludf.DUMMYFUNCTION("""COMPUTED_VALUE"""),"Will NOT work for them")</f>
        <v>Will NOT work for them</v>
      </c>
      <c r="J1171" s="1">
        <f ca="1">IFERROR(__xludf.DUMMYFUNCTION("""COMPUTED_VALUE"""),8)</f>
        <v>8</v>
      </c>
      <c r="K1171" s="1" t="str">
        <f ca="1">IFERROR(__xludf.DUMMYFUNCTION("""COMPUTED_VALUE"""),"Hybrid Working Environment with more than 15 days a month at office")</f>
        <v>Hybrid Working Environment with more than 15 days a month at office</v>
      </c>
      <c r="L1171" s="1" t="str">
        <f ca="1">IFERROR(__xludf.DUMMYFUNCTION("""COMPUTED_VALUE"""),"Employer who appreciates learning and enables that environment")</f>
        <v>Employer who appreciates learning and enables that environment</v>
      </c>
      <c r="M1171" s="1" t="str">
        <f ca="1">IFERROR(__xludf.DUMMYFUNCTION("""COMPUTED_VALUE"""),"Instructor or Expert Learning Programs, Learning by observing others, Manager Teaching you")</f>
        <v>Instructor or Expert Learning Programs, Learning by observing others, Manager Teaching you</v>
      </c>
      <c r="N117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71" s="1" t="str">
        <f ca="1">IFERROR(__xludf.DUMMYFUNCTION("""COMPUTED_VALUE"""),"Manager who clearly describes what she/he needs")</f>
        <v>Manager who clearly describes what she/he needs</v>
      </c>
      <c r="P1171" s="1" t="str">
        <f ca="1">IFERROR(__xludf.DUMMYFUNCTION("""COMPUTED_VALUE"""),"Work with 5 to 6 people in my team")</f>
        <v>Work with 5 to 6 people in my team</v>
      </c>
      <c r="Q1171" s="1"/>
    </row>
    <row r="1172" spans="1:17" ht="13.2" x14ac:dyDescent="0.25">
      <c r="A1172" s="2">
        <f ca="1">IFERROR(__xludf.DUMMYFUNCTION("""COMPUTED_VALUE"""),45044.4234244213)</f>
        <v>45044.4234244213</v>
      </c>
      <c r="B1172" s="1" t="str">
        <f ca="1">IFERROR(__xludf.DUMMYFUNCTION("""COMPUTED_VALUE"""),"India")</f>
        <v>India</v>
      </c>
      <c r="C1172" s="1">
        <f ca="1">IFERROR(__xludf.DUMMYFUNCTION("""COMPUTED_VALUE"""),533005)</f>
        <v>533005</v>
      </c>
      <c r="D1172" s="3" t="str">
        <f ca="1">IFERROR(__xludf.DUMMYFUNCTION("""COMPUTED_VALUE"""),"Female")</f>
        <v>Female</v>
      </c>
      <c r="E1172" s="1" t="str">
        <f ca="1">IFERROR(__xludf.DUMMYFUNCTION("""COMPUTED_VALUE"""),"People who have changed the world for better")</f>
        <v>People who have changed the world for better</v>
      </c>
      <c r="F1172" s="1" t="str">
        <f ca="1">IFERROR(__xludf.DUMMYFUNCTION("""COMPUTED_VALUE"""),"Yes, I will earn and do that")</f>
        <v>Yes, I will earn and do that</v>
      </c>
      <c r="G1172" s="1" t="str">
        <f ca="1">IFERROR(__xludf.DUMMYFUNCTION("""COMPUTED_VALUE"""),"This will be hard to do, but if it is the right company I would try")</f>
        <v>This will be hard to do, but if it is the right company I would try</v>
      </c>
      <c r="H1172" s="1" t="str">
        <f ca="1">IFERROR(__xludf.DUMMYFUNCTION("""COMPUTED_VALUE"""),"No")</f>
        <v>No</v>
      </c>
      <c r="I1172" s="1" t="str">
        <f ca="1">IFERROR(__xludf.DUMMYFUNCTION("""COMPUTED_VALUE"""),"Will NOT work for them")</f>
        <v>Will NOT work for them</v>
      </c>
      <c r="J1172" s="1">
        <f ca="1">IFERROR(__xludf.DUMMYFUNCTION("""COMPUTED_VALUE"""),7)</f>
        <v>7</v>
      </c>
      <c r="K1172" s="1" t="str">
        <f ca="1">IFERROR(__xludf.DUMMYFUNCTION("""COMPUTED_VALUE"""),"Hybrid Working Environment with more than 15 days a month at office")</f>
        <v>Hybrid Working Environment with more than 15 days a month at office</v>
      </c>
      <c r="L1172" s="1" t="str">
        <f ca="1">IFERROR(__xludf.DUMMYFUNCTION("""COMPUTED_VALUE"""),"Employer who appreciates learning and enables that environment")</f>
        <v>Employer who appreciates learning and enables that environment</v>
      </c>
      <c r="M117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7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72" s="1" t="str">
        <f ca="1">IFERROR(__xludf.DUMMYFUNCTION("""COMPUTED_VALUE"""),"Manager who explains what is expected, sets a goal and helps achieve it")</f>
        <v>Manager who explains what is expected, sets a goal and helps achieve it</v>
      </c>
      <c r="P1172" s="1" t="str">
        <f ca="1">IFERROR(__xludf.DUMMYFUNCTION("""COMPUTED_VALUE"""),"Work with 2 to 3 people in my team")</f>
        <v>Work with 2 to 3 people in my team</v>
      </c>
      <c r="Q1172" s="1"/>
    </row>
    <row r="1173" spans="1:17" ht="13.2" x14ac:dyDescent="0.25">
      <c r="A1173" s="2">
        <f ca="1">IFERROR(__xludf.DUMMYFUNCTION("""COMPUTED_VALUE"""),45044.4240322685)</f>
        <v>45044.4240322685</v>
      </c>
      <c r="B1173" s="1" t="str">
        <f ca="1">IFERROR(__xludf.DUMMYFUNCTION("""COMPUTED_VALUE"""),"India")</f>
        <v>India</v>
      </c>
      <c r="C1173" s="1">
        <f ca="1">IFERROR(__xludf.DUMMYFUNCTION("""COMPUTED_VALUE"""),501301)</f>
        <v>501301</v>
      </c>
      <c r="D1173" s="3" t="str">
        <f ca="1">IFERROR(__xludf.DUMMYFUNCTION("""COMPUTED_VALUE"""),"Male")</f>
        <v>Male</v>
      </c>
      <c r="E1173" s="1" t="str">
        <f ca="1">IFERROR(__xludf.DUMMYFUNCTION("""COMPUTED_VALUE"""),"People from my circle, but not family members")</f>
        <v>People from my circle, but not family members</v>
      </c>
      <c r="F1173" s="1" t="str">
        <f ca="1">IFERROR(__xludf.DUMMYFUNCTION("""COMPUTED_VALUE"""),"Yes, I will earn and do that")</f>
        <v>Yes, I will earn and do that</v>
      </c>
      <c r="G1173" s="1" t="str">
        <f ca="1">IFERROR(__xludf.DUMMYFUNCTION("""COMPUTED_VALUE"""),"This will be hard to do, but if it is the right company I would try")</f>
        <v>This will be hard to do, but if it is the right company I would try</v>
      </c>
      <c r="H1173" s="1" t="str">
        <f ca="1">IFERROR(__xludf.DUMMYFUNCTION("""COMPUTED_VALUE"""),"No")</f>
        <v>No</v>
      </c>
      <c r="I1173" s="1" t="str">
        <f ca="1">IFERROR(__xludf.DUMMYFUNCTION("""COMPUTED_VALUE"""),"Will NOT work for them")</f>
        <v>Will NOT work for them</v>
      </c>
      <c r="J1173" s="1">
        <f ca="1">IFERROR(__xludf.DUMMYFUNCTION("""COMPUTED_VALUE"""),6)</f>
        <v>6</v>
      </c>
      <c r="K1173" s="1" t="str">
        <f ca="1">IFERROR(__xludf.DUMMYFUNCTION("""COMPUTED_VALUE"""),"Hybrid Working Environment with more than 15 days a month at office")</f>
        <v>Hybrid Working Environment with more than 15 days a month at office</v>
      </c>
      <c r="L1173" s="1" t="str">
        <f ca="1">IFERROR(__xludf.DUMMYFUNCTION("""COMPUTED_VALUE"""),"Employer who pushes your limits by enabling an learning environment, and rewards you at the end")</f>
        <v>Employer who pushes your limits by enabling an learning environment, and rewards you at the end</v>
      </c>
      <c r="M1173" s="1" t="str">
        <f ca="1">IFERROR(__xludf.DUMMYFUNCTION("""COMPUTED_VALUE"""),"Self Paced Learning Portals of the Company, Instructor or Expert Learning Programs, Manager Teaching you")</f>
        <v>Self Paced Learning Portals of the Company, Instructor or Expert Learning Programs, Manager Teaching you</v>
      </c>
      <c r="N1173"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3" s="1" t="str">
        <f ca="1">IFERROR(__xludf.DUMMYFUNCTION("""COMPUTED_VALUE"""),"Manager who explains what is expected, sets a goal and helps achieve it")</f>
        <v>Manager who explains what is expected, sets a goal and helps achieve it</v>
      </c>
      <c r="P1173" s="1" t="str">
        <f ca="1">IFERROR(__xludf.DUMMYFUNCTION("""COMPUTED_VALUE"""),"Work alone, Work with 2 to 3 people in my team")</f>
        <v>Work alone, Work with 2 to 3 people in my team</v>
      </c>
      <c r="Q1173" s="1"/>
    </row>
    <row r="1174" spans="1:17" ht="13.2" x14ac:dyDescent="0.25">
      <c r="A1174" s="2">
        <f ca="1">IFERROR(__xludf.DUMMYFUNCTION("""COMPUTED_VALUE"""),45044.4248139699)</f>
        <v>45044.424813969898</v>
      </c>
      <c r="B1174" s="1" t="str">
        <f ca="1">IFERROR(__xludf.DUMMYFUNCTION("""COMPUTED_VALUE"""),"India")</f>
        <v>India</v>
      </c>
      <c r="C1174" s="1">
        <f ca="1">IFERROR(__xludf.DUMMYFUNCTION("""COMPUTED_VALUE"""),562112)</f>
        <v>562112</v>
      </c>
      <c r="D1174" s="3" t="str">
        <f ca="1">IFERROR(__xludf.DUMMYFUNCTION("""COMPUTED_VALUE"""),"Male")</f>
        <v>Male</v>
      </c>
      <c r="E1174" s="1" t="str">
        <f ca="1">IFERROR(__xludf.DUMMYFUNCTION("""COMPUTED_VALUE"""),"People who have changed the world for better")</f>
        <v>People who have changed the world for better</v>
      </c>
      <c r="F1174" s="1" t="str">
        <f ca="1">IFERROR(__xludf.DUMMYFUNCTION("""COMPUTED_VALUE"""),"No, But if someone could bare the cost I will")</f>
        <v>No, But if someone could bare the cost I will</v>
      </c>
      <c r="G1174" s="1" t="str">
        <f ca="1">IFERROR(__xludf.DUMMYFUNCTION("""COMPUTED_VALUE"""),"This will be hard to do, but if it is the right company I would try")</f>
        <v>This will be hard to do, but if it is the right company I would try</v>
      </c>
      <c r="H1174" s="1" t="str">
        <f ca="1">IFERROR(__xludf.DUMMYFUNCTION("""COMPUTED_VALUE"""),"Yes")</f>
        <v>Yes</v>
      </c>
      <c r="I1174" s="1" t="str">
        <f ca="1">IFERROR(__xludf.DUMMYFUNCTION("""COMPUTED_VALUE"""),"Will NOT work for them")</f>
        <v>Will NOT work for them</v>
      </c>
      <c r="J1174" s="1">
        <f ca="1">IFERROR(__xludf.DUMMYFUNCTION("""COMPUTED_VALUE"""),2)</f>
        <v>2</v>
      </c>
      <c r="K1174" s="1" t="str">
        <f ca="1">IFERROR(__xludf.DUMMYFUNCTION("""COMPUTED_VALUE"""),"Hybrid Working Environment with less than 3 days a month at office")</f>
        <v>Hybrid Working Environment with less than 3 days a month at office</v>
      </c>
      <c r="L1174" s="1" t="str">
        <f ca="1">IFERROR(__xludf.DUMMYFUNCTION("""COMPUTED_VALUE"""),"Employer who pushes your limits by enabling an learning environment, and rewards you at the end")</f>
        <v>Employer who pushes your limits by enabling an learning environment, and rewards you at the end</v>
      </c>
      <c r="M1174"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174" s="1" t="str">
        <f ca="1">IFERROR(__xludf.DUMMYFUNCTION("""COMPUTED_VALUE"""),"Design and Creative strategy in any company, Teaching in any of the institutes/colleges/online or offline, Entrepreneur or Start Up, Manufacturing / Oil and Gas/ Construction / Hard Physical Work related")</f>
        <v>Design and Creative strategy in any company, Teaching in any of the institutes/colleges/online or offline, Entrepreneur or Start Up, Manufacturing / Oil and Gas/ Construction / Hard Physical Work related</v>
      </c>
      <c r="O1174" s="1" t="str">
        <f ca="1">IFERROR(__xludf.DUMMYFUNCTION("""COMPUTED_VALUE"""),"Manager who clearly describes what she/he needs")</f>
        <v>Manager who clearly describes what she/he needs</v>
      </c>
      <c r="P1174" s="1" t="str">
        <f ca="1">IFERROR(__xludf.DUMMYFUNCTION("""COMPUTED_VALUE"""),"Work alone, Work with 5 to 6 people in my team")</f>
        <v>Work alone, Work with 5 to 6 people in my team</v>
      </c>
      <c r="Q1174" s="1"/>
    </row>
    <row r="1175" spans="1:17" ht="13.2" x14ac:dyDescent="0.25">
      <c r="A1175" s="2">
        <f ca="1">IFERROR(__xludf.DUMMYFUNCTION("""COMPUTED_VALUE"""),45044.425782743)</f>
        <v>45044.425782742997</v>
      </c>
      <c r="B1175" s="1" t="str">
        <f ca="1">IFERROR(__xludf.DUMMYFUNCTION("""COMPUTED_VALUE"""),"India")</f>
        <v>India</v>
      </c>
      <c r="C1175" s="1">
        <f ca="1">IFERROR(__xludf.DUMMYFUNCTION("""COMPUTED_VALUE"""),500085)</f>
        <v>500085</v>
      </c>
      <c r="D1175" s="3" t="str">
        <f ca="1">IFERROR(__xludf.DUMMYFUNCTION("""COMPUTED_VALUE"""),"Male")</f>
        <v>Male</v>
      </c>
      <c r="E1175" s="1" t="str">
        <f ca="1">IFERROR(__xludf.DUMMYFUNCTION("""COMPUTED_VALUE"""),"My Parents")</f>
        <v>My Parents</v>
      </c>
      <c r="F1175" s="1" t="str">
        <f ca="1">IFERROR(__xludf.DUMMYFUNCTION("""COMPUTED_VALUE"""),"Yes, I will earn and do that")</f>
        <v>Yes, I will earn and do that</v>
      </c>
      <c r="G1175" s="1" t="str">
        <f ca="1">IFERROR(__xludf.DUMMYFUNCTION("""COMPUTED_VALUE"""),"This will be hard to do, but if it is the right company I would try")</f>
        <v>This will be hard to do, but if it is the right company I would try</v>
      </c>
      <c r="H1175" s="1" t="str">
        <f ca="1">IFERROR(__xludf.DUMMYFUNCTION("""COMPUTED_VALUE"""),"No")</f>
        <v>No</v>
      </c>
      <c r="I1175" s="1" t="str">
        <f ca="1">IFERROR(__xludf.DUMMYFUNCTION("""COMPUTED_VALUE"""),"Will NOT work for them")</f>
        <v>Will NOT work for them</v>
      </c>
      <c r="J1175" s="1">
        <f ca="1">IFERROR(__xludf.DUMMYFUNCTION("""COMPUTED_VALUE"""),6)</f>
        <v>6</v>
      </c>
      <c r="K1175" s="1" t="str">
        <f ca="1">IFERROR(__xludf.DUMMYFUNCTION("""COMPUTED_VALUE"""),"Every Day Office Environment")</f>
        <v>Every Day Office Environment</v>
      </c>
      <c r="L1175" s="1" t="str">
        <f ca="1">IFERROR(__xludf.DUMMYFUNCTION("""COMPUTED_VALUE"""),"Employer who appreciates learning and enables that environment")</f>
        <v>Employer who appreciates learning and enables that environment</v>
      </c>
      <c r="M117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175"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1175" s="1" t="str">
        <f ca="1">IFERROR(__xludf.DUMMYFUNCTION("""COMPUTED_VALUE"""),"Manager who clearly describes what she/he needs")</f>
        <v>Manager who clearly describes what she/he needs</v>
      </c>
      <c r="P1175" s="1" t="str">
        <f ca="1">IFERROR(__xludf.DUMMYFUNCTION("""COMPUTED_VALUE"""),"Work with 7 to 10 or more people in my team")</f>
        <v>Work with 7 to 10 or more people in my team</v>
      </c>
      <c r="Q1175" s="1"/>
    </row>
    <row r="1176" spans="1:17" ht="13.2" x14ac:dyDescent="0.25">
      <c r="A1176" s="2">
        <f ca="1">IFERROR(__xludf.DUMMYFUNCTION("""COMPUTED_VALUE"""),45044.4325346643)</f>
        <v>45044.432534664302</v>
      </c>
      <c r="B1176" s="1" t="str">
        <f ca="1">IFERROR(__xludf.DUMMYFUNCTION("""COMPUTED_VALUE"""),"India")</f>
        <v>India</v>
      </c>
      <c r="C1176" s="1">
        <f ca="1">IFERROR(__xludf.DUMMYFUNCTION("""COMPUTED_VALUE"""),110091)</f>
        <v>110091</v>
      </c>
      <c r="D1176" s="3" t="str">
        <f ca="1">IFERROR(__xludf.DUMMYFUNCTION("""COMPUTED_VALUE"""),"Male")</f>
        <v>Male</v>
      </c>
      <c r="E1176" s="1" t="str">
        <f ca="1">IFERROR(__xludf.DUMMYFUNCTION("""COMPUTED_VALUE"""),"Influencers who had successful careers")</f>
        <v>Influencers who had successful careers</v>
      </c>
      <c r="F1176" s="1" t="str">
        <f ca="1">IFERROR(__xludf.DUMMYFUNCTION("""COMPUTED_VALUE"""),"Yes, I will earn and do that")</f>
        <v>Yes, I will earn and do that</v>
      </c>
      <c r="G1176" s="1" t="str">
        <f ca="1">IFERROR(__xludf.DUMMYFUNCTION("""COMPUTED_VALUE"""),"Will work for 3 years or more")</f>
        <v>Will work for 3 years or more</v>
      </c>
      <c r="H1176" s="1" t="str">
        <f ca="1">IFERROR(__xludf.DUMMYFUNCTION("""COMPUTED_VALUE"""),"No")</f>
        <v>No</v>
      </c>
      <c r="I1176" s="1" t="str">
        <f ca="1">IFERROR(__xludf.DUMMYFUNCTION("""COMPUTED_VALUE"""),"Will NOT work for them")</f>
        <v>Will NOT work for them</v>
      </c>
      <c r="J1176" s="1">
        <f ca="1">IFERROR(__xludf.DUMMYFUNCTION("""COMPUTED_VALUE"""),7)</f>
        <v>7</v>
      </c>
      <c r="K1176" s="1" t="str">
        <f ca="1">IFERROR(__xludf.DUMMYFUNCTION("""COMPUTED_VALUE"""),"Hybrid Working Environment with more than 15 days a month at office")</f>
        <v>Hybrid Working Environment with more than 15 days a month at office</v>
      </c>
      <c r="L1176" s="1" t="str">
        <f ca="1">IFERROR(__xludf.DUMMYFUNCTION("""COMPUTED_VALUE"""),"Employer who rewards learning and enables that environment")</f>
        <v>Employer who rewards learning and enables that environment</v>
      </c>
      <c r="M117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76"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6" s="1" t="str">
        <f ca="1">IFERROR(__xludf.DUMMYFUNCTION("""COMPUTED_VALUE"""),"Manager who sets goal and helps me achieve it")</f>
        <v>Manager who sets goal and helps me achieve it</v>
      </c>
      <c r="P1176" s="1" t="str">
        <f ca="1">IFERROR(__xludf.DUMMYFUNCTION("""COMPUTED_VALUE"""),"Work with 7 to 10 or more people in my team, Work with more than 10 people in my team")</f>
        <v>Work with 7 to 10 or more people in my team, Work with more than 10 people in my team</v>
      </c>
      <c r="Q1176" s="1"/>
    </row>
    <row r="1177" spans="1:17" ht="13.2" x14ac:dyDescent="0.25">
      <c r="A1177" s="2">
        <f ca="1">IFERROR(__xludf.DUMMYFUNCTION("""COMPUTED_VALUE"""),45044.4331291782)</f>
        <v>45044.4331291782</v>
      </c>
      <c r="B1177" s="1" t="str">
        <f ca="1">IFERROR(__xludf.DUMMYFUNCTION("""COMPUTED_VALUE"""),"India")</f>
        <v>India</v>
      </c>
      <c r="C1177" s="1">
        <f ca="1">IFERROR(__xludf.DUMMYFUNCTION("""COMPUTED_VALUE"""),560067)</f>
        <v>560067</v>
      </c>
      <c r="D1177" s="3" t="str">
        <f ca="1">IFERROR(__xludf.DUMMYFUNCTION("""COMPUTED_VALUE"""),"Male")</f>
        <v>Male</v>
      </c>
      <c r="E1177" s="1" t="str">
        <f ca="1">IFERROR(__xludf.DUMMYFUNCTION("""COMPUTED_VALUE"""),"My Parents")</f>
        <v>My Parents</v>
      </c>
      <c r="F1177" s="1" t="str">
        <f ca="1">IFERROR(__xludf.DUMMYFUNCTION("""COMPUTED_VALUE"""),"No I would not be pursuing Higher Education outside of India")</f>
        <v>No I would not be pursuing Higher Education outside of India</v>
      </c>
      <c r="G1177" s="1" t="str">
        <f ca="1">IFERROR(__xludf.DUMMYFUNCTION("""COMPUTED_VALUE"""),"Will work for 3 years or more")</f>
        <v>Will work for 3 years or more</v>
      </c>
      <c r="H1177" s="1" t="str">
        <f ca="1">IFERROR(__xludf.DUMMYFUNCTION("""COMPUTED_VALUE"""),"Yes")</f>
        <v>Yes</v>
      </c>
      <c r="I1177" s="1" t="str">
        <f ca="1">IFERROR(__xludf.DUMMYFUNCTION("""COMPUTED_VALUE"""),"Will work for them")</f>
        <v>Will work for them</v>
      </c>
      <c r="J1177" s="1">
        <f ca="1">IFERROR(__xludf.DUMMYFUNCTION("""COMPUTED_VALUE"""),7)</f>
        <v>7</v>
      </c>
      <c r="K1177" s="1" t="str">
        <f ca="1">IFERROR(__xludf.DUMMYFUNCTION("""COMPUTED_VALUE"""),"Hybrid Working Environment with less than 3 days a month at office")</f>
        <v>Hybrid Working Environment with less than 3 days a month at office</v>
      </c>
      <c r="L1177" s="1" t="str">
        <f ca="1">IFERROR(__xludf.DUMMYFUNCTION("""COMPUTED_VALUE"""),"Employer who pushes your limits by enabling an learning environment, and rewards you at the end")</f>
        <v>Employer who pushes your limits by enabling an learning environment, and rewards you at the end</v>
      </c>
      <c r="M11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77"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177" s="1" t="str">
        <f ca="1">IFERROR(__xludf.DUMMYFUNCTION("""COMPUTED_VALUE"""),"Manager who explains what is expected, sets a goal and helps achieve it")</f>
        <v>Manager who explains what is expected, sets a goal and helps achieve it</v>
      </c>
      <c r="P1177" s="1" t="str">
        <f ca="1">IFERROR(__xludf.DUMMYFUNCTION("""COMPUTED_VALUE"""),"Work with more than 10 people in my team")</f>
        <v>Work with more than 10 people in my team</v>
      </c>
      <c r="Q1177" s="1"/>
    </row>
    <row r="1178" spans="1:17" ht="13.2" x14ac:dyDescent="0.25">
      <c r="A1178" s="2">
        <f ca="1">IFERROR(__xludf.DUMMYFUNCTION("""COMPUTED_VALUE"""),45044.434236493)</f>
        <v>45044.434236492998</v>
      </c>
      <c r="B1178" s="1" t="str">
        <f ca="1">IFERROR(__xludf.DUMMYFUNCTION("""COMPUTED_VALUE"""),"India")</f>
        <v>India</v>
      </c>
      <c r="C1178" s="1">
        <f ca="1">IFERROR(__xludf.DUMMYFUNCTION("""COMPUTED_VALUE"""),462001)</f>
        <v>462001</v>
      </c>
      <c r="D1178" s="3" t="str">
        <f ca="1">IFERROR(__xludf.DUMMYFUNCTION("""COMPUTED_VALUE"""),"Female")</f>
        <v>Female</v>
      </c>
      <c r="E1178" s="1" t="str">
        <f ca="1">IFERROR(__xludf.DUMMYFUNCTION("""COMPUTED_VALUE"""),"Influencers who had successful careers")</f>
        <v>Influencers who had successful careers</v>
      </c>
      <c r="F1178" s="1" t="str">
        <f ca="1">IFERROR(__xludf.DUMMYFUNCTION("""COMPUTED_VALUE"""),"Yes, I will earn and do that")</f>
        <v>Yes, I will earn and do that</v>
      </c>
      <c r="G1178" s="1" t="str">
        <f ca="1">IFERROR(__xludf.DUMMYFUNCTION("""COMPUTED_VALUE"""),"This will be hard to do, but if it is the right company I would try")</f>
        <v>This will be hard to do, but if it is the right company I would try</v>
      </c>
      <c r="H1178" s="1" t="str">
        <f ca="1">IFERROR(__xludf.DUMMYFUNCTION("""COMPUTED_VALUE"""),"No")</f>
        <v>No</v>
      </c>
      <c r="I1178" s="1" t="str">
        <f ca="1">IFERROR(__xludf.DUMMYFUNCTION("""COMPUTED_VALUE"""),"Will NOT work for them")</f>
        <v>Will NOT work for them</v>
      </c>
      <c r="J1178" s="1">
        <f ca="1">IFERROR(__xludf.DUMMYFUNCTION("""COMPUTED_VALUE"""),6)</f>
        <v>6</v>
      </c>
      <c r="K1178" s="1" t="str">
        <f ca="1">IFERROR(__xludf.DUMMYFUNCTION("""COMPUTED_VALUE"""),"Hybrid Working Environment with more than 15 days a month at office")</f>
        <v>Hybrid Working Environment with more than 15 days a month at office</v>
      </c>
      <c r="L1178" s="1" t="str">
        <f ca="1">IFERROR(__xludf.DUMMYFUNCTION("""COMPUTED_VALUE"""),"Employer who pushes your limits by enabling an learning environment, and rewards you at the end")</f>
        <v>Employer who pushes your limits by enabling an learning environment, and rewards you at the end</v>
      </c>
      <c r="M117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7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78" s="1" t="str">
        <f ca="1">IFERROR(__xludf.DUMMYFUNCTION("""COMPUTED_VALUE"""),"Manager who explains what is expected, sets a goal and helps achieve it")</f>
        <v>Manager who explains what is expected, sets a goal and helps achieve it</v>
      </c>
      <c r="P1178" s="1" t="str">
        <f ca="1">IFERROR(__xludf.DUMMYFUNCTION("""COMPUTED_VALUE"""),"Work with 5 to 6 people in my team")</f>
        <v>Work with 5 to 6 people in my team</v>
      </c>
      <c r="Q1178" s="1"/>
    </row>
    <row r="1179" spans="1:17" ht="13.2" x14ac:dyDescent="0.25">
      <c r="A1179" s="2">
        <f ca="1">IFERROR(__xludf.DUMMYFUNCTION("""COMPUTED_VALUE"""),45044.4343961805)</f>
        <v>45044.434396180499</v>
      </c>
      <c r="B1179" s="1" t="str">
        <f ca="1">IFERROR(__xludf.DUMMYFUNCTION("""COMPUTED_VALUE"""),"India")</f>
        <v>India</v>
      </c>
      <c r="C1179" s="1">
        <f ca="1">IFERROR(__xludf.DUMMYFUNCTION("""COMPUTED_VALUE"""),799006)</f>
        <v>799006</v>
      </c>
      <c r="D1179" s="3" t="str">
        <f ca="1">IFERROR(__xludf.DUMMYFUNCTION("""COMPUTED_VALUE"""),"Male")</f>
        <v>Male</v>
      </c>
      <c r="E1179" s="1" t="str">
        <f ca="1">IFERROR(__xludf.DUMMYFUNCTION("""COMPUTED_VALUE"""),"My Parents")</f>
        <v>My Parents</v>
      </c>
      <c r="F1179" s="1" t="str">
        <f ca="1">IFERROR(__xludf.DUMMYFUNCTION("""COMPUTED_VALUE"""),"Yes, I will earn and do that")</f>
        <v>Yes, I will earn and do that</v>
      </c>
      <c r="G1179" s="1" t="str">
        <f ca="1">IFERROR(__xludf.DUMMYFUNCTION("""COMPUTED_VALUE"""),"No way")</f>
        <v>No way</v>
      </c>
      <c r="H1179" s="1" t="str">
        <f ca="1">IFERROR(__xludf.DUMMYFUNCTION("""COMPUTED_VALUE"""),"Yes")</f>
        <v>Yes</v>
      </c>
      <c r="I1179" s="1" t="str">
        <f ca="1">IFERROR(__xludf.DUMMYFUNCTION("""COMPUTED_VALUE"""),"Will work for them")</f>
        <v>Will work for them</v>
      </c>
      <c r="J1179" s="1">
        <f ca="1">IFERROR(__xludf.DUMMYFUNCTION("""COMPUTED_VALUE"""),8)</f>
        <v>8</v>
      </c>
      <c r="K1179" s="1" t="str">
        <f ca="1">IFERROR(__xludf.DUMMYFUNCTION("""COMPUTED_VALUE"""),"Fully Remote with Options to travel as and when needed")</f>
        <v>Fully Remote with Options to travel as and when needed</v>
      </c>
      <c r="L1179" s="1" t="str">
        <f ca="1">IFERROR(__xludf.DUMMYFUNCTION("""COMPUTED_VALUE"""),"Employer who pushes your limits by enabling an learning environment, and rewards you at the end")</f>
        <v>Employer who pushes your limits by enabling an learning environment, and rewards you at the end</v>
      </c>
      <c r="M11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79" s="1" t="str">
        <f ca="1">IFERROR(__xludf.DUMMYFUNCTION("""COMPUTED_VALUE"""),"Manage and drive End-to-End Projects or Products, Design and Develop amazing software, Entrepreneur or Start Up, I Want to sell things/Sales")</f>
        <v>Manage and drive End-to-End Projects or Products, Design and Develop amazing software, Entrepreneur or Start Up, I Want to sell things/Sales</v>
      </c>
      <c r="O1179" s="1" t="str">
        <f ca="1">IFERROR(__xludf.DUMMYFUNCTION("""COMPUTED_VALUE"""),"Manager who sets goal and helps me achieve it")</f>
        <v>Manager who sets goal and helps me achieve it</v>
      </c>
      <c r="P1179" s="1" t="str">
        <f ca="1">IFERROR(__xludf.DUMMYFUNCTION("""COMPUTED_VALUE"""),"Work with 2 to 3 people in my team, Work with 5 to 6 people in my team")</f>
        <v>Work with 2 to 3 people in my team, Work with 5 to 6 people in my team</v>
      </c>
      <c r="Q1179" s="1"/>
    </row>
    <row r="1180" spans="1:17" ht="13.2" x14ac:dyDescent="0.25">
      <c r="A1180" s="2">
        <f ca="1">IFERROR(__xludf.DUMMYFUNCTION("""COMPUTED_VALUE"""),45044.4414354745)</f>
        <v>45044.441435474502</v>
      </c>
      <c r="B1180" s="1" t="str">
        <f ca="1">IFERROR(__xludf.DUMMYFUNCTION("""COMPUTED_VALUE"""),"India")</f>
        <v>India</v>
      </c>
      <c r="C1180" s="1">
        <f ca="1">IFERROR(__xludf.DUMMYFUNCTION("""COMPUTED_VALUE"""),800024)</f>
        <v>800024</v>
      </c>
      <c r="D1180" s="3" t="str">
        <f ca="1">IFERROR(__xludf.DUMMYFUNCTION("""COMPUTED_VALUE"""),"Male")</f>
        <v>Male</v>
      </c>
      <c r="E1180" s="1" t="str">
        <f ca="1">IFERROR(__xludf.DUMMYFUNCTION("""COMPUTED_VALUE"""),"My Parents")</f>
        <v>My Parents</v>
      </c>
      <c r="F1180" s="1" t="str">
        <f ca="1">IFERROR(__xludf.DUMMYFUNCTION("""COMPUTED_VALUE"""),"No I would not be pursuing Higher Education outside of India")</f>
        <v>No I would not be pursuing Higher Education outside of India</v>
      </c>
      <c r="G1180" s="1" t="str">
        <f ca="1">IFERROR(__xludf.DUMMYFUNCTION("""COMPUTED_VALUE"""),"Will work for 3 years or more")</f>
        <v>Will work for 3 years or more</v>
      </c>
      <c r="H1180" s="1" t="str">
        <f ca="1">IFERROR(__xludf.DUMMYFUNCTION("""COMPUTED_VALUE"""),"No")</f>
        <v>No</v>
      </c>
      <c r="I1180" s="1" t="str">
        <f ca="1">IFERROR(__xludf.DUMMYFUNCTION("""COMPUTED_VALUE"""),"Will NOT work for them")</f>
        <v>Will NOT work for them</v>
      </c>
      <c r="J1180" s="1">
        <f ca="1">IFERROR(__xludf.DUMMYFUNCTION("""COMPUTED_VALUE"""),6)</f>
        <v>6</v>
      </c>
      <c r="K1180" s="1" t="str">
        <f ca="1">IFERROR(__xludf.DUMMYFUNCTION("""COMPUTED_VALUE"""),"Hybrid Working Environment with less than 3 days a month at office")</f>
        <v>Hybrid Working Environment with less than 3 days a month at office</v>
      </c>
      <c r="L1180" s="1" t="str">
        <f ca="1">IFERROR(__xludf.DUMMYFUNCTION("""COMPUTED_VALUE"""),"Employer who appreciates learning and enables that environment")</f>
        <v>Employer who appreciates learning and enables that environment</v>
      </c>
      <c r="M118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80"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180" s="1" t="str">
        <f ca="1">IFERROR(__xludf.DUMMYFUNCTION("""COMPUTED_VALUE"""),"Manager who clearly describes what she/he needs")</f>
        <v>Manager who clearly describes what she/he needs</v>
      </c>
      <c r="P1180" s="1" t="str">
        <f ca="1">IFERROR(__xludf.DUMMYFUNCTION("""COMPUTED_VALUE"""),"Work with 7 to 10 or more people in my team, Work with more than 10 people in my team")</f>
        <v>Work with 7 to 10 or more people in my team, Work with more than 10 people in my team</v>
      </c>
      <c r="Q1180" s="1"/>
    </row>
    <row r="1181" spans="1:17" ht="13.2" x14ac:dyDescent="0.25">
      <c r="A1181" s="2">
        <f ca="1">IFERROR(__xludf.DUMMYFUNCTION("""COMPUTED_VALUE"""),45044.4420592708)</f>
        <v>45044.442059270797</v>
      </c>
      <c r="B1181" s="1" t="str">
        <f ca="1">IFERROR(__xludf.DUMMYFUNCTION("""COMPUTED_VALUE"""),"UAE")</f>
        <v>UAE</v>
      </c>
      <c r="C1181" s="1">
        <f ca="1">IFERROR(__xludf.DUMMYFUNCTION("""COMPUTED_VALUE"""),111111)</f>
        <v>111111</v>
      </c>
      <c r="D1181" s="3" t="str">
        <f ca="1">IFERROR(__xludf.DUMMYFUNCTION("""COMPUTED_VALUE"""),"Male")</f>
        <v>Male</v>
      </c>
      <c r="E1181" s="1" t="str">
        <f ca="1">IFERROR(__xludf.DUMMYFUNCTION("""COMPUTED_VALUE"""),"Influencers who had successful careers")</f>
        <v>Influencers who had successful careers</v>
      </c>
      <c r="F1181" s="1" t="str">
        <f ca="1">IFERROR(__xludf.DUMMYFUNCTION("""COMPUTED_VALUE"""),"No, But if someone could bare the cost I will")</f>
        <v>No, But if someone could bare the cost I will</v>
      </c>
      <c r="G1181" s="1" t="str">
        <f ca="1">IFERROR(__xludf.DUMMYFUNCTION("""COMPUTED_VALUE"""),"Will work for 3 years or more")</f>
        <v>Will work for 3 years or more</v>
      </c>
      <c r="H1181" s="1" t="str">
        <f ca="1">IFERROR(__xludf.DUMMYFUNCTION("""COMPUTED_VALUE"""),"No")</f>
        <v>No</v>
      </c>
      <c r="I1181" s="1" t="str">
        <f ca="1">IFERROR(__xludf.DUMMYFUNCTION("""COMPUTED_VALUE"""),"Will NOT work for them")</f>
        <v>Will NOT work for them</v>
      </c>
      <c r="J1181" s="1">
        <f ca="1">IFERROR(__xludf.DUMMYFUNCTION("""COMPUTED_VALUE"""),2)</f>
        <v>2</v>
      </c>
      <c r="K1181" s="1" t="str">
        <f ca="1">IFERROR(__xludf.DUMMYFUNCTION("""COMPUTED_VALUE"""),"Hybrid Working Environment with less than 3 days a month at office")</f>
        <v>Hybrid Working Environment with less than 3 days a month at office</v>
      </c>
      <c r="L1181" s="1" t="str">
        <f ca="1">IFERROR(__xludf.DUMMYFUNCTION("""COMPUTED_VALUE"""),"Employer who appreciates learning and enables that environment")</f>
        <v>Employer who appreciates learning and enables that environment</v>
      </c>
      <c r="M118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81" s="1" t="str">
        <f ca="1">IFERROR(__xludf.DUMMYFUNCTION("""COMPUTED_VALUE"""),"Design and Creative strategy in any company, Work in a BPO setup for some well known client, Work as a freelancer and do my thing my way, Become a content Creator in some platform")</f>
        <v>Design and Creative strategy in any company, Work in a BPO setup for some well known client, Work as a freelancer and do my thing my way, Become a content Creator in some platform</v>
      </c>
      <c r="O1181" s="1" t="str">
        <f ca="1">IFERROR(__xludf.DUMMYFUNCTION("""COMPUTED_VALUE"""),"Manager who sets targets and expects me to achieve it")</f>
        <v>Manager who sets targets and expects me to achieve it</v>
      </c>
      <c r="P1181" s="1" t="str">
        <f ca="1">IFERROR(__xludf.DUMMYFUNCTION("""COMPUTED_VALUE"""),"Work alone")</f>
        <v>Work alone</v>
      </c>
      <c r="Q1181" s="1"/>
    </row>
    <row r="1182" spans="1:17" ht="13.2" x14ac:dyDescent="0.25">
      <c r="A1182" s="2">
        <f ca="1">IFERROR(__xludf.DUMMYFUNCTION("""COMPUTED_VALUE"""),45044.4440710185)</f>
        <v>45044.444071018501</v>
      </c>
      <c r="B1182" s="1" t="str">
        <f ca="1">IFERROR(__xludf.DUMMYFUNCTION("""COMPUTED_VALUE"""),"India")</f>
        <v>India</v>
      </c>
      <c r="C1182" s="1">
        <f ca="1">IFERROR(__xludf.DUMMYFUNCTION("""COMPUTED_VALUE"""),700157)</f>
        <v>700157</v>
      </c>
      <c r="D1182" s="3" t="str">
        <f ca="1">IFERROR(__xludf.DUMMYFUNCTION("""COMPUTED_VALUE"""),"Male")</f>
        <v>Male</v>
      </c>
      <c r="E1182" s="1" t="str">
        <f ca="1">IFERROR(__xludf.DUMMYFUNCTION("""COMPUTED_VALUE"""),"My Parents")</f>
        <v>My Parents</v>
      </c>
      <c r="F1182" s="1" t="str">
        <f ca="1">IFERROR(__xludf.DUMMYFUNCTION("""COMPUTED_VALUE"""),"No I would not be pursuing Higher Education outside of India")</f>
        <v>No I would not be pursuing Higher Education outside of India</v>
      </c>
      <c r="G1182" s="1" t="str">
        <f ca="1">IFERROR(__xludf.DUMMYFUNCTION("""COMPUTED_VALUE"""),"This will be hard to do, but if it is the right company I would try")</f>
        <v>This will be hard to do, but if it is the right company I would try</v>
      </c>
      <c r="H1182" s="1" t="str">
        <f ca="1">IFERROR(__xludf.DUMMYFUNCTION("""COMPUTED_VALUE"""),"No")</f>
        <v>No</v>
      </c>
      <c r="I1182" s="1" t="str">
        <f ca="1">IFERROR(__xludf.DUMMYFUNCTION("""COMPUTED_VALUE"""),"Will NOT work for them")</f>
        <v>Will NOT work for them</v>
      </c>
      <c r="J1182" s="1">
        <f ca="1">IFERROR(__xludf.DUMMYFUNCTION("""COMPUTED_VALUE"""),5)</f>
        <v>5</v>
      </c>
      <c r="K1182" s="1" t="str">
        <f ca="1">IFERROR(__xludf.DUMMYFUNCTION("""COMPUTED_VALUE"""),"Every Day Office Environment")</f>
        <v>Every Day Office Environment</v>
      </c>
      <c r="L1182" s="1" t="str">
        <f ca="1">IFERROR(__xludf.DUMMYFUNCTION("""COMPUTED_VALUE"""),"Employer who rewards learning and enables that environment")</f>
        <v>Employer who rewards learning and enables that environment</v>
      </c>
      <c r="M1182" s="1" t="str">
        <f ca="1">IFERROR(__xludf.DUMMYFUNCTION("""COMPUTED_VALUE"""),"Self Paced Learning Portals of the Company, Instructor or Expert Learning Programs, Manager Teaching you")</f>
        <v>Self Paced Learning Portals of the Company, Instructor or Expert Learning Programs, Manager Teaching you</v>
      </c>
      <c r="N1182"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82" s="1" t="str">
        <f ca="1">IFERROR(__xludf.DUMMYFUNCTION("""COMPUTED_VALUE"""),"Manager who sets goal and helps me achieve it")</f>
        <v>Manager who sets goal and helps me achieve it</v>
      </c>
      <c r="P1182" s="1" t="str">
        <f ca="1">IFERROR(__xludf.DUMMYFUNCTION("""COMPUTED_VALUE"""),"Work with 2 to 3 people in my team")</f>
        <v>Work with 2 to 3 people in my team</v>
      </c>
      <c r="Q1182" s="1"/>
    </row>
    <row r="1183" spans="1:17" ht="13.2" x14ac:dyDescent="0.25">
      <c r="A1183" s="2">
        <f ca="1">IFERROR(__xludf.DUMMYFUNCTION("""COMPUTED_VALUE"""),45044.4460654861)</f>
        <v>45044.446065486103</v>
      </c>
      <c r="B1183" s="1" t="str">
        <f ca="1">IFERROR(__xludf.DUMMYFUNCTION("""COMPUTED_VALUE"""),"India")</f>
        <v>India</v>
      </c>
      <c r="C1183" s="1">
        <f ca="1">IFERROR(__xludf.DUMMYFUNCTION("""COMPUTED_VALUE"""),533201)</f>
        <v>533201</v>
      </c>
      <c r="D1183" s="3" t="str">
        <f ca="1">IFERROR(__xludf.DUMMYFUNCTION("""COMPUTED_VALUE"""),"Female")</f>
        <v>Female</v>
      </c>
      <c r="E1183" s="1" t="str">
        <f ca="1">IFERROR(__xludf.DUMMYFUNCTION("""COMPUTED_VALUE"""),"My Parents")</f>
        <v>My Parents</v>
      </c>
      <c r="F1183" s="1" t="str">
        <f ca="1">IFERROR(__xludf.DUMMYFUNCTION("""COMPUTED_VALUE"""),"No I would not be pursuing Higher Education outside of India")</f>
        <v>No I would not be pursuing Higher Education outside of India</v>
      </c>
      <c r="G1183" s="1" t="str">
        <f ca="1">IFERROR(__xludf.DUMMYFUNCTION("""COMPUTED_VALUE"""),"Will work for 3 years or more")</f>
        <v>Will work for 3 years or more</v>
      </c>
      <c r="H1183" s="1" t="str">
        <f ca="1">IFERROR(__xludf.DUMMYFUNCTION("""COMPUTED_VALUE"""),"No")</f>
        <v>No</v>
      </c>
      <c r="I1183" s="1" t="str">
        <f ca="1">IFERROR(__xludf.DUMMYFUNCTION("""COMPUTED_VALUE"""),"Will NOT work for them")</f>
        <v>Will NOT work for them</v>
      </c>
      <c r="J1183" s="1">
        <f ca="1">IFERROR(__xludf.DUMMYFUNCTION("""COMPUTED_VALUE"""),6)</f>
        <v>6</v>
      </c>
      <c r="K1183" s="1" t="str">
        <f ca="1">IFERROR(__xludf.DUMMYFUNCTION("""COMPUTED_VALUE"""),"Hybrid Working Environment with less than 3 days a month at office")</f>
        <v>Hybrid Working Environment with less than 3 days a month at office</v>
      </c>
      <c r="L1183" s="1" t="str">
        <f ca="1">IFERROR(__xludf.DUMMYFUNCTION("""COMPUTED_VALUE"""),"Employer who pushes your limits by enabling an learning environment, and rewards you at the end")</f>
        <v>Employer who pushes your limits by enabling an learning environment, and rewards you at the end</v>
      </c>
      <c r="M1183" s="1" t="str">
        <f ca="1">IFERROR(__xludf.DUMMYFUNCTION("""COMPUTED_VALUE"""),"Self Paced Learning Portals of the Company, Instructor or Expert Learning Programs, Manager Teaching you")</f>
        <v>Self Paced Learning Portals of the Company, Instructor or Expert Learning Programs, Manager Teaching you</v>
      </c>
      <c r="N1183"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183" s="1" t="str">
        <f ca="1">IFERROR(__xludf.DUMMYFUNCTION("""COMPUTED_VALUE"""),"Manager who explains what is expected, sets a goal and helps achieve it")</f>
        <v>Manager who explains what is expected, sets a goal and helps achieve it</v>
      </c>
      <c r="P1183" s="1" t="str">
        <f ca="1">IFERROR(__xludf.DUMMYFUNCTION("""COMPUTED_VALUE"""),"Work alone, Work with 2 to 3 people in my team")</f>
        <v>Work alone, Work with 2 to 3 people in my team</v>
      </c>
      <c r="Q1183" s="1"/>
    </row>
    <row r="1184" spans="1:17" ht="13.2" x14ac:dyDescent="0.25">
      <c r="A1184" s="2">
        <f ca="1">IFERROR(__xludf.DUMMYFUNCTION("""COMPUTED_VALUE"""),45044.4461257638)</f>
        <v>45044.446125763803</v>
      </c>
      <c r="B1184" s="1" t="str">
        <f ca="1">IFERROR(__xludf.DUMMYFUNCTION("""COMPUTED_VALUE"""),"India")</f>
        <v>India</v>
      </c>
      <c r="C1184" s="1">
        <f ca="1">IFERROR(__xludf.DUMMYFUNCTION("""COMPUTED_VALUE"""),700056)</f>
        <v>700056</v>
      </c>
      <c r="D1184" s="3" t="str">
        <f ca="1">IFERROR(__xludf.DUMMYFUNCTION("""COMPUTED_VALUE"""),"Male")</f>
        <v>Male</v>
      </c>
      <c r="E1184" s="1" t="str">
        <f ca="1">IFERROR(__xludf.DUMMYFUNCTION("""COMPUTED_VALUE"""),"My Parents")</f>
        <v>My Parents</v>
      </c>
      <c r="F1184" s="1" t="str">
        <f ca="1">IFERROR(__xludf.DUMMYFUNCTION("""COMPUTED_VALUE"""),"No I would not be pursuing Higher Education outside of India")</f>
        <v>No I would not be pursuing Higher Education outside of India</v>
      </c>
      <c r="G1184" s="1" t="str">
        <f ca="1">IFERROR(__xludf.DUMMYFUNCTION("""COMPUTED_VALUE"""),"Will work for 3 years or more")</f>
        <v>Will work for 3 years or more</v>
      </c>
      <c r="H1184" s="1" t="str">
        <f ca="1">IFERROR(__xludf.DUMMYFUNCTION("""COMPUTED_VALUE"""),"No")</f>
        <v>No</v>
      </c>
      <c r="I1184" s="1" t="str">
        <f ca="1">IFERROR(__xludf.DUMMYFUNCTION("""COMPUTED_VALUE"""),"Will NOT work for them")</f>
        <v>Will NOT work for them</v>
      </c>
      <c r="J1184" s="1">
        <f ca="1">IFERROR(__xludf.DUMMYFUNCTION("""COMPUTED_VALUE"""),4)</f>
        <v>4</v>
      </c>
      <c r="K1184" s="1" t="str">
        <f ca="1">IFERROR(__xludf.DUMMYFUNCTION("""COMPUTED_VALUE"""),"Fully Remote with Options to travel as and when needed")</f>
        <v>Fully Remote with Options to travel as and when needed</v>
      </c>
      <c r="L1184" s="1" t="str">
        <f ca="1">IFERROR(__xludf.DUMMYFUNCTION("""COMPUTED_VALUE"""),"Employer who rewards learning and enables that environment")</f>
        <v>Employer who rewards learning and enables that environment</v>
      </c>
      <c r="M118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4"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184" s="1" t="str">
        <f ca="1">IFERROR(__xludf.DUMMYFUNCTION("""COMPUTED_VALUE"""),"Manager who clearly describes what she/he needs")</f>
        <v>Manager who clearly describes what she/he needs</v>
      </c>
      <c r="P1184" s="1" t="str">
        <f ca="1">IFERROR(__xludf.DUMMYFUNCTION("""COMPUTED_VALUE"""),"Work alone, Work with 2 to 3 people in my team")</f>
        <v>Work alone, Work with 2 to 3 people in my team</v>
      </c>
      <c r="Q1184" s="1"/>
    </row>
    <row r="1185" spans="1:17" ht="13.2" x14ac:dyDescent="0.25">
      <c r="A1185" s="2">
        <f ca="1">IFERROR(__xludf.DUMMYFUNCTION("""COMPUTED_VALUE"""),45044.4461522337)</f>
        <v>45044.446152233701</v>
      </c>
      <c r="B1185" s="1" t="str">
        <f ca="1">IFERROR(__xludf.DUMMYFUNCTION("""COMPUTED_VALUE"""),"India")</f>
        <v>India</v>
      </c>
      <c r="C1185" s="1">
        <f ca="1">IFERROR(__xludf.DUMMYFUNCTION("""COMPUTED_VALUE"""),641402)</f>
        <v>641402</v>
      </c>
      <c r="D1185" s="3" t="str">
        <f ca="1">IFERROR(__xludf.DUMMYFUNCTION("""COMPUTED_VALUE"""),"Male")</f>
        <v>Male</v>
      </c>
      <c r="E1185" s="1" t="str">
        <f ca="1">IFERROR(__xludf.DUMMYFUNCTION("""COMPUTED_VALUE"""),"People from my circle, but not family members")</f>
        <v>People from my circle, but not family members</v>
      </c>
      <c r="F1185" s="1" t="str">
        <f ca="1">IFERROR(__xludf.DUMMYFUNCTION("""COMPUTED_VALUE"""),"No I would not be pursuing Higher Education outside of India")</f>
        <v>No I would not be pursuing Higher Education outside of India</v>
      </c>
      <c r="G1185" s="1" t="str">
        <f ca="1">IFERROR(__xludf.DUMMYFUNCTION("""COMPUTED_VALUE"""),"Will work for 3 years or more")</f>
        <v>Will work for 3 years or more</v>
      </c>
      <c r="H1185" s="1" t="str">
        <f ca="1">IFERROR(__xludf.DUMMYFUNCTION("""COMPUTED_VALUE"""),"No")</f>
        <v>No</v>
      </c>
      <c r="I1185" s="1" t="str">
        <f ca="1">IFERROR(__xludf.DUMMYFUNCTION("""COMPUTED_VALUE"""),"Will NOT work for them")</f>
        <v>Will NOT work for them</v>
      </c>
      <c r="J1185" s="1">
        <f ca="1">IFERROR(__xludf.DUMMYFUNCTION("""COMPUTED_VALUE"""),5)</f>
        <v>5</v>
      </c>
      <c r="K1185" s="1" t="str">
        <f ca="1">IFERROR(__xludf.DUMMYFUNCTION("""COMPUTED_VALUE"""),"Fully Remote with Options to travel as and when needed")</f>
        <v>Fully Remote with Options to travel as and when needed</v>
      </c>
      <c r="L1185" s="1" t="str">
        <f ca="1">IFERROR(__xludf.DUMMYFUNCTION("""COMPUTED_VALUE"""),"Employer who pushes your limits by enabling an learning environment, and rewards you at the end")</f>
        <v>Employer who pushes your limits by enabling an learning environment, and rewards you at the end</v>
      </c>
      <c r="M11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85" s="1" t="str">
        <f ca="1">IFERROR(__xludf.DUMMYFUNCTION("""COMPUTED_VALUE"""),"Manager who clearly describes what she/he needs")</f>
        <v>Manager who clearly describes what she/he needs</v>
      </c>
      <c r="P1185" s="1" t="str">
        <f ca="1">IFERROR(__xludf.DUMMYFUNCTION("""COMPUTED_VALUE"""),"Work with 2 to 3 people in my team")</f>
        <v>Work with 2 to 3 people in my team</v>
      </c>
      <c r="Q1185" s="1"/>
    </row>
    <row r="1186" spans="1:17" ht="13.2" x14ac:dyDescent="0.25">
      <c r="A1186" s="2">
        <f ca="1">IFERROR(__xludf.DUMMYFUNCTION("""COMPUTED_VALUE"""),45044.4464386458)</f>
        <v>45044.446438645798</v>
      </c>
      <c r="B1186" s="1" t="str">
        <f ca="1">IFERROR(__xludf.DUMMYFUNCTION("""COMPUTED_VALUE"""),"India")</f>
        <v>India</v>
      </c>
      <c r="C1186" s="1">
        <f ca="1">IFERROR(__xludf.DUMMYFUNCTION("""COMPUTED_VALUE"""),700036)</f>
        <v>700036</v>
      </c>
      <c r="D1186" s="3" t="str">
        <f ca="1">IFERROR(__xludf.DUMMYFUNCTION("""COMPUTED_VALUE"""),"Male")</f>
        <v>Male</v>
      </c>
      <c r="E1186" s="1" t="str">
        <f ca="1">IFERROR(__xludf.DUMMYFUNCTION("""COMPUTED_VALUE"""),"People from my circle, but not family members")</f>
        <v>People from my circle, but not family members</v>
      </c>
      <c r="F1186" s="1" t="str">
        <f ca="1">IFERROR(__xludf.DUMMYFUNCTION("""COMPUTED_VALUE"""),"No, But if someone could bare the cost I will")</f>
        <v>No, But if someone could bare the cost I will</v>
      </c>
      <c r="G1186" s="1" t="str">
        <f ca="1">IFERROR(__xludf.DUMMYFUNCTION("""COMPUTED_VALUE"""),"Will work for 3 years or more")</f>
        <v>Will work for 3 years or more</v>
      </c>
      <c r="H1186" s="1" t="str">
        <f ca="1">IFERROR(__xludf.DUMMYFUNCTION("""COMPUTED_VALUE"""),"No")</f>
        <v>No</v>
      </c>
      <c r="I1186" s="1" t="str">
        <f ca="1">IFERROR(__xludf.DUMMYFUNCTION("""COMPUTED_VALUE"""),"Will NOT work for them")</f>
        <v>Will NOT work for them</v>
      </c>
      <c r="J1186" s="1">
        <f ca="1">IFERROR(__xludf.DUMMYFUNCTION("""COMPUTED_VALUE"""),3)</f>
        <v>3</v>
      </c>
      <c r="K1186" s="1" t="str">
        <f ca="1">IFERROR(__xludf.DUMMYFUNCTION("""COMPUTED_VALUE"""),"Fully Remote with Options to travel as and when needed")</f>
        <v>Fully Remote with Options to travel as and when needed</v>
      </c>
      <c r="L1186" s="1" t="str">
        <f ca="1">IFERROR(__xludf.DUMMYFUNCTION("""COMPUTED_VALUE"""),"Employer who pushes your limits by enabling an learning environment, and rewards you at the end")</f>
        <v>Employer who pushes your limits by enabling an learning environment, and rewards you at the end</v>
      </c>
      <c r="M118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6"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186" s="1" t="str">
        <f ca="1">IFERROR(__xludf.DUMMYFUNCTION("""COMPUTED_VALUE"""),"Manager who explains what is expected, sets a goal and helps achieve it")</f>
        <v>Manager who explains what is expected, sets a goal and helps achieve it</v>
      </c>
      <c r="P1186" s="1" t="str">
        <f ca="1">IFERROR(__xludf.DUMMYFUNCTION("""COMPUTED_VALUE"""),"Work alone, Work with 2 to 3 people in my team, Work with 5 to 6 people in my team")</f>
        <v>Work alone, Work with 2 to 3 people in my team, Work with 5 to 6 people in my team</v>
      </c>
      <c r="Q1186" s="1"/>
    </row>
    <row r="1187" spans="1:17" ht="13.2" x14ac:dyDescent="0.25">
      <c r="A1187" s="2">
        <f ca="1">IFERROR(__xludf.DUMMYFUNCTION("""COMPUTED_VALUE"""),45044.4473012731)</f>
        <v>45044.447301273103</v>
      </c>
      <c r="B1187" s="1" t="str">
        <f ca="1">IFERROR(__xludf.DUMMYFUNCTION("""COMPUTED_VALUE"""),"India")</f>
        <v>India</v>
      </c>
      <c r="C1187" s="1">
        <f ca="1">IFERROR(__xludf.DUMMYFUNCTION("""COMPUTED_VALUE"""),560047)</f>
        <v>560047</v>
      </c>
      <c r="D1187" s="3" t="str">
        <f ca="1">IFERROR(__xludf.DUMMYFUNCTION("""COMPUTED_VALUE"""),"Male")</f>
        <v>Male</v>
      </c>
      <c r="E1187" s="1" t="str">
        <f ca="1">IFERROR(__xludf.DUMMYFUNCTION("""COMPUTED_VALUE"""),"Influencers who had successful careers")</f>
        <v>Influencers who had successful careers</v>
      </c>
      <c r="F1187" s="1" t="str">
        <f ca="1">IFERROR(__xludf.DUMMYFUNCTION("""COMPUTED_VALUE"""),"No, But if someone could bare the cost I will")</f>
        <v>No, But if someone could bare the cost I will</v>
      </c>
      <c r="G1187" s="1" t="str">
        <f ca="1">IFERROR(__xludf.DUMMYFUNCTION("""COMPUTED_VALUE"""),"This will be hard to do, but if it is the right company I would try")</f>
        <v>This will be hard to do, but if it is the right company I would try</v>
      </c>
      <c r="H1187" s="1" t="str">
        <f ca="1">IFERROR(__xludf.DUMMYFUNCTION("""COMPUTED_VALUE"""),"Yes")</f>
        <v>Yes</v>
      </c>
      <c r="I1187" s="1" t="str">
        <f ca="1">IFERROR(__xludf.DUMMYFUNCTION("""COMPUTED_VALUE"""),"Will work for them")</f>
        <v>Will work for them</v>
      </c>
      <c r="J1187" s="1">
        <f ca="1">IFERROR(__xludf.DUMMYFUNCTION("""COMPUTED_VALUE"""),3)</f>
        <v>3</v>
      </c>
      <c r="K1187" s="1" t="str">
        <f ca="1">IFERROR(__xludf.DUMMYFUNCTION("""COMPUTED_VALUE"""),"Fully Remote with No option to visit offices")</f>
        <v>Fully Remote with No option to visit offices</v>
      </c>
      <c r="L1187" s="1" t="str">
        <f ca="1">IFERROR(__xludf.DUMMYFUNCTION("""COMPUTED_VALUE"""),"Employer who appreciates learning and enables that environment")</f>
        <v>Employer who appreciates learning and enables that environment</v>
      </c>
      <c r="M118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87" s="1" t="str">
        <f ca="1">IFERROR(__xludf.DUMMYFUNCTION("""COMPUTED_VALUE"""),"Build and develop a Team, Design and Develop amazing software, I Want to sell things/Sales, Manufacturing / Oil and Gas/ Construction / Hard Physical Work related")</f>
        <v>Build and develop a Team, Design and Develop amazing software, I Want to sell things/Sales, Manufacturing / Oil and Gas/ Construction / Hard Physical Work related</v>
      </c>
      <c r="O1187" s="1" t="str">
        <f ca="1">IFERROR(__xludf.DUMMYFUNCTION("""COMPUTED_VALUE"""),"Manager who clearly describes what she/he needs")</f>
        <v>Manager who clearly describes what she/he needs</v>
      </c>
      <c r="P1187" s="1" t="str">
        <f ca="1">IFERROR(__xludf.DUMMYFUNCTION("""COMPUTED_VALUE"""),"Work with 2 to 3 people in my team")</f>
        <v>Work with 2 to 3 people in my team</v>
      </c>
      <c r="Q1187" s="1"/>
    </row>
    <row r="1188" spans="1:17" ht="13.2" x14ac:dyDescent="0.25">
      <c r="A1188" s="2">
        <f ca="1">IFERROR(__xludf.DUMMYFUNCTION("""COMPUTED_VALUE"""),45044.4477494097)</f>
        <v>45044.447749409701</v>
      </c>
      <c r="B1188" s="1" t="str">
        <f ca="1">IFERROR(__xludf.DUMMYFUNCTION("""COMPUTED_VALUE"""),"India")</f>
        <v>India</v>
      </c>
      <c r="C1188" s="1">
        <f ca="1">IFERROR(__xludf.DUMMYFUNCTION("""COMPUTED_VALUE"""),400049)</f>
        <v>400049</v>
      </c>
      <c r="D1188" s="3" t="str">
        <f ca="1">IFERROR(__xludf.DUMMYFUNCTION("""COMPUTED_VALUE"""),"Male")</f>
        <v>Male</v>
      </c>
      <c r="E1188" s="1" t="str">
        <f ca="1">IFERROR(__xludf.DUMMYFUNCTION("""COMPUTED_VALUE"""),"People from my circle, but not family members")</f>
        <v>People from my circle, but not family members</v>
      </c>
      <c r="F1188" s="1" t="str">
        <f ca="1">IFERROR(__xludf.DUMMYFUNCTION("""COMPUTED_VALUE"""),"Yes, I will earn and do that")</f>
        <v>Yes, I will earn and do that</v>
      </c>
      <c r="G1188" s="1" t="str">
        <f ca="1">IFERROR(__xludf.DUMMYFUNCTION("""COMPUTED_VALUE"""),"This will be hard to do, but if it is the right company I would try")</f>
        <v>This will be hard to do, but if it is the right company I would try</v>
      </c>
      <c r="H1188" s="1" t="str">
        <f ca="1">IFERROR(__xludf.DUMMYFUNCTION("""COMPUTED_VALUE"""),"No")</f>
        <v>No</v>
      </c>
      <c r="I1188" s="1" t="str">
        <f ca="1">IFERROR(__xludf.DUMMYFUNCTION("""COMPUTED_VALUE"""),"Will NOT work for them")</f>
        <v>Will NOT work for them</v>
      </c>
      <c r="J1188" s="1">
        <f ca="1">IFERROR(__xludf.DUMMYFUNCTION("""COMPUTED_VALUE"""),10)</f>
        <v>10</v>
      </c>
      <c r="K1188" s="1" t="str">
        <f ca="1">IFERROR(__xludf.DUMMYFUNCTION("""COMPUTED_VALUE"""),"Every Day Office Environment")</f>
        <v>Every Day Office Environment</v>
      </c>
      <c r="L1188" s="1" t="str">
        <f ca="1">IFERROR(__xludf.DUMMYFUNCTION("""COMPUTED_VALUE"""),"Employer who pushes your limits by enabling an learning environment, and rewards you at the end")</f>
        <v>Employer who pushes your limits by enabling an learning environment, and rewards you at the end</v>
      </c>
      <c r="M11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88" s="1" t="str">
        <f ca="1">IFERROR(__xludf.DUMMYFUNCTION("""COMPUTED_VALUE"""),"Teaching in any of the institutes/colleges/online or offline, Build and develop a Team, Look deeply into Data and generate insights, Entrepreneur or Start Up")</f>
        <v>Teaching in any of the institutes/colleges/online or offline, Build and develop a Team, Look deeply into Data and generate insights, Entrepreneur or Start Up</v>
      </c>
      <c r="O1188" s="1" t="str">
        <f ca="1">IFERROR(__xludf.DUMMYFUNCTION("""COMPUTED_VALUE"""),"Manager who explains what is expected, sets a goal and helps achieve it")</f>
        <v>Manager who explains what is expected, sets a goal and helps achieve it</v>
      </c>
      <c r="P1188" s="1" t="str">
        <f ca="1">IFERROR(__xludf.DUMMYFUNCTION("""COMPUTED_VALUE"""),"Work with 5 to 6 people in my team")</f>
        <v>Work with 5 to 6 people in my team</v>
      </c>
      <c r="Q1188" s="1"/>
    </row>
    <row r="1189" spans="1:17" ht="13.2" x14ac:dyDescent="0.25">
      <c r="A1189" s="2">
        <f ca="1">IFERROR(__xludf.DUMMYFUNCTION("""COMPUTED_VALUE"""),45044.4479894097)</f>
        <v>45044.447989409702</v>
      </c>
      <c r="B1189" s="1" t="str">
        <f ca="1">IFERROR(__xludf.DUMMYFUNCTION("""COMPUTED_VALUE"""),"India")</f>
        <v>India</v>
      </c>
      <c r="C1189" s="1">
        <f ca="1">IFERROR(__xludf.DUMMYFUNCTION("""COMPUTED_VALUE"""),741101)</f>
        <v>741101</v>
      </c>
      <c r="D1189" s="3" t="str">
        <f ca="1">IFERROR(__xludf.DUMMYFUNCTION("""COMPUTED_VALUE"""),"Female")</f>
        <v>Female</v>
      </c>
      <c r="E1189" s="1" t="str">
        <f ca="1">IFERROR(__xludf.DUMMYFUNCTION("""COMPUTED_VALUE"""),"My Parents")</f>
        <v>My Parents</v>
      </c>
      <c r="F1189" s="1" t="str">
        <f ca="1">IFERROR(__xludf.DUMMYFUNCTION("""COMPUTED_VALUE"""),"Yes, I will earn and do that")</f>
        <v>Yes, I will earn and do that</v>
      </c>
      <c r="G1189" s="1" t="str">
        <f ca="1">IFERROR(__xludf.DUMMYFUNCTION("""COMPUTED_VALUE"""),"This will be hard to do, but if it is the right company I would try")</f>
        <v>This will be hard to do, but if it is the right company I would try</v>
      </c>
      <c r="H1189" s="1" t="str">
        <f ca="1">IFERROR(__xludf.DUMMYFUNCTION("""COMPUTED_VALUE"""),"No")</f>
        <v>No</v>
      </c>
      <c r="I1189" s="1" t="str">
        <f ca="1">IFERROR(__xludf.DUMMYFUNCTION("""COMPUTED_VALUE"""),"Will NOT work for them")</f>
        <v>Will NOT work for them</v>
      </c>
      <c r="J1189" s="1">
        <f ca="1">IFERROR(__xludf.DUMMYFUNCTION("""COMPUTED_VALUE"""),5)</f>
        <v>5</v>
      </c>
      <c r="K1189" s="1" t="str">
        <f ca="1">IFERROR(__xludf.DUMMYFUNCTION("""COMPUTED_VALUE"""),"Fully Remote with Options to travel as and when needed")</f>
        <v>Fully Remote with Options to travel as and when needed</v>
      </c>
      <c r="L1189" s="1" t="str">
        <f ca="1">IFERROR(__xludf.DUMMYFUNCTION("""COMPUTED_VALUE"""),"Employer who pushes your limits by enabling an learning environment, and rewards you at the end")</f>
        <v>Employer who pushes your limits by enabling an learning environment, and rewards you at the end</v>
      </c>
      <c r="M1189" s="1" t="str">
        <f ca="1">IFERROR(__xludf.DUMMYFUNCTION("""COMPUTED_VALUE"""),"Instructor or Expert Learning Programs, Learning by observing others, Manager Teaching you")</f>
        <v>Instructor or Expert Learning Programs, Learning by observing others, Manager Teaching you</v>
      </c>
      <c r="N118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89" s="1" t="str">
        <f ca="1">IFERROR(__xludf.DUMMYFUNCTION("""COMPUTED_VALUE"""),"Manager who explains what is expected, sets a goal and helps achieve it")</f>
        <v>Manager who explains what is expected, sets a goal and helps achieve it</v>
      </c>
      <c r="P1189" s="1" t="str">
        <f ca="1">IFERROR(__xludf.DUMMYFUNCTION("""COMPUTED_VALUE"""),"Work with 7 to 10 or more people in my team")</f>
        <v>Work with 7 to 10 or more people in my team</v>
      </c>
      <c r="Q1189" s="1"/>
    </row>
    <row r="1190" spans="1:17" ht="13.2" x14ac:dyDescent="0.25">
      <c r="A1190" s="2">
        <f ca="1">IFERROR(__xludf.DUMMYFUNCTION("""COMPUTED_VALUE"""),45044.448465324)</f>
        <v>45044.448465324</v>
      </c>
      <c r="B1190" s="1" t="str">
        <f ca="1">IFERROR(__xludf.DUMMYFUNCTION("""COMPUTED_VALUE"""),"India")</f>
        <v>India</v>
      </c>
      <c r="C1190" s="1">
        <f ca="1">IFERROR(__xludf.DUMMYFUNCTION("""COMPUTED_VALUE"""),700028)</f>
        <v>700028</v>
      </c>
      <c r="D1190" s="3" t="str">
        <f ca="1">IFERROR(__xludf.DUMMYFUNCTION("""COMPUTED_VALUE"""),"Male")</f>
        <v>Male</v>
      </c>
      <c r="E1190" s="1" t="str">
        <f ca="1">IFERROR(__xludf.DUMMYFUNCTION("""COMPUTED_VALUE"""),"Social Media like LinkedIn")</f>
        <v>Social Media like LinkedIn</v>
      </c>
      <c r="F1190" s="1" t="str">
        <f ca="1">IFERROR(__xludf.DUMMYFUNCTION("""COMPUTED_VALUE"""),"No I would not be pursuing Higher Education outside of India")</f>
        <v>No I would not be pursuing Higher Education outside of India</v>
      </c>
      <c r="G1190" s="1" t="str">
        <f ca="1">IFERROR(__xludf.DUMMYFUNCTION("""COMPUTED_VALUE"""),"Will work for 3 years or more")</f>
        <v>Will work for 3 years or more</v>
      </c>
      <c r="H1190" s="1" t="str">
        <f ca="1">IFERROR(__xludf.DUMMYFUNCTION("""COMPUTED_VALUE"""),"Yes")</f>
        <v>Yes</v>
      </c>
      <c r="I1190" s="1" t="str">
        <f ca="1">IFERROR(__xludf.DUMMYFUNCTION("""COMPUTED_VALUE"""),"Will work for them")</f>
        <v>Will work for them</v>
      </c>
      <c r="J1190" s="1">
        <f ca="1">IFERROR(__xludf.DUMMYFUNCTION("""COMPUTED_VALUE"""),10)</f>
        <v>10</v>
      </c>
      <c r="K1190" s="1" t="str">
        <f ca="1">IFERROR(__xludf.DUMMYFUNCTION("""COMPUTED_VALUE"""),"Fully Remote with Options to travel as and when needed")</f>
        <v>Fully Remote with Options to travel as and when needed</v>
      </c>
      <c r="L1190" s="1" t="str">
        <f ca="1">IFERROR(__xludf.DUMMYFUNCTION("""COMPUTED_VALUE"""),"Employer who rewards learning and enables that environment")</f>
        <v>Employer who rewards learning and enables that environment</v>
      </c>
      <c r="M1190" s="1" t="str">
        <f ca="1">IFERROR(__xludf.DUMMYFUNCTION("""COMPUTED_VALUE"""),"Self Paced Learning Portals of the Company, Learning by observing others, Manager Teaching you")</f>
        <v>Self Paced Learning Portals of the Company, Learning by observing others, Manager Teaching you</v>
      </c>
      <c r="N1190"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190" s="1" t="str">
        <f ca="1">IFERROR(__xludf.DUMMYFUNCTION("""COMPUTED_VALUE"""),"Manager who clearly describes what she/he needs")</f>
        <v>Manager who clearly describes what she/he needs</v>
      </c>
      <c r="P1190" s="1" t="str">
        <f ca="1">IFERROR(__xludf.DUMMYFUNCTION("""COMPUTED_VALUE"""),"Work with 2 to 3 people in my team")</f>
        <v>Work with 2 to 3 people in my team</v>
      </c>
      <c r="Q1190" s="1"/>
    </row>
    <row r="1191" spans="1:17" ht="13.2" x14ac:dyDescent="0.25">
      <c r="A1191" s="2">
        <f ca="1">IFERROR(__xludf.DUMMYFUNCTION("""COMPUTED_VALUE"""),45044.4487385416)</f>
        <v>45044.4487385416</v>
      </c>
      <c r="B1191" s="1" t="str">
        <f ca="1">IFERROR(__xludf.DUMMYFUNCTION("""COMPUTED_VALUE"""),"India")</f>
        <v>India</v>
      </c>
      <c r="C1191" s="1">
        <f ca="1">IFERROR(__xludf.DUMMYFUNCTION("""COMPUTED_VALUE"""),700060)</f>
        <v>700060</v>
      </c>
      <c r="D1191" s="3" t="str">
        <f ca="1">IFERROR(__xludf.DUMMYFUNCTION("""COMPUTED_VALUE"""),"Male")</f>
        <v>Male</v>
      </c>
      <c r="E1191" s="1" t="str">
        <f ca="1">IFERROR(__xludf.DUMMYFUNCTION("""COMPUTED_VALUE"""),"Social Media like LinkedIn")</f>
        <v>Social Media like LinkedIn</v>
      </c>
      <c r="F1191" s="1" t="str">
        <f ca="1">IFERROR(__xludf.DUMMYFUNCTION("""COMPUTED_VALUE"""),"No, But if someone could bare the cost I will")</f>
        <v>No, But if someone could bare the cost I will</v>
      </c>
      <c r="G1191" s="1" t="str">
        <f ca="1">IFERROR(__xludf.DUMMYFUNCTION("""COMPUTED_VALUE"""),"This will be hard to do, but if it is the right company I would try")</f>
        <v>This will be hard to do, but if it is the right company I would try</v>
      </c>
      <c r="H1191" s="1" t="str">
        <f ca="1">IFERROR(__xludf.DUMMYFUNCTION("""COMPUTED_VALUE"""),"No")</f>
        <v>No</v>
      </c>
      <c r="I1191" s="1" t="str">
        <f ca="1">IFERROR(__xludf.DUMMYFUNCTION("""COMPUTED_VALUE"""),"Will NOT work for them")</f>
        <v>Will NOT work for them</v>
      </c>
      <c r="J1191" s="1">
        <f ca="1">IFERROR(__xludf.DUMMYFUNCTION("""COMPUTED_VALUE"""),5)</f>
        <v>5</v>
      </c>
      <c r="K1191" s="1" t="str">
        <f ca="1">IFERROR(__xludf.DUMMYFUNCTION("""COMPUTED_VALUE"""),"Fully Remote with No option to visit offices")</f>
        <v>Fully Remote with No option to visit offices</v>
      </c>
      <c r="L1191" s="1" t="str">
        <f ca="1">IFERROR(__xludf.DUMMYFUNCTION("""COMPUTED_VALUE"""),"Employer who pushes your limits by enabling an learning environment, and rewards you at the end")</f>
        <v>Employer who pushes your limits by enabling an learning environment, and rewards you at the end</v>
      </c>
      <c r="M119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91"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191" s="1" t="str">
        <f ca="1">IFERROR(__xludf.DUMMYFUNCTION("""COMPUTED_VALUE"""),"Manager who explains what is expected, sets a goal and helps achieve it")</f>
        <v>Manager who explains what is expected, sets a goal and helps achieve it</v>
      </c>
      <c r="P1191" s="1" t="str">
        <f ca="1">IFERROR(__xludf.DUMMYFUNCTION("""COMPUTED_VALUE"""),"Work with 2 to 3 people in my team")</f>
        <v>Work with 2 to 3 people in my team</v>
      </c>
      <c r="Q1191" s="1"/>
    </row>
    <row r="1192" spans="1:17" ht="13.2" x14ac:dyDescent="0.25">
      <c r="A1192" s="2">
        <f ca="1">IFERROR(__xludf.DUMMYFUNCTION("""COMPUTED_VALUE"""),45044.44909103)</f>
        <v>45044.449091030001</v>
      </c>
      <c r="B1192" s="1" t="str">
        <f ca="1">IFERROR(__xludf.DUMMYFUNCTION("""COMPUTED_VALUE"""),"India")</f>
        <v>India</v>
      </c>
      <c r="C1192" s="1">
        <f ca="1">IFERROR(__xludf.DUMMYFUNCTION("""COMPUTED_VALUE"""),530040)</f>
        <v>530040</v>
      </c>
      <c r="D1192" s="3" t="str">
        <f ca="1">IFERROR(__xludf.DUMMYFUNCTION("""COMPUTED_VALUE"""),"Female")</f>
        <v>Female</v>
      </c>
      <c r="E1192" s="1" t="str">
        <f ca="1">IFERROR(__xludf.DUMMYFUNCTION("""COMPUTED_VALUE"""),"People who have changed the world for better")</f>
        <v>People who have changed the world for better</v>
      </c>
      <c r="F1192" s="1" t="str">
        <f ca="1">IFERROR(__xludf.DUMMYFUNCTION("""COMPUTED_VALUE"""),"No I would not be pursuing Higher Education outside of India")</f>
        <v>No I would not be pursuing Higher Education outside of India</v>
      </c>
      <c r="G1192" s="1" t="str">
        <f ca="1">IFERROR(__xludf.DUMMYFUNCTION("""COMPUTED_VALUE"""),"Will work for 3 years or more")</f>
        <v>Will work for 3 years or more</v>
      </c>
      <c r="H1192" s="1" t="str">
        <f ca="1">IFERROR(__xludf.DUMMYFUNCTION("""COMPUTED_VALUE"""),"No")</f>
        <v>No</v>
      </c>
      <c r="I1192" s="1" t="str">
        <f ca="1">IFERROR(__xludf.DUMMYFUNCTION("""COMPUTED_VALUE"""),"Will NOT work for them")</f>
        <v>Will NOT work for them</v>
      </c>
      <c r="J1192" s="1">
        <f ca="1">IFERROR(__xludf.DUMMYFUNCTION("""COMPUTED_VALUE"""),3)</f>
        <v>3</v>
      </c>
      <c r="K1192" s="1" t="str">
        <f ca="1">IFERROR(__xludf.DUMMYFUNCTION("""COMPUTED_VALUE"""),"Hybrid Working Environment with more than 15 days a month at office")</f>
        <v>Hybrid Working Environment with more than 15 days a month at office</v>
      </c>
      <c r="L1192" s="1" t="str">
        <f ca="1">IFERROR(__xludf.DUMMYFUNCTION("""COMPUTED_VALUE"""),"Employer who appreciates learning and enables that environment")</f>
        <v>Employer who appreciates learning and enables that environment</v>
      </c>
      <c r="M11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92" s="1" t="str">
        <f ca="1">IFERROR(__xludf.DUMMYFUNCTION("""COMPUTED_VALUE"""),"Design and Creative strategy in any company, Business Operations in any organization, Work in a BPO setup for some well known client, Become a content Creator in some platform")</f>
        <v>Design and Creative strategy in any company, Business Operations in any organization, Work in a BPO setup for some well known client, Become a content Creator in some platform</v>
      </c>
      <c r="O1192" s="1" t="str">
        <f ca="1">IFERROR(__xludf.DUMMYFUNCTION("""COMPUTED_VALUE"""),"Manager who clearly describes what she/he needs")</f>
        <v>Manager who clearly describes what she/he needs</v>
      </c>
      <c r="P1192" s="1" t="str">
        <f ca="1">IFERROR(__xludf.DUMMYFUNCTION("""COMPUTED_VALUE"""),"Work with more than 10 people in my team")</f>
        <v>Work with more than 10 people in my team</v>
      </c>
      <c r="Q1192" s="1"/>
    </row>
    <row r="1193" spans="1:17" ht="13.2" x14ac:dyDescent="0.25">
      <c r="A1193" s="2">
        <f ca="1">IFERROR(__xludf.DUMMYFUNCTION("""COMPUTED_VALUE"""),45044.449102199)</f>
        <v>45044.449102199003</v>
      </c>
      <c r="B1193" s="1" t="str">
        <f ca="1">IFERROR(__xludf.DUMMYFUNCTION("""COMPUTED_VALUE"""),"India")</f>
        <v>India</v>
      </c>
      <c r="C1193" s="1">
        <f ca="1">IFERROR(__xludf.DUMMYFUNCTION("""COMPUTED_VALUE"""),563132)</f>
        <v>563132</v>
      </c>
      <c r="D1193" s="3" t="str">
        <f ca="1">IFERROR(__xludf.DUMMYFUNCTION("""COMPUTED_VALUE"""),"Male")</f>
        <v>Male</v>
      </c>
      <c r="E1193" s="1" t="str">
        <f ca="1">IFERROR(__xludf.DUMMYFUNCTION("""COMPUTED_VALUE"""),"People from my circle, but not family members")</f>
        <v>People from my circle, but not family members</v>
      </c>
      <c r="F1193" s="1" t="str">
        <f ca="1">IFERROR(__xludf.DUMMYFUNCTION("""COMPUTED_VALUE"""),"No I would not be pursuing Higher Education outside of India")</f>
        <v>No I would not be pursuing Higher Education outside of India</v>
      </c>
      <c r="G1193" s="1" t="str">
        <f ca="1">IFERROR(__xludf.DUMMYFUNCTION("""COMPUTED_VALUE"""),"This will be hard to do, but if it is the right company I would try")</f>
        <v>This will be hard to do, but if it is the right company I would try</v>
      </c>
      <c r="H1193" s="1" t="str">
        <f ca="1">IFERROR(__xludf.DUMMYFUNCTION("""COMPUTED_VALUE"""),"No")</f>
        <v>No</v>
      </c>
      <c r="I1193" s="1" t="str">
        <f ca="1">IFERROR(__xludf.DUMMYFUNCTION("""COMPUTED_VALUE"""),"Will NOT work for them")</f>
        <v>Will NOT work for them</v>
      </c>
      <c r="J1193" s="1">
        <f ca="1">IFERROR(__xludf.DUMMYFUNCTION("""COMPUTED_VALUE"""),1)</f>
        <v>1</v>
      </c>
      <c r="K1193" s="1" t="str">
        <f ca="1">IFERROR(__xludf.DUMMYFUNCTION("""COMPUTED_VALUE"""),"Hybrid Working Environment with less than 3 days a month at office")</f>
        <v>Hybrid Working Environment with less than 3 days a month at office</v>
      </c>
      <c r="L1193" s="1" t="str">
        <f ca="1">IFERROR(__xludf.DUMMYFUNCTION("""COMPUTED_VALUE"""),"Employer who appreciates learning and enables that environment")</f>
        <v>Employer who appreciates learning and enables that environment</v>
      </c>
      <c r="M119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93"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93" s="1" t="str">
        <f ca="1">IFERROR(__xludf.DUMMYFUNCTION("""COMPUTED_VALUE"""),"Manager who explains what is expected, sets a goal and helps achieve it")</f>
        <v>Manager who explains what is expected, sets a goal and helps achieve it</v>
      </c>
      <c r="P1193" s="1" t="str">
        <f ca="1">IFERROR(__xludf.DUMMYFUNCTION("""COMPUTED_VALUE"""),"Work with 5 to 6 people in my team")</f>
        <v>Work with 5 to 6 people in my team</v>
      </c>
      <c r="Q1193" s="1"/>
    </row>
    <row r="1194" spans="1:17" ht="13.2" x14ac:dyDescent="0.25">
      <c r="A1194" s="2">
        <f ca="1">IFERROR(__xludf.DUMMYFUNCTION("""COMPUTED_VALUE"""),45044.4495589699)</f>
        <v>45044.4495589699</v>
      </c>
      <c r="B1194" s="1" t="str">
        <f ca="1">IFERROR(__xludf.DUMMYFUNCTION("""COMPUTED_VALUE"""),"India")</f>
        <v>India</v>
      </c>
      <c r="C1194" s="1">
        <f ca="1">IFERROR(__xludf.DUMMYFUNCTION("""COMPUTED_VALUE"""),757001)</f>
        <v>757001</v>
      </c>
      <c r="D1194" s="3" t="str">
        <f ca="1">IFERROR(__xludf.DUMMYFUNCTION("""COMPUTED_VALUE"""),"Male")</f>
        <v>Male</v>
      </c>
      <c r="E1194" s="1" t="str">
        <f ca="1">IFERROR(__xludf.DUMMYFUNCTION("""COMPUTED_VALUE"""),"My Parents")</f>
        <v>My Parents</v>
      </c>
      <c r="F1194" s="1" t="str">
        <f ca="1">IFERROR(__xludf.DUMMYFUNCTION("""COMPUTED_VALUE"""),"Yes, I will earn and do that")</f>
        <v>Yes, I will earn and do that</v>
      </c>
      <c r="G1194" s="1" t="str">
        <f ca="1">IFERROR(__xludf.DUMMYFUNCTION("""COMPUTED_VALUE"""),"Will work for 3 years or more")</f>
        <v>Will work for 3 years or more</v>
      </c>
      <c r="H1194" s="1" t="str">
        <f ca="1">IFERROR(__xludf.DUMMYFUNCTION("""COMPUTED_VALUE"""),"No")</f>
        <v>No</v>
      </c>
      <c r="I1194" s="1" t="str">
        <f ca="1">IFERROR(__xludf.DUMMYFUNCTION("""COMPUTED_VALUE"""),"Will work for them")</f>
        <v>Will work for them</v>
      </c>
      <c r="J1194" s="1">
        <f ca="1">IFERROR(__xludf.DUMMYFUNCTION("""COMPUTED_VALUE"""),8)</f>
        <v>8</v>
      </c>
      <c r="K1194" s="1" t="str">
        <f ca="1">IFERROR(__xludf.DUMMYFUNCTION("""COMPUTED_VALUE"""),"Hybrid Working Environment with more than 15 days a month at office")</f>
        <v>Hybrid Working Environment with more than 15 days a month at office</v>
      </c>
      <c r="L1194" s="1" t="str">
        <f ca="1">IFERROR(__xludf.DUMMYFUNCTION("""COMPUTED_VALUE"""),"Employer who rewards learning and enables that environment")</f>
        <v>Employer who rewards learning and enables that environment</v>
      </c>
      <c r="M119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94" s="1" t="str">
        <f ca="1">IFERROR(__xludf.DUMMYFUNCTION("""COMPUTED_VALUE"""),"Manager who sets goal and helps me achieve it")</f>
        <v>Manager who sets goal and helps me achieve it</v>
      </c>
      <c r="P1194" s="1" t="str">
        <f ca="1">IFERROR(__xludf.DUMMYFUNCTION("""COMPUTED_VALUE"""),"Work with 5 to 6 people in my team")</f>
        <v>Work with 5 to 6 people in my team</v>
      </c>
      <c r="Q1194" s="1"/>
    </row>
    <row r="1195" spans="1:17" ht="13.2" x14ac:dyDescent="0.25">
      <c r="A1195" s="2">
        <f ca="1">IFERROR(__xludf.DUMMYFUNCTION("""COMPUTED_VALUE"""),45044.4504345717)</f>
        <v>45044.4504345717</v>
      </c>
      <c r="B1195" s="1" t="str">
        <f ca="1">IFERROR(__xludf.DUMMYFUNCTION("""COMPUTED_VALUE"""),"India")</f>
        <v>India</v>
      </c>
      <c r="C1195" s="1">
        <f ca="1">IFERROR(__xludf.DUMMYFUNCTION("""COMPUTED_VALUE"""),562106)</f>
        <v>562106</v>
      </c>
      <c r="D1195" s="3" t="str">
        <f ca="1">IFERROR(__xludf.DUMMYFUNCTION("""COMPUTED_VALUE"""),"Male")</f>
        <v>Male</v>
      </c>
      <c r="E1195" s="1" t="str">
        <f ca="1">IFERROR(__xludf.DUMMYFUNCTION("""COMPUTED_VALUE"""),"Influencers who had successful careers")</f>
        <v>Influencers who had successful careers</v>
      </c>
      <c r="F1195" s="1" t="str">
        <f ca="1">IFERROR(__xludf.DUMMYFUNCTION("""COMPUTED_VALUE"""),"Yes, I will earn and do that")</f>
        <v>Yes, I will earn and do that</v>
      </c>
      <c r="G1195" s="1" t="str">
        <f ca="1">IFERROR(__xludf.DUMMYFUNCTION("""COMPUTED_VALUE"""),"This will be hard to do, but if it is the right company I would try")</f>
        <v>This will be hard to do, but if it is the right company I would try</v>
      </c>
      <c r="H1195" s="1" t="str">
        <f ca="1">IFERROR(__xludf.DUMMYFUNCTION("""COMPUTED_VALUE"""),"No")</f>
        <v>No</v>
      </c>
      <c r="I1195" s="1" t="str">
        <f ca="1">IFERROR(__xludf.DUMMYFUNCTION("""COMPUTED_VALUE"""),"Will NOT work for them")</f>
        <v>Will NOT work for them</v>
      </c>
      <c r="J1195" s="1">
        <f ca="1">IFERROR(__xludf.DUMMYFUNCTION("""COMPUTED_VALUE"""),1)</f>
        <v>1</v>
      </c>
      <c r="K1195" s="1" t="str">
        <f ca="1">IFERROR(__xludf.DUMMYFUNCTION("""COMPUTED_VALUE"""),"Hybrid Working Environment with less than 3 days a month at office")</f>
        <v>Hybrid Working Environment with less than 3 days a month at office</v>
      </c>
      <c r="L1195" s="1" t="str">
        <f ca="1">IFERROR(__xludf.DUMMYFUNCTION("""COMPUTED_VALUE"""),"Employer who pushes your limits by enabling an learning environment, and rewards you at the end")</f>
        <v>Employer who pushes your limits by enabling an learning environment, and rewards you at the end</v>
      </c>
      <c r="M11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95" s="1" t="str">
        <f ca="1">IFERROR(__xludf.DUMMYFUNCTION("""COMPUTED_VALUE"""),"Design and Creative strategy in any company, Entrepreneur or Start Up, I Want to sell things/Sales, An Artificial Intelligence Specialist / Talking to Robots")</f>
        <v>Design and Creative strategy in any company, Entrepreneur or Start Up, I Want to sell things/Sales, An Artificial Intelligence Specialist / Talking to Robots</v>
      </c>
      <c r="O1195" s="1" t="str">
        <f ca="1">IFERROR(__xludf.DUMMYFUNCTION("""COMPUTED_VALUE"""),"Manager who sets goal and helps me achieve it")</f>
        <v>Manager who sets goal and helps me achieve it</v>
      </c>
      <c r="P1195" s="1" t="str">
        <f ca="1">IFERROR(__xludf.DUMMYFUNCTION("""COMPUTED_VALUE"""),"Work with 2 to 3 people in my team")</f>
        <v>Work with 2 to 3 people in my team</v>
      </c>
      <c r="Q1195" s="1"/>
    </row>
    <row r="1196" spans="1:17" ht="13.2" x14ac:dyDescent="0.25">
      <c r="A1196" s="2">
        <f ca="1">IFERROR(__xludf.DUMMYFUNCTION("""COMPUTED_VALUE"""),45044.4519186574)</f>
        <v>45044.451918657403</v>
      </c>
      <c r="B1196" s="1" t="str">
        <f ca="1">IFERROR(__xludf.DUMMYFUNCTION("""COMPUTED_VALUE"""),"India")</f>
        <v>India</v>
      </c>
      <c r="C1196" s="1">
        <f ca="1">IFERROR(__xludf.DUMMYFUNCTION("""COMPUTED_VALUE"""),700060)</f>
        <v>700060</v>
      </c>
      <c r="D1196" s="3" t="str">
        <f ca="1">IFERROR(__xludf.DUMMYFUNCTION("""COMPUTED_VALUE"""),"Male")</f>
        <v>Male</v>
      </c>
      <c r="E1196" s="1" t="str">
        <f ca="1">IFERROR(__xludf.DUMMYFUNCTION("""COMPUTED_VALUE"""),"People from my circle, but not family members")</f>
        <v>People from my circle, but not family members</v>
      </c>
      <c r="F1196" s="1" t="str">
        <f ca="1">IFERROR(__xludf.DUMMYFUNCTION("""COMPUTED_VALUE"""),"Yes, I will earn and do that")</f>
        <v>Yes, I will earn and do that</v>
      </c>
      <c r="G1196" s="1" t="str">
        <f ca="1">IFERROR(__xludf.DUMMYFUNCTION("""COMPUTED_VALUE"""),"Will work for 3 years or more")</f>
        <v>Will work for 3 years or more</v>
      </c>
      <c r="H1196" s="1" t="str">
        <f ca="1">IFERROR(__xludf.DUMMYFUNCTION("""COMPUTED_VALUE"""),"Yes")</f>
        <v>Yes</v>
      </c>
      <c r="I1196" s="1" t="str">
        <f ca="1">IFERROR(__xludf.DUMMYFUNCTION("""COMPUTED_VALUE"""),"Will work for them")</f>
        <v>Will work for them</v>
      </c>
      <c r="J1196" s="1">
        <f ca="1">IFERROR(__xludf.DUMMYFUNCTION("""COMPUTED_VALUE"""),10)</f>
        <v>10</v>
      </c>
      <c r="K1196" s="1" t="str">
        <f ca="1">IFERROR(__xludf.DUMMYFUNCTION("""COMPUTED_VALUE"""),"Every Day Office Environment")</f>
        <v>Every Day Office Environment</v>
      </c>
      <c r="L1196" s="1" t="str">
        <f ca="1">IFERROR(__xludf.DUMMYFUNCTION("""COMPUTED_VALUE"""),"Employer who pushes your limits by enabling an learning environment, and rewards you at the end")</f>
        <v>Employer who pushes your limits by enabling an learning environment, and rewards you at the end</v>
      </c>
      <c r="M11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96"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196" s="1" t="str">
        <f ca="1">IFERROR(__xludf.DUMMYFUNCTION("""COMPUTED_VALUE"""),"Manager who explains what is expected, sets a goal and helps achieve it")</f>
        <v>Manager who explains what is expected, sets a goal and helps achieve it</v>
      </c>
      <c r="P1196" s="1" t="str">
        <f ca="1">IFERROR(__xludf.DUMMYFUNCTION("""COMPUTED_VALUE"""),"Work with 7 to 10 or more people in my team, Work with more than 10 people in my team")</f>
        <v>Work with 7 to 10 or more people in my team, Work with more than 10 people in my team</v>
      </c>
      <c r="Q1196" s="1"/>
    </row>
    <row r="1197" spans="1:17" ht="13.2" x14ac:dyDescent="0.25">
      <c r="A1197" s="2">
        <f ca="1">IFERROR(__xludf.DUMMYFUNCTION("""COMPUTED_VALUE"""),45044.4521457754)</f>
        <v>45044.452145775402</v>
      </c>
      <c r="B1197" s="1" t="str">
        <f ca="1">IFERROR(__xludf.DUMMYFUNCTION("""COMPUTED_VALUE"""),"India")</f>
        <v>India</v>
      </c>
      <c r="C1197" s="1">
        <f ca="1">IFERROR(__xludf.DUMMYFUNCTION("""COMPUTED_VALUE"""),440008)</f>
        <v>440008</v>
      </c>
      <c r="D1197" s="3" t="str">
        <f ca="1">IFERROR(__xludf.DUMMYFUNCTION("""COMPUTED_VALUE"""),"Male")</f>
        <v>Male</v>
      </c>
      <c r="E1197" s="1" t="str">
        <f ca="1">IFERROR(__xludf.DUMMYFUNCTION("""COMPUTED_VALUE"""),"Social Media like LinkedIn")</f>
        <v>Social Media like LinkedIn</v>
      </c>
      <c r="F1197" s="1" t="str">
        <f ca="1">IFERROR(__xludf.DUMMYFUNCTION("""COMPUTED_VALUE"""),"Yes, I will earn and do that")</f>
        <v>Yes, I will earn and do that</v>
      </c>
      <c r="G1197" s="1" t="str">
        <f ca="1">IFERROR(__xludf.DUMMYFUNCTION("""COMPUTED_VALUE"""),"Will work for 3 years or more")</f>
        <v>Will work for 3 years or more</v>
      </c>
      <c r="H1197" s="1" t="str">
        <f ca="1">IFERROR(__xludf.DUMMYFUNCTION("""COMPUTED_VALUE"""),"No")</f>
        <v>No</v>
      </c>
      <c r="I1197" s="1" t="str">
        <f ca="1">IFERROR(__xludf.DUMMYFUNCTION("""COMPUTED_VALUE"""),"Will NOT work for them")</f>
        <v>Will NOT work for them</v>
      </c>
      <c r="J1197" s="1">
        <f ca="1">IFERROR(__xludf.DUMMYFUNCTION("""COMPUTED_VALUE"""),5)</f>
        <v>5</v>
      </c>
      <c r="K1197" s="1" t="str">
        <f ca="1">IFERROR(__xludf.DUMMYFUNCTION("""COMPUTED_VALUE"""),"Fully Remote with Options to travel as and when needed")</f>
        <v>Fully Remote with Options to travel as and when needed</v>
      </c>
      <c r="L1197" s="1" t="str">
        <f ca="1">IFERROR(__xludf.DUMMYFUNCTION("""COMPUTED_VALUE"""),"Employer who appreciates learning and enables that environment")</f>
        <v>Employer who appreciates learning and enables that environment</v>
      </c>
      <c r="M119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97"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97" s="1" t="str">
        <f ca="1">IFERROR(__xludf.DUMMYFUNCTION("""COMPUTED_VALUE"""),"Manager who explains what is expected, sets a goal and helps achieve it")</f>
        <v>Manager who explains what is expected, sets a goal and helps achieve it</v>
      </c>
      <c r="P1197" s="1" t="str">
        <f ca="1">IFERROR(__xludf.DUMMYFUNCTION("""COMPUTED_VALUE"""),"Work with 5 to 6 people in my team")</f>
        <v>Work with 5 to 6 people in my team</v>
      </c>
      <c r="Q1197" s="1"/>
    </row>
    <row r="1198" spans="1:17" ht="13.2" x14ac:dyDescent="0.25">
      <c r="A1198" s="2">
        <f ca="1">IFERROR(__xludf.DUMMYFUNCTION("""COMPUTED_VALUE"""),45044.4527563541)</f>
        <v>45044.452756354098</v>
      </c>
      <c r="B1198" s="1" t="str">
        <f ca="1">IFERROR(__xludf.DUMMYFUNCTION("""COMPUTED_VALUE"""),"India")</f>
        <v>India</v>
      </c>
      <c r="C1198" s="1">
        <f ca="1">IFERROR(__xludf.DUMMYFUNCTION("""COMPUTED_VALUE"""),700040)</f>
        <v>700040</v>
      </c>
      <c r="D1198" s="3" t="str">
        <f ca="1">IFERROR(__xludf.DUMMYFUNCTION("""COMPUTED_VALUE"""),"Male")</f>
        <v>Male</v>
      </c>
      <c r="E1198" s="1" t="str">
        <f ca="1">IFERROR(__xludf.DUMMYFUNCTION("""COMPUTED_VALUE"""),"People who have changed the world for better")</f>
        <v>People who have changed the world for better</v>
      </c>
      <c r="F1198" s="1" t="str">
        <f ca="1">IFERROR(__xludf.DUMMYFUNCTION("""COMPUTED_VALUE"""),"No I would not be pursuing Higher Education outside of India")</f>
        <v>No I would not be pursuing Higher Education outside of India</v>
      </c>
      <c r="G1198" s="1" t="str">
        <f ca="1">IFERROR(__xludf.DUMMYFUNCTION("""COMPUTED_VALUE"""),"Will work for 3 years or more")</f>
        <v>Will work for 3 years or more</v>
      </c>
      <c r="H1198" s="1" t="str">
        <f ca="1">IFERROR(__xludf.DUMMYFUNCTION("""COMPUTED_VALUE"""),"No")</f>
        <v>No</v>
      </c>
      <c r="I1198" s="1" t="str">
        <f ca="1">IFERROR(__xludf.DUMMYFUNCTION("""COMPUTED_VALUE"""),"Will NOT work for them")</f>
        <v>Will NOT work for them</v>
      </c>
      <c r="J1198" s="1">
        <f ca="1">IFERROR(__xludf.DUMMYFUNCTION("""COMPUTED_VALUE"""),1)</f>
        <v>1</v>
      </c>
      <c r="K1198" s="1" t="str">
        <f ca="1">IFERROR(__xludf.DUMMYFUNCTION("""COMPUTED_VALUE"""),"Fully Remote with Options to travel as and when needed")</f>
        <v>Fully Remote with Options to travel as and when needed</v>
      </c>
      <c r="L1198" s="1" t="str">
        <f ca="1">IFERROR(__xludf.DUMMYFUNCTION("""COMPUTED_VALUE"""),"Employer who pushes your limits by enabling an learning environment, and rewards you at the end")</f>
        <v>Employer who pushes your limits by enabling an learning environment, and rewards you at the end</v>
      </c>
      <c r="M119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198" s="1" t="str">
        <f ca="1">IFERROR(__xludf.DUMMYFUNCTION("""COMPUTED_VALUE"""),"Manager who clearly describes what she/he needs")</f>
        <v>Manager who clearly describes what she/he needs</v>
      </c>
      <c r="P1198" s="1" t="str">
        <f ca="1">IFERROR(__xludf.DUMMYFUNCTION("""COMPUTED_VALUE"""),"Work with 5 to 6 people in my team")</f>
        <v>Work with 5 to 6 people in my team</v>
      </c>
      <c r="Q1198" s="1"/>
    </row>
    <row r="1199" spans="1:17" ht="13.2" x14ac:dyDescent="0.25">
      <c r="A1199" s="2">
        <f ca="1">IFERROR(__xludf.DUMMYFUNCTION("""COMPUTED_VALUE"""),45044.4527770717)</f>
        <v>45044.452777071703</v>
      </c>
      <c r="B1199" s="1" t="str">
        <f ca="1">IFERROR(__xludf.DUMMYFUNCTION("""COMPUTED_VALUE"""),"India")</f>
        <v>India</v>
      </c>
      <c r="C1199" s="1">
        <f ca="1">IFERROR(__xludf.DUMMYFUNCTION("""COMPUTED_VALUE"""),700039)</f>
        <v>700039</v>
      </c>
      <c r="D1199" s="3" t="str">
        <f ca="1">IFERROR(__xludf.DUMMYFUNCTION("""COMPUTED_VALUE"""),"Male")</f>
        <v>Male</v>
      </c>
      <c r="E1199" s="1" t="str">
        <f ca="1">IFERROR(__xludf.DUMMYFUNCTION("""COMPUTED_VALUE"""),"People who have changed the world for better")</f>
        <v>People who have changed the world for better</v>
      </c>
      <c r="F1199" s="1" t="str">
        <f ca="1">IFERROR(__xludf.DUMMYFUNCTION("""COMPUTED_VALUE"""),"Yes, I will earn and do that")</f>
        <v>Yes, I will earn and do that</v>
      </c>
      <c r="G1199" s="1" t="str">
        <f ca="1">IFERROR(__xludf.DUMMYFUNCTION("""COMPUTED_VALUE"""),"Will work for 3 years or more")</f>
        <v>Will work for 3 years or more</v>
      </c>
      <c r="H1199" s="1" t="str">
        <f ca="1">IFERROR(__xludf.DUMMYFUNCTION("""COMPUTED_VALUE"""),"No")</f>
        <v>No</v>
      </c>
      <c r="I1199" s="1" t="str">
        <f ca="1">IFERROR(__xludf.DUMMYFUNCTION("""COMPUTED_VALUE"""),"Will NOT work for them")</f>
        <v>Will NOT work for them</v>
      </c>
      <c r="J1199" s="1">
        <f ca="1">IFERROR(__xludf.DUMMYFUNCTION("""COMPUTED_VALUE"""),2)</f>
        <v>2</v>
      </c>
      <c r="K1199" s="1" t="str">
        <f ca="1">IFERROR(__xludf.DUMMYFUNCTION("""COMPUTED_VALUE"""),"Every Day Office Environment")</f>
        <v>Every Day Office Environment</v>
      </c>
      <c r="L1199" s="1" t="str">
        <f ca="1">IFERROR(__xludf.DUMMYFUNCTION("""COMPUTED_VALUE"""),"Employer who pushes your limits by enabling an learning environment, and rewards you at the end")</f>
        <v>Employer who pushes your limits by enabling an learning environment, and rewards you at the end</v>
      </c>
      <c r="M119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99"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199" s="1" t="str">
        <f ca="1">IFERROR(__xludf.DUMMYFUNCTION("""COMPUTED_VALUE"""),"Manager who explains what is expected, sets a goal and helps achieve it")</f>
        <v>Manager who explains what is expected, sets a goal and helps achieve it</v>
      </c>
      <c r="P1199" s="1" t="str">
        <f ca="1">IFERROR(__xludf.DUMMYFUNCTION("""COMPUTED_VALUE"""),"Work with more than 10 people in my team")</f>
        <v>Work with more than 10 people in my team</v>
      </c>
      <c r="Q1199" s="1"/>
    </row>
    <row r="1200" spans="1:17" ht="13.2" x14ac:dyDescent="0.25">
      <c r="A1200" s="2">
        <f ca="1">IFERROR(__xludf.DUMMYFUNCTION("""COMPUTED_VALUE"""),45044.4528585185)</f>
        <v>45044.452858518503</v>
      </c>
      <c r="B1200" s="1" t="str">
        <f ca="1">IFERROR(__xludf.DUMMYFUNCTION("""COMPUTED_VALUE"""),"India")</f>
        <v>India</v>
      </c>
      <c r="C1200" s="1">
        <f ca="1">IFERROR(__xludf.DUMMYFUNCTION("""COMPUTED_VALUE"""),563106)</f>
        <v>563106</v>
      </c>
      <c r="D1200" s="3" t="str">
        <f ca="1">IFERROR(__xludf.DUMMYFUNCTION("""COMPUTED_VALUE"""),"Male")</f>
        <v>Male</v>
      </c>
      <c r="E1200" s="1" t="str">
        <f ca="1">IFERROR(__xludf.DUMMYFUNCTION("""COMPUTED_VALUE"""),"Influencers who had successful careers")</f>
        <v>Influencers who had successful careers</v>
      </c>
      <c r="F1200" s="1" t="str">
        <f ca="1">IFERROR(__xludf.DUMMYFUNCTION("""COMPUTED_VALUE"""),"Yes, I will earn and do that")</f>
        <v>Yes, I will earn and do that</v>
      </c>
      <c r="G1200" s="1" t="str">
        <f ca="1">IFERROR(__xludf.DUMMYFUNCTION("""COMPUTED_VALUE"""),"This will be hard to do, but if it is the right company I would try")</f>
        <v>This will be hard to do, but if it is the right company I would try</v>
      </c>
      <c r="H1200" s="1" t="str">
        <f ca="1">IFERROR(__xludf.DUMMYFUNCTION("""COMPUTED_VALUE"""),"No")</f>
        <v>No</v>
      </c>
      <c r="I1200" s="1" t="str">
        <f ca="1">IFERROR(__xludf.DUMMYFUNCTION("""COMPUTED_VALUE"""),"Will NOT work for them")</f>
        <v>Will NOT work for them</v>
      </c>
      <c r="J1200" s="1">
        <f ca="1">IFERROR(__xludf.DUMMYFUNCTION("""COMPUTED_VALUE"""),1)</f>
        <v>1</v>
      </c>
      <c r="K1200" s="1" t="str">
        <f ca="1">IFERROR(__xludf.DUMMYFUNCTION("""COMPUTED_VALUE"""),"Hybrid Working Environment with less than 3 days a month at office")</f>
        <v>Hybrid Working Environment with less than 3 days a month at office</v>
      </c>
      <c r="L1200" s="1" t="str">
        <f ca="1">IFERROR(__xludf.DUMMYFUNCTION("""COMPUTED_VALUE"""),"Employer who rewards learning and enables that environment")</f>
        <v>Employer who rewards learning and enables that environment</v>
      </c>
      <c r="M12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0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00" s="1" t="str">
        <f ca="1">IFERROR(__xludf.DUMMYFUNCTION("""COMPUTED_VALUE"""),"Manager who clearly describes what she/he needs")</f>
        <v>Manager who clearly describes what she/he needs</v>
      </c>
      <c r="P1200" s="1" t="str">
        <f ca="1">IFERROR(__xludf.DUMMYFUNCTION("""COMPUTED_VALUE"""),"Work with 2 to 3 people in my team")</f>
        <v>Work with 2 to 3 people in my team</v>
      </c>
      <c r="Q1200" s="1"/>
    </row>
    <row r="1201" spans="1:17" ht="13.2" x14ac:dyDescent="0.25">
      <c r="A1201" s="2">
        <f ca="1">IFERROR(__xludf.DUMMYFUNCTION("""COMPUTED_VALUE"""),45044.4545441782)</f>
        <v>45044.454544178203</v>
      </c>
      <c r="B1201" s="1" t="str">
        <f ca="1">IFERROR(__xludf.DUMMYFUNCTION("""COMPUTED_VALUE"""),"India")</f>
        <v>India</v>
      </c>
      <c r="C1201" s="1">
        <f ca="1">IFERROR(__xludf.DUMMYFUNCTION("""COMPUTED_VALUE"""),760001)</f>
        <v>760001</v>
      </c>
      <c r="D1201" s="3" t="str">
        <f ca="1">IFERROR(__xludf.DUMMYFUNCTION("""COMPUTED_VALUE"""),"Male")</f>
        <v>Male</v>
      </c>
      <c r="E1201" s="1" t="str">
        <f ca="1">IFERROR(__xludf.DUMMYFUNCTION("""COMPUTED_VALUE"""),"People who have changed the world for better")</f>
        <v>People who have changed the world for better</v>
      </c>
      <c r="F1201" s="1" t="str">
        <f ca="1">IFERROR(__xludf.DUMMYFUNCTION("""COMPUTED_VALUE"""),"Yes, I will earn and do that")</f>
        <v>Yes, I will earn and do that</v>
      </c>
      <c r="G1201" s="1" t="str">
        <f ca="1">IFERROR(__xludf.DUMMYFUNCTION("""COMPUTED_VALUE"""),"This will be hard to do, but if it is the right company I would try")</f>
        <v>This will be hard to do, but if it is the right company I would try</v>
      </c>
      <c r="H1201" s="1" t="str">
        <f ca="1">IFERROR(__xludf.DUMMYFUNCTION("""COMPUTED_VALUE"""),"No")</f>
        <v>No</v>
      </c>
      <c r="I1201" s="1" t="str">
        <f ca="1">IFERROR(__xludf.DUMMYFUNCTION("""COMPUTED_VALUE"""),"Will NOT work for them")</f>
        <v>Will NOT work for them</v>
      </c>
      <c r="J1201" s="1">
        <f ca="1">IFERROR(__xludf.DUMMYFUNCTION("""COMPUTED_VALUE"""),8)</f>
        <v>8</v>
      </c>
      <c r="K1201" s="1" t="str">
        <f ca="1">IFERROR(__xludf.DUMMYFUNCTION("""COMPUTED_VALUE"""),"Hybrid Working Environment with more than 15 days a month at office")</f>
        <v>Hybrid Working Environment with more than 15 days a month at office</v>
      </c>
      <c r="L1201" s="1" t="str">
        <f ca="1">IFERROR(__xludf.DUMMYFUNCTION("""COMPUTED_VALUE"""),"Employer who pushes your limits by enabling an learning environment, and rewards you at the end")</f>
        <v>Employer who pushes your limits by enabling an learning environment, and rewards you at the end</v>
      </c>
      <c r="M1201" s="1" t="str">
        <f ca="1">IFERROR(__xludf.DUMMYFUNCTION("""COMPUTED_VALUE"""),"Instructor or Expert Learning Programs, Learning by observing others, Manager Teaching you")</f>
        <v>Instructor or Expert Learning Programs, Learning by observing others, Manager Teaching you</v>
      </c>
      <c r="N1201"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201" s="1" t="str">
        <f ca="1">IFERROR(__xludf.DUMMYFUNCTION("""COMPUTED_VALUE"""),"Manager who sets goal and helps me achieve it")</f>
        <v>Manager who sets goal and helps me achieve it</v>
      </c>
      <c r="P1201" s="1" t="str">
        <f ca="1">IFERROR(__xludf.DUMMYFUNCTION("""COMPUTED_VALUE"""),"Work with 7 to 10 or more people in my team, Work with more than 10 people in my team")</f>
        <v>Work with 7 to 10 or more people in my team, Work with more than 10 people in my team</v>
      </c>
      <c r="Q1201" s="1"/>
    </row>
    <row r="1202" spans="1:17" ht="13.2" x14ac:dyDescent="0.25">
      <c r="A1202" s="2">
        <f ca="1">IFERROR(__xludf.DUMMYFUNCTION("""COMPUTED_VALUE"""),45044.4572367013)</f>
        <v>45044.457236701302</v>
      </c>
      <c r="B1202" s="1" t="str">
        <f ca="1">IFERROR(__xludf.DUMMYFUNCTION("""COMPUTED_VALUE"""),"India")</f>
        <v>India</v>
      </c>
      <c r="C1202" s="1">
        <f ca="1">IFERROR(__xludf.DUMMYFUNCTION("""COMPUTED_VALUE"""),247001)</f>
        <v>247001</v>
      </c>
      <c r="D1202" s="3" t="str">
        <f ca="1">IFERROR(__xludf.DUMMYFUNCTION("""COMPUTED_VALUE"""),"Male")</f>
        <v>Male</v>
      </c>
      <c r="E1202" s="1" t="str">
        <f ca="1">IFERROR(__xludf.DUMMYFUNCTION("""COMPUTED_VALUE"""),"My Parents")</f>
        <v>My Parents</v>
      </c>
      <c r="F1202" s="1" t="str">
        <f ca="1">IFERROR(__xludf.DUMMYFUNCTION("""COMPUTED_VALUE"""),"No I would not be pursuing Higher Education outside of India")</f>
        <v>No I would not be pursuing Higher Education outside of India</v>
      </c>
      <c r="G1202" s="1" t="str">
        <f ca="1">IFERROR(__xludf.DUMMYFUNCTION("""COMPUTED_VALUE"""),"This will be hard to do, but if it is the right company I would try")</f>
        <v>This will be hard to do, but if it is the right company I would try</v>
      </c>
      <c r="H1202" s="1" t="str">
        <f ca="1">IFERROR(__xludf.DUMMYFUNCTION("""COMPUTED_VALUE"""),"No")</f>
        <v>No</v>
      </c>
      <c r="I1202" s="1" t="str">
        <f ca="1">IFERROR(__xludf.DUMMYFUNCTION("""COMPUTED_VALUE"""),"Will NOT work for them")</f>
        <v>Will NOT work for them</v>
      </c>
      <c r="J1202" s="1">
        <f ca="1">IFERROR(__xludf.DUMMYFUNCTION("""COMPUTED_VALUE"""),1)</f>
        <v>1</v>
      </c>
      <c r="K1202" s="1" t="str">
        <f ca="1">IFERROR(__xludf.DUMMYFUNCTION("""COMPUTED_VALUE"""),"Fully Remote with Options to travel as and when needed")</f>
        <v>Fully Remote with Options to travel as and when needed</v>
      </c>
      <c r="L1202" s="1" t="str">
        <f ca="1">IFERROR(__xludf.DUMMYFUNCTION("""COMPUTED_VALUE"""),"Employer who pushes your limits by enabling an learning environment, and rewards you at the end")</f>
        <v>Employer who pushes your limits by enabling an learning environment, and rewards you at the end</v>
      </c>
      <c r="M1202" s="1" t="str">
        <f ca="1">IFERROR(__xludf.DUMMYFUNCTION("""COMPUTED_VALUE"""),"Self Paced Learning Portals of the Company, Instructor or Expert Learning Programs, Manager Teaching you")</f>
        <v>Self Paced Learning Portals of the Company, Instructor or Expert Learning Programs, Manager Teaching you</v>
      </c>
      <c r="N1202"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1202" s="1" t="str">
        <f ca="1">IFERROR(__xludf.DUMMYFUNCTION("""COMPUTED_VALUE"""),"Manager who explains what is expected, sets a goal and helps achieve it")</f>
        <v>Manager who explains what is expected, sets a goal and helps achieve it</v>
      </c>
      <c r="P1202" s="1" t="str">
        <f ca="1">IFERROR(__xludf.DUMMYFUNCTION("""COMPUTED_VALUE"""),"Work with 2 to 3 people in my team")</f>
        <v>Work with 2 to 3 people in my team</v>
      </c>
      <c r="Q1202" s="1"/>
    </row>
    <row r="1203" spans="1:17" ht="13.2" x14ac:dyDescent="0.25">
      <c r="A1203" s="2">
        <f ca="1">IFERROR(__xludf.DUMMYFUNCTION("""COMPUTED_VALUE"""),45044.4576209259)</f>
        <v>45044.457620925903</v>
      </c>
      <c r="B1203" s="1" t="str">
        <f ca="1">IFERROR(__xludf.DUMMYFUNCTION("""COMPUTED_VALUE"""),"India")</f>
        <v>India</v>
      </c>
      <c r="C1203" s="1">
        <f ca="1">IFERROR(__xludf.DUMMYFUNCTION("""COMPUTED_VALUE"""),208001)</f>
        <v>208001</v>
      </c>
      <c r="D1203" s="3" t="str">
        <f ca="1">IFERROR(__xludf.DUMMYFUNCTION("""COMPUTED_VALUE"""),"Female")</f>
        <v>Female</v>
      </c>
      <c r="E1203" s="1" t="str">
        <f ca="1">IFERROR(__xludf.DUMMYFUNCTION("""COMPUTED_VALUE"""),"Influencers who had successful careers")</f>
        <v>Influencers who had successful careers</v>
      </c>
      <c r="F1203" s="1" t="str">
        <f ca="1">IFERROR(__xludf.DUMMYFUNCTION("""COMPUTED_VALUE"""),"No I would not be pursuing Higher Education outside of India")</f>
        <v>No I would not be pursuing Higher Education outside of India</v>
      </c>
      <c r="G1203" s="1" t="str">
        <f ca="1">IFERROR(__xludf.DUMMYFUNCTION("""COMPUTED_VALUE"""),"Will work for 3 years or more")</f>
        <v>Will work for 3 years or more</v>
      </c>
      <c r="H1203" s="1" t="str">
        <f ca="1">IFERROR(__xludf.DUMMYFUNCTION("""COMPUTED_VALUE"""),"No")</f>
        <v>No</v>
      </c>
      <c r="I1203" s="1" t="str">
        <f ca="1">IFERROR(__xludf.DUMMYFUNCTION("""COMPUTED_VALUE"""),"Will NOT work for them")</f>
        <v>Will NOT work for them</v>
      </c>
      <c r="J1203" s="1">
        <f ca="1">IFERROR(__xludf.DUMMYFUNCTION("""COMPUTED_VALUE"""),3)</f>
        <v>3</v>
      </c>
      <c r="K1203" s="1" t="str">
        <f ca="1">IFERROR(__xludf.DUMMYFUNCTION("""COMPUTED_VALUE"""),"Hybrid Working Environment with more than 15 days a month at office")</f>
        <v>Hybrid Working Environment with more than 15 days a month at office</v>
      </c>
      <c r="L1203" s="1" t="str">
        <f ca="1">IFERROR(__xludf.DUMMYFUNCTION("""COMPUTED_VALUE"""),"Employer who pushes your limits by enabling an learning environment, and rewards you at the end")</f>
        <v>Employer who pushes your limits by enabling an learning environment, and rewards you at the end</v>
      </c>
      <c r="M120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2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03" s="1" t="str">
        <f ca="1">IFERROR(__xludf.DUMMYFUNCTION("""COMPUTED_VALUE"""),"Manager who explains what is expected, sets a goal and helps achieve it")</f>
        <v>Manager who explains what is expected, sets a goal and helps achieve it</v>
      </c>
      <c r="P1203"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203" s="1"/>
    </row>
    <row r="1204" spans="1:17" ht="13.2" x14ac:dyDescent="0.25">
      <c r="A1204" s="2">
        <f ca="1">IFERROR(__xludf.DUMMYFUNCTION("""COMPUTED_VALUE"""),45044.4586819444)</f>
        <v>45044.458681944401</v>
      </c>
      <c r="B1204" s="1" t="str">
        <f ca="1">IFERROR(__xludf.DUMMYFUNCTION("""COMPUTED_VALUE"""),"India")</f>
        <v>India</v>
      </c>
      <c r="C1204" s="1">
        <f ca="1">IFERROR(__xludf.DUMMYFUNCTION("""COMPUTED_VALUE"""),534002)</f>
        <v>534002</v>
      </c>
      <c r="D1204" s="3" t="str">
        <f ca="1">IFERROR(__xludf.DUMMYFUNCTION("""COMPUTED_VALUE"""),"Female")</f>
        <v>Female</v>
      </c>
      <c r="E1204" s="1" t="str">
        <f ca="1">IFERROR(__xludf.DUMMYFUNCTION("""COMPUTED_VALUE"""),"My Parents")</f>
        <v>My Parents</v>
      </c>
      <c r="F1204" s="1" t="str">
        <f ca="1">IFERROR(__xludf.DUMMYFUNCTION("""COMPUTED_VALUE"""),"Yes, I will earn and do that")</f>
        <v>Yes, I will earn and do that</v>
      </c>
      <c r="G1204" s="1" t="str">
        <f ca="1">IFERROR(__xludf.DUMMYFUNCTION("""COMPUTED_VALUE"""),"This will be hard to do, but if it is the right company I would try")</f>
        <v>This will be hard to do, but if it is the right company I would try</v>
      </c>
      <c r="H1204" s="1" t="str">
        <f ca="1">IFERROR(__xludf.DUMMYFUNCTION("""COMPUTED_VALUE"""),"Yes")</f>
        <v>Yes</v>
      </c>
      <c r="I1204" s="1" t="str">
        <f ca="1">IFERROR(__xludf.DUMMYFUNCTION("""COMPUTED_VALUE"""),"Will NOT work for them")</f>
        <v>Will NOT work for them</v>
      </c>
      <c r="J1204" s="1">
        <f ca="1">IFERROR(__xludf.DUMMYFUNCTION("""COMPUTED_VALUE"""),3)</f>
        <v>3</v>
      </c>
      <c r="K1204" s="1" t="str">
        <f ca="1">IFERROR(__xludf.DUMMYFUNCTION("""COMPUTED_VALUE"""),"Hybrid Working Environment with more than 15 days a month at office")</f>
        <v>Hybrid Working Environment with more than 15 days a month at office</v>
      </c>
      <c r="L1204" s="1" t="str">
        <f ca="1">IFERROR(__xludf.DUMMYFUNCTION("""COMPUTED_VALUE"""),"Employer who appreciates learning and enables that environment")</f>
        <v>Employer who appreciates learning and enables that environment</v>
      </c>
      <c r="M12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04"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204" s="1" t="str">
        <f ca="1">IFERROR(__xludf.DUMMYFUNCTION("""COMPUTED_VALUE"""),"Manager who sets goal and helps me achieve it")</f>
        <v>Manager who sets goal and helps me achieve it</v>
      </c>
      <c r="P1204" s="1" t="str">
        <f ca="1">IFERROR(__xludf.DUMMYFUNCTION("""COMPUTED_VALUE"""),"Work with 2 to 3 people in my team")</f>
        <v>Work with 2 to 3 people in my team</v>
      </c>
      <c r="Q1204" s="1"/>
    </row>
    <row r="1205" spans="1:17" ht="13.2" x14ac:dyDescent="0.25">
      <c r="A1205" s="2">
        <f ca="1">IFERROR(__xludf.DUMMYFUNCTION("""COMPUTED_VALUE"""),45044.4587421064)</f>
        <v>45044.458742106399</v>
      </c>
      <c r="B1205" s="1" t="str">
        <f ca="1">IFERROR(__xludf.DUMMYFUNCTION("""COMPUTED_VALUE"""),"India")</f>
        <v>India</v>
      </c>
      <c r="C1205" s="1">
        <f ca="1">IFERROR(__xludf.DUMMYFUNCTION("""COMPUTED_VALUE"""),500018)</f>
        <v>500018</v>
      </c>
      <c r="D1205" s="3" t="str">
        <f ca="1">IFERROR(__xludf.DUMMYFUNCTION("""COMPUTED_VALUE"""),"Male")</f>
        <v>Male</v>
      </c>
      <c r="E1205" s="1" t="str">
        <f ca="1">IFERROR(__xludf.DUMMYFUNCTION("""COMPUTED_VALUE"""),"My Parents")</f>
        <v>My Parents</v>
      </c>
      <c r="F1205" s="1" t="str">
        <f ca="1">IFERROR(__xludf.DUMMYFUNCTION("""COMPUTED_VALUE"""),"No, But if someone could bare the cost I will")</f>
        <v>No, But if someone could bare the cost I will</v>
      </c>
      <c r="G1205" s="1" t="str">
        <f ca="1">IFERROR(__xludf.DUMMYFUNCTION("""COMPUTED_VALUE"""),"This will be hard to do, but if it is the right company I would try")</f>
        <v>This will be hard to do, but if it is the right company I would try</v>
      </c>
      <c r="H1205" s="1" t="str">
        <f ca="1">IFERROR(__xludf.DUMMYFUNCTION("""COMPUTED_VALUE"""),"No")</f>
        <v>No</v>
      </c>
      <c r="I1205" s="1" t="str">
        <f ca="1">IFERROR(__xludf.DUMMYFUNCTION("""COMPUTED_VALUE"""),"Will NOT work for them")</f>
        <v>Will NOT work for them</v>
      </c>
      <c r="J1205" s="1">
        <f ca="1">IFERROR(__xludf.DUMMYFUNCTION("""COMPUTED_VALUE"""),7)</f>
        <v>7</v>
      </c>
      <c r="K1205" s="1" t="str">
        <f ca="1">IFERROR(__xludf.DUMMYFUNCTION("""COMPUTED_VALUE"""),"Hybrid Working Environment with less than 3 days a month at office")</f>
        <v>Hybrid Working Environment with less than 3 days a month at office</v>
      </c>
      <c r="L1205" s="1" t="str">
        <f ca="1">IFERROR(__xludf.DUMMYFUNCTION("""COMPUTED_VALUE"""),"Employer who appreciates learning and enables that environment")</f>
        <v>Employer who appreciates learning and enables that environment</v>
      </c>
      <c r="M120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05"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205" s="1" t="str">
        <f ca="1">IFERROR(__xludf.DUMMYFUNCTION("""COMPUTED_VALUE"""),"Manager who explains what is expected, sets a goal and helps achieve it")</f>
        <v>Manager who explains what is expected, sets a goal and helps achieve it</v>
      </c>
      <c r="P1205" s="1" t="str">
        <f ca="1">IFERROR(__xludf.DUMMYFUNCTION("""COMPUTED_VALUE"""),"Work with 5 to 6 people in my team")</f>
        <v>Work with 5 to 6 people in my team</v>
      </c>
      <c r="Q1205" s="1"/>
    </row>
    <row r="1206" spans="1:17" ht="13.2" x14ac:dyDescent="0.25">
      <c r="A1206" s="2">
        <f ca="1">IFERROR(__xludf.DUMMYFUNCTION("""COMPUTED_VALUE"""),45044.4609335879)</f>
        <v>45044.460933587899</v>
      </c>
      <c r="B1206" s="1" t="str">
        <f ca="1">IFERROR(__xludf.DUMMYFUNCTION("""COMPUTED_VALUE"""),"India")</f>
        <v>India</v>
      </c>
      <c r="C1206" s="1">
        <f ca="1">IFERROR(__xludf.DUMMYFUNCTION("""COMPUTED_VALUE"""),530001)</f>
        <v>530001</v>
      </c>
      <c r="D1206" s="3" t="str">
        <f ca="1">IFERROR(__xludf.DUMMYFUNCTION("""COMPUTED_VALUE"""),"Female")</f>
        <v>Female</v>
      </c>
      <c r="E1206" s="1" t="str">
        <f ca="1">IFERROR(__xludf.DUMMYFUNCTION("""COMPUTED_VALUE"""),"People from my circle, but not family members")</f>
        <v>People from my circle, but not family members</v>
      </c>
      <c r="F1206" s="1" t="str">
        <f ca="1">IFERROR(__xludf.DUMMYFUNCTION("""COMPUTED_VALUE"""),"No I would not be pursuing Higher Education outside of India")</f>
        <v>No I would not be pursuing Higher Education outside of India</v>
      </c>
      <c r="G1206" s="1" t="str">
        <f ca="1">IFERROR(__xludf.DUMMYFUNCTION("""COMPUTED_VALUE"""),"Will work for 3 years or more")</f>
        <v>Will work for 3 years or more</v>
      </c>
      <c r="H1206" s="1" t="str">
        <f ca="1">IFERROR(__xludf.DUMMYFUNCTION("""COMPUTED_VALUE"""),"No")</f>
        <v>No</v>
      </c>
      <c r="I1206" s="1" t="str">
        <f ca="1">IFERROR(__xludf.DUMMYFUNCTION("""COMPUTED_VALUE"""),"Will NOT work for them")</f>
        <v>Will NOT work for them</v>
      </c>
      <c r="J1206" s="1">
        <f ca="1">IFERROR(__xludf.DUMMYFUNCTION("""COMPUTED_VALUE"""),7)</f>
        <v>7</v>
      </c>
      <c r="K1206" s="1" t="str">
        <f ca="1">IFERROR(__xludf.DUMMYFUNCTION("""COMPUTED_VALUE"""),"Hybrid Working Environment with more than 15 days a month at office")</f>
        <v>Hybrid Working Environment with more than 15 days a month at office</v>
      </c>
      <c r="L1206" s="1" t="str">
        <f ca="1">IFERROR(__xludf.DUMMYFUNCTION("""COMPUTED_VALUE"""),"Employer who pushes your limits by enabling an learning environment, and rewards you at the end")</f>
        <v>Employer who pushes your limits by enabling an learning environment, and rewards you at the end</v>
      </c>
      <c r="M120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06"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206" s="1" t="str">
        <f ca="1">IFERROR(__xludf.DUMMYFUNCTION("""COMPUTED_VALUE"""),"Manager who explains what is expected, sets a goal and helps achieve it")</f>
        <v>Manager who explains what is expected, sets a goal and helps achieve it</v>
      </c>
      <c r="P1206" s="1" t="str">
        <f ca="1">IFERROR(__xludf.DUMMYFUNCTION("""COMPUTED_VALUE"""),"Work with more than 10 people in my team")</f>
        <v>Work with more than 10 people in my team</v>
      </c>
      <c r="Q1206" s="1"/>
    </row>
    <row r="1207" spans="1:17" ht="13.2" x14ac:dyDescent="0.25">
      <c r="A1207" s="2">
        <f ca="1">IFERROR(__xludf.DUMMYFUNCTION("""COMPUTED_VALUE"""),45044.4635205208)</f>
        <v>45044.463520520803</v>
      </c>
      <c r="B1207" s="1" t="str">
        <f ca="1">IFERROR(__xludf.DUMMYFUNCTION("""COMPUTED_VALUE"""),"India")</f>
        <v>India</v>
      </c>
      <c r="C1207" s="1">
        <f ca="1">IFERROR(__xludf.DUMMYFUNCTION("""COMPUTED_VALUE"""),533201)</f>
        <v>533201</v>
      </c>
      <c r="D1207" s="3" t="str">
        <f ca="1">IFERROR(__xludf.DUMMYFUNCTION("""COMPUTED_VALUE"""),"Male")</f>
        <v>Male</v>
      </c>
      <c r="E1207" s="1" t="str">
        <f ca="1">IFERROR(__xludf.DUMMYFUNCTION("""COMPUTED_VALUE"""),"My Parents")</f>
        <v>My Parents</v>
      </c>
      <c r="F1207" s="1" t="str">
        <f ca="1">IFERROR(__xludf.DUMMYFUNCTION("""COMPUTED_VALUE"""),"No I would not be pursuing Higher Education outside of India")</f>
        <v>No I would not be pursuing Higher Education outside of India</v>
      </c>
      <c r="G1207" s="1" t="str">
        <f ca="1">IFERROR(__xludf.DUMMYFUNCTION("""COMPUTED_VALUE"""),"Will work for 3 years or more")</f>
        <v>Will work for 3 years or more</v>
      </c>
      <c r="H1207" s="1" t="str">
        <f ca="1">IFERROR(__xludf.DUMMYFUNCTION("""COMPUTED_VALUE"""),"No")</f>
        <v>No</v>
      </c>
      <c r="I1207" s="1" t="str">
        <f ca="1">IFERROR(__xludf.DUMMYFUNCTION("""COMPUTED_VALUE"""),"Will NOT work for them")</f>
        <v>Will NOT work for them</v>
      </c>
      <c r="J1207" s="1">
        <f ca="1">IFERROR(__xludf.DUMMYFUNCTION("""COMPUTED_VALUE"""),6)</f>
        <v>6</v>
      </c>
      <c r="K1207" s="1" t="str">
        <f ca="1">IFERROR(__xludf.DUMMYFUNCTION("""COMPUTED_VALUE"""),"Hybrid Working Environment with more than 15 days a month at office")</f>
        <v>Hybrid Working Environment with more than 15 days a month at office</v>
      </c>
      <c r="L1207" s="1" t="str">
        <f ca="1">IFERROR(__xludf.DUMMYFUNCTION("""COMPUTED_VALUE"""),"Employer who appreciates learning and enables that environment")</f>
        <v>Employer who appreciates learning and enables that environment</v>
      </c>
      <c r="M1207" s="1" t="str">
        <f ca="1">IFERROR(__xludf.DUMMYFUNCTION("""COMPUTED_VALUE"""),"Self Paced Learning Portals of the Company, Instructor or Expert Learning Programs, Manager Teaching you")</f>
        <v>Self Paced Learning Portals of the Company, Instructor or Expert Learning Programs, Manager Teaching you</v>
      </c>
      <c r="N120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07" s="1" t="str">
        <f ca="1">IFERROR(__xludf.DUMMYFUNCTION("""COMPUTED_VALUE"""),"Manager who sets goal and helps me achieve it")</f>
        <v>Manager who sets goal and helps me achieve it</v>
      </c>
      <c r="P1207" s="1" t="str">
        <f ca="1">IFERROR(__xludf.DUMMYFUNCTION("""COMPUTED_VALUE"""),"Work with 5 to 6 people in my team")</f>
        <v>Work with 5 to 6 people in my team</v>
      </c>
      <c r="Q1207" s="1"/>
    </row>
    <row r="1208" spans="1:17" ht="13.2" x14ac:dyDescent="0.25">
      <c r="A1208" s="2">
        <f ca="1">IFERROR(__xludf.DUMMYFUNCTION("""COMPUTED_VALUE"""),45044.4636036342)</f>
        <v>45044.463603634198</v>
      </c>
      <c r="B1208" s="1" t="str">
        <f ca="1">IFERROR(__xludf.DUMMYFUNCTION("""COMPUTED_VALUE"""),"India")</f>
        <v>India</v>
      </c>
      <c r="C1208" s="1">
        <f ca="1">IFERROR(__xludf.DUMMYFUNCTION("""COMPUTED_VALUE"""),826001)</f>
        <v>826001</v>
      </c>
      <c r="D1208" s="3" t="str">
        <f ca="1">IFERROR(__xludf.DUMMYFUNCTION("""COMPUTED_VALUE"""),"Female")</f>
        <v>Female</v>
      </c>
      <c r="E1208" s="1" t="str">
        <f ca="1">IFERROR(__xludf.DUMMYFUNCTION("""COMPUTED_VALUE"""),"Influencers who had successful careers")</f>
        <v>Influencers who had successful careers</v>
      </c>
      <c r="F1208" s="1" t="str">
        <f ca="1">IFERROR(__xludf.DUMMYFUNCTION("""COMPUTED_VALUE"""),"No I would not be pursuing Higher Education outside of India")</f>
        <v>No I would not be pursuing Higher Education outside of India</v>
      </c>
      <c r="G1208" s="1" t="str">
        <f ca="1">IFERROR(__xludf.DUMMYFUNCTION("""COMPUTED_VALUE"""),"This will be hard to do, but if it is the right company I would try")</f>
        <v>This will be hard to do, but if it is the right company I would try</v>
      </c>
      <c r="H1208" s="1" t="str">
        <f ca="1">IFERROR(__xludf.DUMMYFUNCTION("""COMPUTED_VALUE"""),"Yes")</f>
        <v>Yes</v>
      </c>
      <c r="I1208" s="1" t="str">
        <f ca="1">IFERROR(__xludf.DUMMYFUNCTION("""COMPUTED_VALUE"""),"Will NOT work for them")</f>
        <v>Will NOT work for them</v>
      </c>
      <c r="J1208" s="1">
        <f ca="1">IFERROR(__xludf.DUMMYFUNCTION("""COMPUTED_VALUE"""),9)</f>
        <v>9</v>
      </c>
      <c r="K1208" s="1" t="str">
        <f ca="1">IFERROR(__xludf.DUMMYFUNCTION("""COMPUTED_VALUE"""),"Hybrid Working Environment with more than 15 days a month at office")</f>
        <v>Hybrid Working Environment with more than 15 days a month at office</v>
      </c>
      <c r="L1208" s="1" t="str">
        <f ca="1">IFERROR(__xludf.DUMMYFUNCTION("""COMPUTED_VALUE"""),"Employer who appreciates learning and enables that environment")</f>
        <v>Employer who appreciates learning and enables that environment</v>
      </c>
      <c r="M120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208" s="1" t="str">
        <f ca="1">IFERROR(__xludf.DUMMYFUNCTION("""COMPUTED_VALUE"""),"Manager who clearly describes what she/he needs")</f>
        <v>Manager who clearly describes what she/he needs</v>
      </c>
      <c r="P1208" s="1" t="str">
        <f ca="1">IFERROR(__xludf.DUMMYFUNCTION("""COMPUTED_VALUE"""),"Work alone, Work with 2 to 3 people in my team")</f>
        <v>Work alone, Work with 2 to 3 people in my team</v>
      </c>
      <c r="Q1208" s="1"/>
    </row>
    <row r="1209" spans="1:17" ht="13.2" x14ac:dyDescent="0.25">
      <c r="A1209" s="2">
        <f ca="1">IFERROR(__xludf.DUMMYFUNCTION("""COMPUTED_VALUE"""),45044.4669670949)</f>
        <v>45044.466967094901</v>
      </c>
      <c r="B1209" s="1" t="str">
        <f ca="1">IFERROR(__xludf.DUMMYFUNCTION("""COMPUTED_VALUE"""),"India")</f>
        <v>India</v>
      </c>
      <c r="C1209" s="1">
        <f ca="1">IFERROR(__xludf.DUMMYFUNCTION("""COMPUTED_VALUE"""),533211)</f>
        <v>533211</v>
      </c>
      <c r="D1209" s="3" t="str">
        <f ca="1">IFERROR(__xludf.DUMMYFUNCTION("""COMPUTED_VALUE"""),"Male")</f>
        <v>Male</v>
      </c>
      <c r="E1209" s="1" t="str">
        <f ca="1">IFERROR(__xludf.DUMMYFUNCTION("""COMPUTED_VALUE"""),"My Parents")</f>
        <v>My Parents</v>
      </c>
      <c r="F1209" s="1" t="str">
        <f ca="1">IFERROR(__xludf.DUMMYFUNCTION("""COMPUTED_VALUE"""),"No I would not be pursuing Higher Education outside of India")</f>
        <v>No I would not be pursuing Higher Education outside of India</v>
      </c>
      <c r="G1209" s="1" t="str">
        <f ca="1">IFERROR(__xludf.DUMMYFUNCTION("""COMPUTED_VALUE"""),"Will work for 3 years or more")</f>
        <v>Will work for 3 years or more</v>
      </c>
      <c r="H1209" s="1" t="str">
        <f ca="1">IFERROR(__xludf.DUMMYFUNCTION("""COMPUTED_VALUE"""),"Yes")</f>
        <v>Yes</v>
      </c>
      <c r="I1209" s="1" t="str">
        <f ca="1">IFERROR(__xludf.DUMMYFUNCTION("""COMPUTED_VALUE"""),"Will work for them")</f>
        <v>Will work for them</v>
      </c>
      <c r="J1209" s="1">
        <f ca="1">IFERROR(__xludf.DUMMYFUNCTION("""COMPUTED_VALUE"""),10)</f>
        <v>10</v>
      </c>
      <c r="K1209" s="1" t="str">
        <f ca="1">IFERROR(__xludf.DUMMYFUNCTION("""COMPUTED_VALUE"""),"Every Day Office Environment")</f>
        <v>Every Day Office Environment</v>
      </c>
      <c r="L1209" s="1" t="str">
        <f ca="1">IFERROR(__xludf.DUMMYFUNCTION("""COMPUTED_VALUE"""),"Employer who rewards learning and enables that environment")</f>
        <v>Employer who rewards learning and enables that environment</v>
      </c>
      <c r="M1209" s="1" t="str">
        <f ca="1">IFERROR(__xludf.DUMMYFUNCTION("""COMPUTED_VALUE"""),"Instructor or Expert Learning Programs, Self Purchased Course from External Platforms, Manager Teaching you")</f>
        <v>Instructor or Expert Learning Programs, Self Purchased Course from External Platforms, Manager Teaching you</v>
      </c>
      <c r="N1209" s="1" t="str">
        <f ca="1">IFERROR(__xludf.DUMMYFUNCTION("""COMPUTED_VALUE"""),"Design and Creative strategy in any company, Work as a freelancer and do my thing my way, I Want to sell things/Sales, Manufacturing / Oil and Gas/ Construction / Hard Physical Work related")</f>
        <v>Design and Creative strategy in any company, Work as a freelancer and do my thing my way, I Want to sell things/Sales, Manufacturing / Oil and Gas/ Construction / Hard Physical Work related</v>
      </c>
      <c r="O1209" s="1" t="str">
        <f ca="1">IFERROR(__xludf.DUMMYFUNCTION("""COMPUTED_VALUE"""),"Manager who sets targets and expects me to achieve it")</f>
        <v>Manager who sets targets and expects me to achieve it</v>
      </c>
      <c r="P1209" s="1" t="str">
        <f ca="1">IFERROR(__xludf.DUMMYFUNCTION("""COMPUTED_VALUE"""),"Work with more than 10 people in my team")</f>
        <v>Work with more than 10 people in my team</v>
      </c>
      <c r="Q1209" s="1"/>
    </row>
    <row r="1210" spans="1:17" ht="13.2" x14ac:dyDescent="0.25">
      <c r="A1210" s="2">
        <f ca="1">IFERROR(__xludf.DUMMYFUNCTION("""COMPUTED_VALUE"""),45044.4676823611)</f>
        <v>45044.467682361101</v>
      </c>
      <c r="B1210" s="1" t="str">
        <f ca="1">IFERROR(__xludf.DUMMYFUNCTION("""COMPUTED_VALUE"""),"India")</f>
        <v>India</v>
      </c>
      <c r="C1210" s="1">
        <f ca="1">IFERROR(__xludf.DUMMYFUNCTION("""COMPUTED_VALUE"""),560047)</f>
        <v>560047</v>
      </c>
      <c r="D1210" s="3" t="str">
        <f ca="1">IFERROR(__xludf.DUMMYFUNCTION("""COMPUTED_VALUE"""),"Female")</f>
        <v>Female</v>
      </c>
      <c r="E1210" s="1" t="str">
        <f ca="1">IFERROR(__xludf.DUMMYFUNCTION("""COMPUTED_VALUE"""),"My Parents")</f>
        <v>My Parents</v>
      </c>
      <c r="F1210" s="1" t="str">
        <f ca="1">IFERROR(__xludf.DUMMYFUNCTION("""COMPUTED_VALUE"""),"Yes, I will earn and do that")</f>
        <v>Yes, I will earn and do that</v>
      </c>
      <c r="G1210" s="1" t="str">
        <f ca="1">IFERROR(__xludf.DUMMYFUNCTION("""COMPUTED_VALUE"""),"This will be hard to do, but if it is the right company I would try")</f>
        <v>This will be hard to do, but if it is the right company I would try</v>
      </c>
      <c r="H1210" s="1" t="str">
        <f ca="1">IFERROR(__xludf.DUMMYFUNCTION("""COMPUTED_VALUE"""),"Yes")</f>
        <v>Yes</v>
      </c>
      <c r="I1210" s="1" t="str">
        <f ca="1">IFERROR(__xludf.DUMMYFUNCTION("""COMPUTED_VALUE"""),"Will work for them")</f>
        <v>Will work for them</v>
      </c>
      <c r="J1210" s="1">
        <f ca="1">IFERROR(__xludf.DUMMYFUNCTION("""COMPUTED_VALUE"""),10)</f>
        <v>10</v>
      </c>
      <c r="K1210" s="1" t="str">
        <f ca="1">IFERROR(__xludf.DUMMYFUNCTION("""COMPUTED_VALUE"""),"Hybrid Working Environment with less than 3 days a month at office")</f>
        <v>Hybrid Working Environment with less than 3 days a month at office</v>
      </c>
      <c r="L1210" s="1" t="str">
        <f ca="1">IFERROR(__xludf.DUMMYFUNCTION("""COMPUTED_VALUE"""),"Employer who rewards learning and enables that environment")</f>
        <v>Employer who rewards learning and enables that environment</v>
      </c>
      <c r="M1210" s="1" t="str">
        <f ca="1">IFERROR(__xludf.DUMMYFUNCTION("""COMPUTED_VALUE"""),"Self Paced Learning Portals of the Company, Learning by observing others, Manager Teaching you")</f>
        <v>Self Paced Learning Portals of the Company, Learning by observing others, Manager Teaching you</v>
      </c>
      <c r="N1210"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210" s="1" t="str">
        <f ca="1">IFERROR(__xludf.DUMMYFUNCTION("""COMPUTED_VALUE"""),"Manager who clearly describes what she/he needs")</f>
        <v>Manager who clearly describes what she/he needs</v>
      </c>
      <c r="P1210" s="1" t="str">
        <f ca="1">IFERROR(__xludf.DUMMYFUNCTION("""COMPUTED_VALUE"""),"Work with 2 to 3 people in my team")</f>
        <v>Work with 2 to 3 people in my team</v>
      </c>
      <c r="Q1210" s="1"/>
    </row>
    <row r="1211" spans="1:17" ht="13.2" x14ac:dyDescent="0.25">
      <c r="A1211" s="2">
        <f ca="1">IFERROR(__xludf.DUMMYFUNCTION("""COMPUTED_VALUE"""),45044.4686269791)</f>
        <v>45044.468626979098</v>
      </c>
      <c r="B1211" s="1" t="str">
        <f ca="1">IFERROR(__xludf.DUMMYFUNCTION("""COMPUTED_VALUE"""),"India")</f>
        <v>India</v>
      </c>
      <c r="C1211" s="1">
        <f ca="1">IFERROR(__xludf.DUMMYFUNCTION("""COMPUTED_VALUE"""),421302)</f>
        <v>421302</v>
      </c>
      <c r="D1211" s="3" t="str">
        <f ca="1">IFERROR(__xludf.DUMMYFUNCTION("""COMPUTED_VALUE"""),"Male")</f>
        <v>Male</v>
      </c>
      <c r="E1211" s="1" t="str">
        <f ca="1">IFERROR(__xludf.DUMMYFUNCTION("""COMPUTED_VALUE"""),"My Parents")</f>
        <v>My Parents</v>
      </c>
      <c r="F1211" s="1" t="str">
        <f ca="1">IFERROR(__xludf.DUMMYFUNCTION("""COMPUTED_VALUE"""),"No, But if someone could bare the cost I will")</f>
        <v>No, But if someone could bare the cost I will</v>
      </c>
      <c r="G1211" s="1" t="str">
        <f ca="1">IFERROR(__xludf.DUMMYFUNCTION("""COMPUTED_VALUE"""),"This will be hard to do, but if it is the right company I would try")</f>
        <v>This will be hard to do, but if it is the right company I would try</v>
      </c>
      <c r="H1211" s="1" t="str">
        <f ca="1">IFERROR(__xludf.DUMMYFUNCTION("""COMPUTED_VALUE"""),"No")</f>
        <v>No</v>
      </c>
      <c r="I1211" s="1" t="str">
        <f ca="1">IFERROR(__xludf.DUMMYFUNCTION("""COMPUTED_VALUE"""),"Will work for them")</f>
        <v>Will work for them</v>
      </c>
      <c r="J1211" s="1">
        <f ca="1">IFERROR(__xludf.DUMMYFUNCTION("""COMPUTED_VALUE"""),10)</f>
        <v>10</v>
      </c>
      <c r="K1211" s="1" t="str">
        <f ca="1">IFERROR(__xludf.DUMMYFUNCTION("""COMPUTED_VALUE"""),"Hybrid Working Environment with less than 3 days a month at office")</f>
        <v>Hybrid Working Environment with less than 3 days a month at office</v>
      </c>
      <c r="L1211" s="1" t="str">
        <f ca="1">IFERROR(__xludf.DUMMYFUNCTION("""COMPUTED_VALUE"""),"Employer who rewards learning and enables that environment")</f>
        <v>Employer who rewards learning and enables that environment</v>
      </c>
      <c r="M121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11" s="1" t="str">
        <f ca="1">IFERROR(__xludf.DUMMYFUNCTION("""COMPUTED_VALUE"""),"Teaching in any of the institutes/colleges/online or offline, Look deeply into Data and generate insights, Become a content Creator in some platform, I Want to sell things/Sales")</f>
        <v>Teaching in any of the institutes/colleges/online or offline, Look deeply into Data and generate insights, Become a content Creator in some platform, I Want to sell things/Sales</v>
      </c>
      <c r="O1211" s="1" t="str">
        <f ca="1">IFERROR(__xludf.DUMMYFUNCTION("""COMPUTED_VALUE"""),"Manager who explains what is expected, sets a goal and helps achieve it")</f>
        <v>Manager who explains what is expected, sets a goal and helps achieve it</v>
      </c>
      <c r="P1211" s="1" t="str">
        <f ca="1">IFERROR(__xludf.DUMMYFUNCTION("""COMPUTED_VALUE"""),"Work with 5 to 6 people in my team")</f>
        <v>Work with 5 to 6 people in my team</v>
      </c>
      <c r="Q1211" s="1"/>
    </row>
    <row r="1212" spans="1:17" ht="13.2" x14ac:dyDescent="0.25">
      <c r="A1212" s="2">
        <f ca="1">IFERROR(__xludf.DUMMYFUNCTION("""COMPUTED_VALUE"""),45044.469754537)</f>
        <v>45044.469754537</v>
      </c>
      <c r="B1212" s="1" t="str">
        <f ca="1">IFERROR(__xludf.DUMMYFUNCTION("""COMPUTED_VALUE"""),"India")</f>
        <v>India</v>
      </c>
      <c r="C1212" s="1">
        <f ca="1">IFERROR(__xludf.DUMMYFUNCTION("""COMPUTED_VALUE"""),395009)</f>
        <v>395009</v>
      </c>
      <c r="D1212" s="3" t="str">
        <f ca="1">IFERROR(__xludf.DUMMYFUNCTION("""COMPUTED_VALUE"""),"Female")</f>
        <v>Female</v>
      </c>
      <c r="E1212" s="1" t="str">
        <f ca="1">IFERROR(__xludf.DUMMYFUNCTION("""COMPUTED_VALUE"""),"My Parents")</f>
        <v>My Parents</v>
      </c>
      <c r="F1212" s="1" t="str">
        <f ca="1">IFERROR(__xludf.DUMMYFUNCTION("""COMPUTED_VALUE"""),"No I would not be pursuing Higher Education outside of India")</f>
        <v>No I would not be pursuing Higher Education outside of India</v>
      </c>
      <c r="G1212" s="1" t="str">
        <f ca="1">IFERROR(__xludf.DUMMYFUNCTION("""COMPUTED_VALUE"""),"Will work for 3 years or more")</f>
        <v>Will work for 3 years or more</v>
      </c>
      <c r="H1212" s="1" t="str">
        <f ca="1">IFERROR(__xludf.DUMMYFUNCTION("""COMPUTED_VALUE"""),"No")</f>
        <v>No</v>
      </c>
      <c r="I1212" s="1" t="str">
        <f ca="1">IFERROR(__xludf.DUMMYFUNCTION("""COMPUTED_VALUE"""),"Will NOT work for them")</f>
        <v>Will NOT work for them</v>
      </c>
      <c r="J1212" s="1">
        <f ca="1">IFERROR(__xludf.DUMMYFUNCTION("""COMPUTED_VALUE"""),4)</f>
        <v>4</v>
      </c>
      <c r="K1212" s="1" t="str">
        <f ca="1">IFERROR(__xludf.DUMMYFUNCTION("""COMPUTED_VALUE"""),"Hybrid Working Environment with less than 3 days a month at office")</f>
        <v>Hybrid Working Environment with less than 3 days a month at office</v>
      </c>
      <c r="L1212" s="1" t="str">
        <f ca="1">IFERROR(__xludf.DUMMYFUNCTION("""COMPUTED_VALUE"""),"Employer who pushes your limits by enabling an learning environment, and rewards you at the end")</f>
        <v>Employer who pushes your limits by enabling an learning environment, and rewards you at the end</v>
      </c>
      <c r="M12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1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212" s="1" t="str">
        <f ca="1">IFERROR(__xludf.DUMMYFUNCTION("""COMPUTED_VALUE"""),"Manager who explains what is expected, sets a goal and helps achieve it")</f>
        <v>Manager who explains what is expected, sets a goal and helps achieve it</v>
      </c>
      <c r="P121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12" s="1"/>
    </row>
    <row r="1213" spans="1:17" ht="13.2" x14ac:dyDescent="0.25">
      <c r="A1213" s="2">
        <f ca="1">IFERROR(__xludf.DUMMYFUNCTION("""COMPUTED_VALUE"""),45044.4757331481)</f>
        <v>45044.475733148101</v>
      </c>
      <c r="B1213" s="1" t="str">
        <f ca="1">IFERROR(__xludf.DUMMYFUNCTION("""COMPUTED_VALUE"""),"India")</f>
        <v>India</v>
      </c>
      <c r="C1213" s="1">
        <f ca="1">IFERROR(__xludf.DUMMYFUNCTION("""COMPUTED_VALUE"""),500018)</f>
        <v>500018</v>
      </c>
      <c r="D1213" s="3" t="str">
        <f ca="1">IFERROR(__xludf.DUMMYFUNCTION("""COMPUTED_VALUE"""),"Female")</f>
        <v>Female</v>
      </c>
      <c r="E1213" s="1" t="str">
        <f ca="1">IFERROR(__xludf.DUMMYFUNCTION("""COMPUTED_VALUE"""),"My Parents")</f>
        <v>My Parents</v>
      </c>
      <c r="F1213" s="1" t="str">
        <f ca="1">IFERROR(__xludf.DUMMYFUNCTION("""COMPUTED_VALUE"""),"Yes, I will earn and do that")</f>
        <v>Yes, I will earn and do that</v>
      </c>
      <c r="G1213" s="1" t="str">
        <f ca="1">IFERROR(__xludf.DUMMYFUNCTION("""COMPUTED_VALUE"""),"This will be hard to do, but if it is the right company I would try")</f>
        <v>This will be hard to do, but if it is the right company I would try</v>
      </c>
      <c r="H1213" s="1" t="str">
        <f ca="1">IFERROR(__xludf.DUMMYFUNCTION("""COMPUTED_VALUE"""),"Yes")</f>
        <v>Yes</v>
      </c>
      <c r="I1213" s="1" t="str">
        <f ca="1">IFERROR(__xludf.DUMMYFUNCTION("""COMPUTED_VALUE"""),"Will NOT work for them")</f>
        <v>Will NOT work for them</v>
      </c>
      <c r="J1213" s="1">
        <f ca="1">IFERROR(__xludf.DUMMYFUNCTION("""COMPUTED_VALUE"""),2)</f>
        <v>2</v>
      </c>
      <c r="K1213" s="1" t="str">
        <f ca="1">IFERROR(__xludf.DUMMYFUNCTION("""COMPUTED_VALUE"""),"Hybrid Working Environment with more than 15 days a month at office")</f>
        <v>Hybrid Working Environment with more than 15 days a month at office</v>
      </c>
      <c r="L1213" s="1" t="str">
        <f ca="1">IFERROR(__xludf.DUMMYFUNCTION("""COMPUTED_VALUE"""),"Employer who pushes your limits by enabling an learning environment, and rewards you at the end")</f>
        <v>Employer who pushes your limits by enabling an learning environment, and rewards you at the end</v>
      </c>
      <c r="M121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1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213" s="1" t="str">
        <f ca="1">IFERROR(__xludf.DUMMYFUNCTION("""COMPUTED_VALUE"""),"Manager who sets goal and helps me achieve it")</f>
        <v>Manager who sets goal and helps me achieve it</v>
      </c>
      <c r="P1213" s="1" t="str">
        <f ca="1">IFERROR(__xludf.DUMMYFUNCTION("""COMPUTED_VALUE"""),"Work with 7 to 10 or more people in my team")</f>
        <v>Work with 7 to 10 or more people in my team</v>
      </c>
      <c r="Q1213" s="1"/>
    </row>
    <row r="1214" spans="1:17" ht="13.2" x14ac:dyDescent="0.25">
      <c r="A1214" s="2">
        <f ca="1">IFERROR(__xludf.DUMMYFUNCTION("""COMPUTED_VALUE"""),45044.4761725694)</f>
        <v>45044.476172569397</v>
      </c>
      <c r="B1214" s="1" t="str">
        <f ca="1">IFERROR(__xludf.DUMMYFUNCTION("""COMPUTED_VALUE"""),"India")</f>
        <v>India</v>
      </c>
      <c r="C1214" s="1">
        <f ca="1">IFERROR(__xludf.DUMMYFUNCTION("""COMPUTED_VALUE"""),793006)</f>
        <v>793006</v>
      </c>
      <c r="D1214" s="3" t="str">
        <f ca="1">IFERROR(__xludf.DUMMYFUNCTION("""COMPUTED_VALUE"""),"Female")</f>
        <v>Female</v>
      </c>
      <c r="E1214" s="1" t="str">
        <f ca="1">IFERROR(__xludf.DUMMYFUNCTION("""COMPUTED_VALUE"""),"Influencers who had successful careers")</f>
        <v>Influencers who had successful careers</v>
      </c>
      <c r="F1214" s="1" t="str">
        <f ca="1">IFERROR(__xludf.DUMMYFUNCTION("""COMPUTED_VALUE"""),"Yes, I will earn and do that")</f>
        <v>Yes, I will earn and do that</v>
      </c>
      <c r="G1214" s="1" t="str">
        <f ca="1">IFERROR(__xludf.DUMMYFUNCTION("""COMPUTED_VALUE"""),"This will be hard to do, but if it is the right company I would try")</f>
        <v>This will be hard to do, but if it is the right company I would try</v>
      </c>
      <c r="H1214" s="1" t="str">
        <f ca="1">IFERROR(__xludf.DUMMYFUNCTION("""COMPUTED_VALUE"""),"No")</f>
        <v>No</v>
      </c>
      <c r="I1214" s="1" t="str">
        <f ca="1">IFERROR(__xludf.DUMMYFUNCTION("""COMPUTED_VALUE"""),"Will NOT work for them")</f>
        <v>Will NOT work for them</v>
      </c>
      <c r="J1214" s="1">
        <f ca="1">IFERROR(__xludf.DUMMYFUNCTION("""COMPUTED_VALUE"""),6)</f>
        <v>6</v>
      </c>
      <c r="K1214" s="1" t="str">
        <f ca="1">IFERROR(__xludf.DUMMYFUNCTION("""COMPUTED_VALUE"""),"Hybrid Working Environment with less than 3 days a month at office")</f>
        <v>Hybrid Working Environment with less than 3 days a month at office</v>
      </c>
      <c r="L1214" s="1" t="str">
        <f ca="1">IFERROR(__xludf.DUMMYFUNCTION("""COMPUTED_VALUE"""),"Employer who pushes your limits by enabling an learning environment, and rewards you at the end")</f>
        <v>Employer who pushes your limits by enabling an learning environment, and rewards you at the end</v>
      </c>
      <c r="M121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14" s="1" t="str">
        <f ca="1">IFERROR(__xludf.DUMMYFUNCTION("""COMPUTED_VALUE"""),"Business Operations in any organization, Work in a BPO setup for some well known client, Work as a freelancer and do my thing my way, Become a content Creator in some platform")</f>
        <v>Business Operations in any organization, Work in a BPO setup for some well known client, Work as a freelancer and do my thing my way, Become a content Creator in some platform</v>
      </c>
      <c r="O1214" s="1" t="str">
        <f ca="1">IFERROR(__xludf.DUMMYFUNCTION("""COMPUTED_VALUE"""),"Manager who explains what is expected, sets a goal and helps achieve it")</f>
        <v>Manager who explains what is expected, sets a goal and helps achieve it</v>
      </c>
      <c r="P1214" s="1" t="str">
        <f ca="1">IFERROR(__xludf.DUMMYFUNCTION("""COMPUTED_VALUE"""),"Work with 2 to 3 people in my team")</f>
        <v>Work with 2 to 3 people in my team</v>
      </c>
      <c r="Q1214" s="1"/>
    </row>
    <row r="1215" spans="1:17" ht="13.2" x14ac:dyDescent="0.25">
      <c r="A1215" s="2">
        <f ca="1">IFERROR(__xludf.DUMMYFUNCTION("""COMPUTED_VALUE"""),45044.4761767245)</f>
        <v>45044.4761767245</v>
      </c>
      <c r="B1215" s="1" t="str">
        <f ca="1">IFERROR(__xludf.DUMMYFUNCTION("""COMPUTED_VALUE"""),"India")</f>
        <v>India</v>
      </c>
      <c r="C1215" s="1">
        <f ca="1">IFERROR(__xludf.DUMMYFUNCTION("""COMPUTED_VALUE"""),560100)</f>
        <v>560100</v>
      </c>
      <c r="D1215" s="3" t="str">
        <f ca="1">IFERROR(__xludf.DUMMYFUNCTION("""COMPUTED_VALUE"""),"Female")</f>
        <v>Female</v>
      </c>
      <c r="E1215" s="1" t="str">
        <f ca="1">IFERROR(__xludf.DUMMYFUNCTION("""COMPUTED_VALUE"""),"People who have changed the world for better")</f>
        <v>People who have changed the world for better</v>
      </c>
      <c r="F1215" s="1" t="str">
        <f ca="1">IFERROR(__xludf.DUMMYFUNCTION("""COMPUTED_VALUE"""),"Yes, I will earn and do that")</f>
        <v>Yes, I will earn and do that</v>
      </c>
      <c r="G1215" s="1" t="str">
        <f ca="1">IFERROR(__xludf.DUMMYFUNCTION("""COMPUTED_VALUE"""),"Will work for 3 years or more")</f>
        <v>Will work for 3 years or more</v>
      </c>
      <c r="H1215" s="1" t="str">
        <f ca="1">IFERROR(__xludf.DUMMYFUNCTION("""COMPUTED_VALUE"""),"No")</f>
        <v>No</v>
      </c>
      <c r="I1215" s="1" t="str">
        <f ca="1">IFERROR(__xludf.DUMMYFUNCTION("""COMPUTED_VALUE"""),"Will NOT work for them")</f>
        <v>Will NOT work for them</v>
      </c>
      <c r="J1215" s="1">
        <f ca="1">IFERROR(__xludf.DUMMYFUNCTION("""COMPUTED_VALUE"""),4)</f>
        <v>4</v>
      </c>
      <c r="K1215" s="1" t="str">
        <f ca="1">IFERROR(__xludf.DUMMYFUNCTION("""COMPUTED_VALUE"""),"Hybrid Working Environment with less than 3 days a month at office")</f>
        <v>Hybrid Working Environment with less than 3 days a month at office</v>
      </c>
      <c r="L1215" s="1" t="str">
        <f ca="1">IFERROR(__xludf.DUMMYFUNCTION("""COMPUTED_VALUE"""),"Employer who rewards learning and enables that environment")</f>
        <v>Employer who rewards learning and enables that environment</v>
      </c>
      <c r="M12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15"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215" s="1" t="str">
        <f ca="1">IFERROR(__xludf.DUMMYFUNCTION("""COMPUTED_VALUE"""),"Manager who explains what is expected, sets a goal and helps achieve it")</f>
        <v>Manager who explains what is expected, sets a goal and helps achieve it</v>
      </c>
      <c r="P1215" s="1" t="str">
        <f ca="1">IFERROR(__xludf.DUMMYFUNCTION("""COMPUTED_VALUE"""),"Work with 7 to 10 or more people in my team")</f>
        <v>Work with 7 to 10 or more people in my team</v>
      </c>
      <c r="Q1215" s="1"/>
    </row>
    <row r="1216" spans="1:17" ht="13.2" x14ac:dyDescent="0.25">
      <c r="A1216" s="2">
        <f ca="1">IFERROR(__xludf.DUMMYFUNCTION("""COMPUTED_VALUE"""),45044.4798212615)</f>
        <v>45044.479821261499</v>
      </c>
      <c r="B1216" s="1" t="str">
        <f ca="1">IFERROR(__xludf.DUMMYFUNCTION("""COMPUTED_VALUE"""),"India")</f>
        <v>India</v>
      </c>
      <c r="C1216" s="1">
        <f ca="1">IFERROR(__xludf.DUMMYFUNCTION("""COMPUTED_VALUE"""),110024)</f>
        <v>110024</v>
      </c>
      <c r="D1216" s="3" t="str">
        <f ca="1">IFERROR(__xludf.DUMMYFUNCTION("""COMPUTED_VALUE"""),"Male")</f>
        <v>Male</v>
      </c>
      <c r="E1216" s="1" t="str">
        <f ca="1">IFERROR(__xludf.DUMMYFUNCTION("""COMPUTED_VALUE"""),"Influencers who had successful careers")</f>
        <v>Influencers who had successful careers</v>
      </c>
      <c r="F1216" s="1" t="str">
        <f ca="1">IFERROR(__xludf.DUMMYFUNCTION("""COMPUTED_VALUE"""),"Yes, I will earn and do that")</f>
        <v>Yes, I will earn and do that</v>
      </c>
      <c r="G1216" s="1" t="str">
        <f ca="1">IFERROR(__xludf.DUMMYFUNCTION("""COMPUTED_VALUE"""),"Will work for 3 years or more")</f>
        <v>Will work for 3 years or more</v>
      </c>
      <c r="H1216" s="1" t="str">
        <f ca="1">IFERROR(__xludf.DUMMYFUNCTION("""COMPUTED_VALUE"""),"No")</f>
        <v>No</v>
      </c>
      <c r="I1216" s="1" t="str">
        <f ca="1">IFERROR(__xludf.DUMMYFUNCTION("""COMPUTED_VALUE"""),"Will NOT work for them")</f>
        <v>Will NOT work for them</v>
      </c>
      <c r="J1216" s="1">
        <f ca="1">IFERROR(__xludf.DUMMYFUNCTION("""COMPUTED_VALUE"""),6)</f>
        <v>6</v>
      </c>
      <c r="K1216" s="1" t="str">
        <f ca="1">IFERROR(__xludf.DUMMYFUNCTION("""COMPUTED_VALUE"""),"Hybrid Working Environment with more than 15 days a month at office")</f>
        <v>Hybrid Working Environment with more than 15 days a month at office</v>
      </c>
      <c r="L1216" s="1" t="str">
        <f ca="1">IFERROR(__xludf.DUMMYFUNCTION("""COMPUTED_VALUE"""),"Employer who pushes your limits by enabling an learning environment, and rewards you at the end")</f>
        <v>Employer who pushes your limits by enabling an learning environment, and rewards you at the end</v>
      </c>
      <c r="M12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1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216" s="1" t="str">
        <f ca="1">IFERROR(__xludf.DUMMYFUNCTION("""COMPUTED_VALUE"""),"Manager who explains what is expected, sets a goal and helps achieve it")</f>
        <v>Manager who explains what is expected, sets a goal and helps achieve it</v>
      </c>
      <c r="P1216" s="1" t="str">
        <f ca="1">IFERROR(__xludf.DUMMYFUNCTION("""COMPUTED_VALUE"""),"Work alone, Work with 5 to 6 people in my team")</f>
        <v>Work alone, Work with 5 to 6 people in my team</v>
      </c>
      <c r="Q1216" s="1"/>
    </row>
    <row r="1217" spans="1:17" ht="13.2" x14ac:dyDescent="0.25">
      <c r="A1217" s="2">
        <f ca="1">IFERROR(__xludf.DUMMYFUNCTION("""COMPUTED_VALUE"""),45044.4799959143)</f>
        <v>45044.479995914298</v>
      </c>
      <c r="B1217" s="1" t="str">
        <f ca="1">IFERROR(__xludf.DUMMYFUNCTION("""COMPUTED_VALUE"""),"India")</f>
        <v>India</v>
      </c>
      <c r="C1217" s="1">
        <f ca="1">IFERROR(__xludf.DUMMYFUNCTION("""COMPUTED_VALUE"""),761001)</f>
        <v>761001</v>
      </c>
      <c r="D1217" s="3" t="str">
        <f ca="1">IFERROR(__xludf.DUMMYFUNCTION("""COMPUTED_VALUE"""),"Male")</f>
        <v>Male</v>
      </c>
      <c r="E1217" s="1" t="str">
        <f ca="1">IFERROR(__xludf.DUMMYFUNCTION("""COMPUTED_VALUE"""),"Social Media like LinkedIn")</f>
        <v>Social Media like LinkedIn</v>
      </c>
      <c r="F1217" s="1" t="str">
        <f ca="1">IFERROR(__xludf.DUMMYFUNCTION("""COMPUTED_VALUE"""),"No I would not be pursuing Higher Education outside of India")</f>
        <v>No I would not be pursuing Higher Education outside of India</v>
      </c>
      <c r="G1217" s="1" t="str">
        <f ca="1">IFERROR(__xludf.DUMMYFUNCTION("""COMPUTED_VALUE"""),"This will be hard to do, but if it is the right company I would try")</f>
        <v>This will be hard to do, but if it is the right company I would try</v>
      </c>
      <c r="H1217" s="1" t="str">
        <f ca="1">IFERROR(__xludf.DUMMYFUNCTION("""COMPUTED_VALUE"""),"No")</f>
        <v>No</v>
      </c>
      <c r="I1217" s="1" t="str">
        <f ca="1">IFERROR(__xludf.DUMMYFUNCTION("""COMPUTED_VALUE"""),"Will NOT work for them")</f>
        <v>Will NOT work for them</v>
      </c>
      <c r="J1217" s="1">
        <f ca="1">IFERROR(__xludf.DUMMYFUNCTION("""COMPUTED_VALUE"""),4)</f>
        <v>4</v>
      </c>
      <c r="K1217" s="1" t="str">
        <f ca="1">IFERROR(__xludf.DUMMYFUNCTION("""COMPUTED_VALUE"""),"Hybrid Working Environment with less than 3 days a month at office")</f>
        <v>Hybrid Working Environment with less than 3 days a month at office</v>
      </c>
      <c r="L1217" s="1" t="str">
        <f ca="1">IFERROR(__xludf.DUMMYFUNCTION("""COMPUTED_VALUE"""),"Employer who appreciates learning and enables that environment")</f>
        <v>Employer who appreciates learning and enables that environment</v>
      </c>
      <c r="M121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1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17" s="1" t="str">
        <f ca="1">IFERROR(__xludf.DUMMYFUNCTION("""COMPUTED_VALUE"""),"Manager who explains what is expected, sets a goal and helps achieve it")</f>
        <v>Manager who explains what is expected, sets a goal and helps achieve it</v>
      </c>
      <c r="P1217" s="1" t="str">
        <f ca="1">IFERROR(__xludf.DUMMYFUNCTION("""COMPUTED_VALUE"""),"Work with 2 to 3 people in my team, Work with 5 to 6 people in my team")</f>
        <v>Work with 2 to 3 people in my team, Work with 5 to 6 people in my team</v>
      </c>
      <c r="Q1217" s="1"/>
    </row>
    <row r="1218" spans="1:17" ht="13.2" x14ac:dyDescent="0.25">
      <c r="A1218" s="2">
        <f ca="1">IFERROR(__xludf.DUMMYFUNCTION("""COMPUTED_VALUE"""),45044.4808344907)</f>
        <v>45044.4808344907</v>
      </c>
      <c r="B1218" s="1" t="str">
        <f ca="1">IFERROR(__xludf.DUMMYFUNCTION("""COMPUTED_VALUE"""),"India")</f>
        <v>India</v>
      </c>
      <c r="C1218" s="1">
        <f ca="1">IFERROR(__xludf.DUMMYFUNCTION("""COMPUTED_VALUE"""),250001)</f>
        <v>250001</v>
      </c>
      <c r="D1218" s="3" t="str">
        <f ca="1">IFERROR(__xludf.DUMMYFUNCTION("""COMPUTED_VALUE"""),"Female")</f>
        <v>Female</v>
      </c>
      <c r="E1218" s="1" t="str">
        <f ca="1">IFERROR(__xludf.DUMMYFUNCTION("""COMPUTED_VALUE"""),"People from my circle, but not family members")</f>
        <v>People from my circle, but not family members</v>
      </c>
      <c r="F1218" s="1" t="str">
        <f ca="1">IFERROR(__xludf.DUMMYFUNCTION("""COMPUTED_VALUE"""),"No I would not be pursuing Higher Education outside of India")</f>
        <v>No I would not be pursuing Higher Education outside of India</v>
      </c>
      <c r="G1218" s="1" t="str">
        <f ca="1">IFERROR(__xludf.DUMMYFUNCTION("""COMPUTED_VALUE"""),"This will be hard to do, but if it is the right company I would try")</f>
        <v>This will be hard to do, but if it is the right company I would try</v>
      </c>
      <c r="H1218" s="1" t="str">
        <f ca="1">IFERROR(__xludf.DUMMYFUNCTION("""COMPUTED_VALUE"""),"No")</f>
        <v>No</v>
      </c>
      <c r="I1218" s="1" t="str">
        <f ca="1">IFERROR(__xludf.DUMMYFUNCTION("""COMPUTED_VALUE"""),"Will NOT work for them")</f>
        <v>Will NOT work for them</v>
      </c>
      <c r="J1218" s="1">
        <f ca="1">IFERROR(__xludf.DUMMYFUNCTION("""COMPUTED_VALUE"""),4)</f>
        <v>4</v>
      </c>
      <c r="K1218" s="1" t="str">
        <f ca="1">IFERROR(__xludf.DUMMYFUNCTION("""COMPUTED_VALUE"""),"Every Day Office Environment")</f>
        <v>Every Day Office Environment</v>
      </c>
      <c r="L1218" s="1" t="str">
        <f ca="1">IFERROR(__xludf.DUMMYFUNCTION("""COMPUTED_VALUE"""),"Employer who pushes your limits by enabling an learning environment, and rewards you at the end")</f>
        <v>Employer who pushes your limits by enabling an learning environment, and rewards you at the end</v>
      </c>
      <c r="M12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18" s="1" t="str">
        <f ca="1">IFERROR(__xludf.DUMMYFUNCTION("""COMPUTED_VALUE"""),"Manager who explains what is expected, sets a goal and helps achieve it")</f>
        <v>Manager who explains what is expected, sets a goal and helps achieve it</v>
      </c>
      <c r="P1218" s="1" t="str">
        <f ca="1">IFERROR(__xludf.DUMMYFUNCTION("""COMPUTED_VALUE"""),"Work with 5 to 6 people in my team")</f>
        <v>Work with 5 to 6 people in my team</v>
      </c>
      <c r="Q1218" s="1"/>
    </row>
    <row r="1219" spans="1:17" ht="13.2" x14ac:dyDescent="0.25">
      <c r="A1219" s="2">
        <f ca="1">IFERROR(__xludf.DUMMYFUNCTION("""COMPUTED_VALUE"""),45044.48531478)</f>
        <v>45044.485314780002</v>
      </c>
      <c r="B1219" s="1" t="str">
        <f ca="1">IFERROR(__xludf.DUMMYFUNCTION("""COMPUTED_VALUE"""),"India")</f>
        <v>India</v>
      </c>
      <c r="C1219" s="1">
        <f ca="1">IFERROR(__xludf.DUMMYFUNCTION("""COMPUTED_VALUE"""),500085)</f>
        <v>500085</v>
      </c>
      <c r="D1219" s="3" t="str">
        <f ca="1">IFERROR(__xludf.DUMMYFUNCTION("""COMPUTED_VALUE"""),"Female")</f>
        <v>Female</v>
      </c>
      <c r="E1219" s="1" t="str">
        <f ca="1">IFERROR(__xludf.DUMMYFUNCTION("""COMPUTED_VALUE"""),"My Parents")</f>
        <v>My Parents</v>
      </c>
      <c r="F1219" s="1" t="str">
        <f ca="1">IFERROR(__xludf.DUMMYFUNCTION("""COMPUTED_VALUE"""),"No I would not be pursuing Higher Education outside of India")</f>
        <v>No I would not be pursuing Higher Education outside of India</v>
      </c>
      <c r="G1219" s="1" t="str">
        <f ca="1">IFERROR(__xludf.DUMMYFUNCTION("""COMPUTED_VALUE"""),"Will work for 3 years or more")</f>
        <v>Will work for 3 years or more</v>
      </c>
      <c r="H1219" s="1" t="str">
        <f ca="1">IFERROR(__xludf.DUMMYFUNCTION("""COMPUTED_VALUE"""),"No")</f>
        <v>No</v>
      </c>
      <c r="I1219" s="1" t="str">
        <f ca="1">IFERROR(__xludf.DUMMYFUNCTION("""COMPUTED_VALUE"""),"Will work for them")</f>
        <v>Will work for them</v>
      </c>
      <c r="J1219" s="1">
        <f ca="1">IFERROR(__xludf.DUMMYFUNCTION("""COMPUTED_VALUE"""),6)</f>
        <v>6</v>
      </c>
      <c r="K1219" s="1" t="str">
        <f ca="1">IFERROR(__xludf.DUMMYFUNCTION("""COMPUTED_VALUE"""),"Fully Remote with No option to visit offices")</f>
        <v>Fully Remote with No option to visit offices</v>
      </c>
      <c r="L1219" s="1" t="str">
        <f ca="1">IFERROR(__xludf.DUMMYFUNCTION("""COMPUTED_VALUE"""),"Employer who pushes your limits by enabling an learning environment, and rewards you at the end")</f>
        <v>Employer who pushes your limits by enabling an learning environment, and rewards you at the end</v>
      </c>
      <c r="M121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19"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219" s="1" t="str">
        <f ca="1">IFERROR(__xludf.DUMMYFUNCTION("""COMPUTED_VALUE"""),"Manager who explains what is expected, sets a goal and helps achieve it")</f>
        <v>Manager who explains what is expected, sets a goal and helps achieve it</v>
      </c>
      <c r="P1219" s="1" t="str">
        <f ca="1">IFERROR(__xludf.DUMMYFUNCTION("""COMPUTED_VALUE"""),"Work with 2 to 3 people in my team")</f>
        <v>Work with 2 to 3 people in my team</v>
      </c>
      <c r="Q1219" s="1"/>
    </row>
    <row r="1220" spans="1:17" ht="13.2" x14ac:dyDescent="0.25">
      <c r="A1220" s="2">
        <f ca="1">IFERROR(__xludf.DUMMYFUNCTION("""COMPUTED_VALUE"""),45044.4863860763)</f>
        <v>45044.4863860763</v>
      </c>
      <c r="B1220" s="1" t="str">
        <f ca="1">IFERROR(__xludf.DUMMYFUNCTION("""COMPUTED_VALUE"""),"India")</f>
        <v>India</v>
      </c>
      <c r="C1220" s="1">
        <f ca="1">IFERROR(__xludf.DUMMYFUNCTION("""COMPUTED_VALUE"""),700086)</f>
        <v>700086</v>
      </c>
      <c r="D1220" s="3" t="str">
        <f ca="1">IFERROR(__xludf.DUMMYFUNCTION("""COMPUTED_VALUE"""),"Male")</f>
        <v>Male</v>
      </c>
      <c r="E1220" s="1" t="str">
        <f ca="1">IFERROR(__xludf.DUMMYFUNCTION("""COMPUTED_VALUE"""),"People who have changed the world for better")</f>
        <v>People who have changed the world for better</v>
      </c>
      <c r="F1220" s="1" t="str">
        <f ca="1">IFERROR(__xludf.DUMMYFUNCTION("""COMPUTED_VALUE"""),"Yes, I will earn and do that")</f>
        <v>Yes, I will earn and do that</v>
      </c>
      <c r="G1220" s="1" t="str">
        <f ca="1">IFERROR(__xludf.DUMMYFUNCTION("""COMPUTED_VALUE"""),"Will work for 3 years or more")</f>
        <v>Will work for 3 years or more</v>
      </c>
      <c r="H1220" s="1" t="str">
        <f ca="1">IFERROR(__xludf.DUMMYFUNCTION("""COMPUTED_VALUE"""),"No")</f>
        <v>No</v>
      </c>
      <c r="I1220" s="1" t="str">
        <f ca="1">IFERROR(__xludf.DUMMYFUNCTION("""COMPUTED_VALUE"""),"Will NOT work for them")</f>
        <v>Will NOT work for them</v>
      </c>
      <c r="J1220" s="1">
        <f ca="1">IFERROR(__xludf.DUMMYFUNCTION("""COMPUTED_VALUE"""),1)</f>
        <v>1</v>
      </c>
      <c r="K1220" s="1" t="str">
        <f ca="1">IFERROR(__xludf.DUMMYFUNCTION("""COMPUTED_VALUE"""),"Fully Remote with Options to travel as and when needed")</f>
        <v>Fully Remote with Options to travel as and when needed</v>
      </c>
      <c r="L1220" s="1" t="str">
        <f ca="1">IFERROR(__xludf.DUMMYFUNCTION("""COMPUTED_VALUE"""),"Employer who appreciates learning and enables that environment")</f>
        <v>Employer who appreciates learning and enables that environment</v>
      </c>
      <c r="M122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0"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1220" s="1" t="str">
        <f ca="1">IFERROR(__xludf.DUMMYFUNCTION("""COMPUTED_VALUE"""),"Manager who explains what is expected, sets a goal and helps achieve it")</f>
        <v>Manager who explains what is expected, sets a goal and helps achieve it</v>
      </c>
      <c r="P122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20" s="1"/>
    </row>
    <row r="1221" spans="1:17" ht="13.2" x14ac:dyDescent="0.25">
      <c r="A1221" s="2">
        <f ca="1">IFERROR(__xludf.DUMMYFUNCTION("""COMPUTED_VALUE"""),45044.488231655)</f>
        <v>45044.488231654999</v>
      </c>
      <c r="B1221" s="1" t="str">
        <f ca="1">IFERROR(__xludf.DUMMYFUNCTION("""COMPUTED_VALUE"""),"India")</f>
        <v>India</v>
      </c>
      <c r="C1221" s="1">
        <f ca="1">IFERROR(__xludf.DUMMYFUNCTION("""COMPUTED_VALUE"""),500097)</f>
        <v>500097</v>
      </c>
      <c r="D1221" s="3" t="str">
        <f ca="1">IFERROR(__xludf.DUMMYFUNCTION("""COMPUTED_VALUE"""),"Female")</f>
        <v>Female</v>
      </c>
      <c r="E1221" s="1" t="str">
        <f ca="1">IFERROR(__xludf.DUMMYFUNCTION("""COMPUTED_VALUE"""),"My Parents")</f>
        <v>My Parents</v>
      </c>
      <c r="F1221" s="1" t="str">
        <f ca="1">IFERROR(__xludf.DUMMYFUNCTION("""COMPUTED_VALUE"""),"Yes, I will earn and do that")</f>
        <v>Yes, I will earn and do that</v>
      </c>
      <c r="G1221" s="1" t="str">
        <f ca="1">IFERROR(__xludf.DUMMYFUNCTION("""COMPUTED_VALUE"""),"This will be hard to do, but if it is the right company I would try")</f>
        <v>This will be hard to do, but if it is the right company I would try</v>
      </c>
      <c r="H1221" s="1" t="str">
        <f ca="1">IFERROR(__xludf.DUMMYFUNCTION("""COMPUTED_VALUE"""),"Yes")</f>
        <v>Yes</v>
      </c>
      <c r="I1221" s="1" t="str">
        <f ca="1">IFERROR(__xludf.DUMMYFUNCTION("""COMPUTED_VALUE"""),"Will NOT work for them")</f>
        <v>Will NOT work for them</v>
      </c>
      <c r="J1221" s="1">
        <f ca="1">IFERROR(__xludf.DUMMYFUNCTION("""COMPUTED_VALUE"""),8)</f>
        <v>8</v>
      </c>
      <c r="K1221" s="1" t="str">
        <f ca="1">IFERROR(__xludf.DUMMYFUNCTION("""COMPUTED_VALUE"""),"Hybrid Working Environment with less than 3 days a month at office")</f>
        <v>Hybrid Working Environment with less than 3 days a month at office</v>
      </c>
      <c r="L1221" s="1" t="str">
        <f ca="1">IFERROR(__xludf.DUMMYFUNCTION("""COMPUTED_VALUE"""),"Employer who pushes your limits by enabling an learning environment, and rewards you at the end")</f>
        <v>Employer who pushes your limits by enabling an learning environment, and rewards you at the end</v>
      </c>
      <c r="M122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2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221" s="1" t="str">
        <f ca="1">IFERROR(__xludf.DUMMYFUNCTION("""COMPUTED_VALUE"""),"Manager who explains what is expected, sets a goal and helps achieve it")</f>
        <v>Manager who explains what is expected, sets a goal and helps achieve it</v>
      </c>
      <c r="P1221" s="1" t="str">
        <f ca="1">IFERROR(__xludf.DUMMYFUNCTION("""COMPUTED_VALUE"""),"Work with 7 to 10 or more people in my team, Work with more than 10 people in my team")</f>
        <v>Work with 7 to 10 or more people in my team, Work with more than 10 people in my team</v>
      </c>
      <c r="Q1221" s="1"/>
    </row>
    <row r="1222" spans="1:17" ht="13.2" x14ac:dyDescent="0.25">
      <c r="A1222" s="2">
        <f ca="1">IFERROR(__xludf.DUMMYFUNCTION("""COMPUTED_VALUE"""),45044.4908901851)</f>
        <v>45044.490890185101</v>
      </c>
      <c r="B1222" s="1" t="str">
        <f ca="1">IFERROR(__xludf.DUMMYFUNCTION("""COMPUTED_VALUE"""),"India")</f>
        <v>India</v>
      </c>
      <c r="C1222" s="1">
        <f ca="1">IFERROR(__xludf.DUMMYFUNCTION("""COMPUTED_VALUE"""),826004)</f>
        <v>826004</v>
      </c>
      <c r="D1222" s="3" t="str">
        <f ca="1">IFERROR(__xludf.DUMMYFUNCTION("""COMPUTED_VALUE"""),"Male")</f>
        <v>Male</v>
      </c>
      <c r="E1222" s="1" t="str">
        <f ca="1">IFERROR(__xludf.DUMMYFUNCTION("""COMPUTED_VALUE"""),"Influencers who had successful careers")</f>
        <v>Influencers who had successful careers</v>
      </c>
      <c r="F1222" s="1" t="str">
        <f ca="1">IFERROR(__xludf.DUMMYFUNCTION("""COMPUTED_VALUE"""),"Yes, I will earn and do that")</f>
        <v>Yes, I will earn and do that</v>
      </c>
      <c r="G1222" s="1" t="str">
        <f ca="1">IFERROR(__xludf.DUMMYFUNCTION("""COMPUTED_VALUE"""),"This will be hard to do, but if it is the right company I would try")</f>
        <v>This will be hard to do, but if it is the right company I would try</v>
      </c>
      <c r="H1222" s="1" t="str">
        <f ca="1">IFERROR(__xludf.DUMMYFUNCTION("""COMPUTED_VALUE"""),"No")</f>
        <v>No</v>
      </c>
      <c r="I1222" s="1" t="str">
        <f ca="1">IFERROR(__xludf.DUMMYFUNCTION("""COMPUTED_VALUE"""),"Will NOT work for them")</f>
        <v>Will NOT work for them</v>
      </c>
      <c r="J1222" s="1">
        <f ca="1">IFERROR(__xludf.DUMMYFUNCTION("""COMPUTED_VALUE"""),6)</f>
        <v>6</v>
      </c>
      <c r="K1222" s="1" t="str">
        <f ca="1">IFERROR(__xludf.DUMMYFUNCTION("""COMPUTED_VALUE"""),"Hybrid Working Environment with less than 3 days a month at office")</f>
        <v>Hybrid Working Environment with less than 3 days a month at office</v>
      </c>
      <c r="L1222" s="1" t="str">
        <f ca="1">IFERROR(__xludf.DUMMYFUNCTION("""COMPUTED_VALUE"""),"Employer who pushes your limits by enabling an learning environment, and rewards you at the end")</f>
        <v>Employer who pushes your limits by enabling an learning environment, and rewards you at the end</v>
      </c>
      <c r="M122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22"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1222" s="1" t="str">
        <f ca="1">IFERROR(__xludf.DUMMYFUNCTION("""COMPUTED_VALUE"""),"Manager who clearly describes what she/he needs")</f>
        <v>Manager who clearly describes what she/he needs</v>
      </c>
      <c r="P1222" s="1" t="str">
        <f ca="1">IFERROR(__xludf.DUMMYFUNCTION("""COMPUTED_VALUE"""),"Work alone, Work with 2 to 3 people in my team, Work with 5 to 6 people in my team")</f>
        <v>Work alone, Work with 2 to 3 people in my team, Work with 5 to 6 people in my team</v>
      </c>
      <c r="Q1222" s="1"/>
    </row>
    <row r="1223" spans="1:17" ht="13.2" x14ac:dyDescent="0.25">
      <c r="A1223" s="2">
        <f ca="1">IFERROR(__xludf.DUMMYFUNCTION("""COMPUTED_VALUE"""),45044.4931255092)</f>
        <v>45044.493125509201</v>
      </c>
      <c r="B1223" s="1" t="str">
        <f ca="1">IFERROR(__xludf.DUMMYFUNCTION("""COMPUTED_VALUE"""),"India")</f>
        <v>India</v>
      </c>
      <c r="C1223" s="1">
        <f ca="1">IFERROR(__xludf.DUMMYFUNCTION("""COMPUTED_VALUE"""),414003)</f>
        <v>414003</v>
      </c>
      <c r="D1223" s="3" t="str">
        <f ca="1">IFERROR(__xludf.DUMMYFUNCTION("""COMPUTED_VALUE"""),"Male")</f>
        <v>Male</v>
      </c>
      <c r="E1223" s="1" t="str">
        <f ca="1">IFERROR(__xludf.DUMMYFUNCTION("""COMPUTED_VALUE"""),"People from my circle, but not family members")</f>
        <v>People from my circle, but not family members</v>
      </c>
      <c r="F1223" s="1" t="str">
        <f ca="1">IFERROR(__xludf.DUMMYFUNCTION("""COMPUTED_VALUE"""),"Yes, I will earn and do that")</f>
        <v>Yes, I will earn and do that</v>
      </c>
      <c r="G1223" s="1" t="str">
        <f ca="1">IFERROR(__xludf.DUMMYFUNCTION("""COMPUTED_VALUE"""),"This will be hard to do, but if it is the right company I would try")</f>
        <v>This will be hard to do, but if it is the right company I would try</v>
      </c>
      <c r="H1223" s="1" t="str">
        <f ca="1">IFERROR(__xludf.DUMMYFUNCTION("""COMPUTED_VALUE"""),"No")</f>
        <v>No</v>
      </c>
      <c r="I1223" s="1" t="str">
        <f ca="1">IFERROR(__xludf.DUMMYFUNCTION("""COMPUTED_VALUE"""),"Will NOT work for them")</f>
        <v>Will NOT work for them</v>
      </c>
      <c r="J1223" s="1">
        <f ca="1">IFERROR(__xludf.DUMMYFUNCTION("""COMPUTED_VALUE"""),10)</f>
        <v>10</v>
      </c>
      <c r="K1223" s="1" t="str">
        <f ca="1">IFERROR(__xludf.DUMMYFUNCTION("""COMPUTED_VALUE"""),"Fully Remote with Options to travel as and when needed")</f>
        <v>Fully Remote with Options to travel as and when needed</v>
      </c>
      <c r="L1223" s="1" t="str">
        <f ca="1">IFERROR(__xludf.DUMMYFUNCTION("""COMPUTED_VALUE"""),"Employer who pushes your limits by enabling an learning environment, and rewards you at the end")</f>
        <v>Employer who pushes your limits by enabling an learning environment, and rewards you at the end</v>
      </c>
      <c r="M122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23"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223" s="1" t="str">
        <f ca="1">IFERROR(__xludf.DUMMYFUNCTION("""COMPUTED_VALUE"""),"Manager who explains what is expected, sets a goal and helps achieve it")</f>
        <v>Manager who explains what is expected, sets a goal and helps achieve it</v>
      </c>
      <c r="P1223" s="1" t="str">
        <f ca="1">IFERROR(__xludf.DUMMYFUNCTION("""COMPUTED_VALUE"""),"Work with 2 to 3 people in my team, Work with 5 to 6 people in my team")</f>
        <v>Work with 2 to 3 people in my team, Work with 5 to 6 people in my team</v>
      </c>
      <c r="Q1223" s="1"/>
    </row>
    <row r="1224" spans="1:17" ht="13.2" x14ac:dyDescent="0.25">
      <c r="A1224" s="2">
        <f ca="1">IFERROR(__xludf.DUMMYFUNCTION("""COMPUTED_VALUE"""),45044.4962846527)</f>
        <v>45044.496284652698</v>
      </c>
      <c r="B1224" s="1" t="str">
        <f ca="1">IFERROR(__xludf.DUMMYFUNCTION("""COMPUTED_VALUE"""),"India")</f>
        <v>India</v>
      </c>
      <c r="C1224" s="1">
        <f ca="1">IFERROR(__xludf.DUMMYFUNCTION("""COMPUTED_VALUE"""),500084)</f>
        <v>500084</v>
      </c>
      <c r="D1224" s="3" t="str">
        <f ca="1">IFERROR(__xludf.DUMMYFUNCTION("""COMPUTED_VALUE"""),"Female")</f>
        <v>Female</v>
      </c>
      <c r="E1224" s="1" t="str">
        <f ca="1">IFERROR(__xludf.DUMMYFUNCTION("""COMPUTED_VALUE"""),"My Parents")</f>
        <v>My Parents</v>
      </c>
      <c r="F1224" s="1" t="str">
        <f ca="1">IFERROR(__xludf.DUMMYFUNCTION("""COMPUTED_VALUE"""),"No I would not be pursuing Higher Education outside of India")</f>
        <v>No I would not be pursuing Higher Education outside of India</v>
      </c>
      <c r="G1224" s="1" t="str">
        <f ca="1">IFERROR(__xludf.DUMMYFUNCTION("""COMPUTED_VALUE"""),"This will be hard to do, but if it is the right company I would try")</f>
        <v>This will be hard to do, but if it is the right company I would try</v>
      </c>
      <c r="H1224" s="1" t="str">
        <f ca="1">IFERROR(__xludf.DUMMYFUNCTION("""COMPUTED_VALUE"""),"No")</f>
        <v>No</v>
      </c>
      <c r="I1224" s="1" t="str">
        <f ca="1">IFERROR(__xludf.DUMMYFUNCTION("""COMPUTED_VALUE"""),"Will NOT work for them")</f>
        <v>Will NOT work for them</v>
      </c>
      <c r="J1224" s="1">
        <f ca="1">IFERROR(__xludf.DUMMYFUNCTION("""COMPUTED_VALUE"""),1)</f>
        <v>1</v>
      </c>
      <c r="K1224" s="1" t="str">
        <f ca="1">IFERROR(__xludf.DUMMYFUNCTION("""COMPUTED_VALUE"""),"Hybrid Working Environment with more than 15 days a month at office")</f>
        <v>Hybrid Working Environment with more than 15 days a month at office</v>
      </c>
      <c r="L1224" s="1" t="str">
        <f ca="1">IFERROR(__xludf.DUMMYFUNCTION("""COMPUTED_VALUE"""),"Employer who pushes your limits by enabling an learning environment, and rewards you at the end")</f>
        <v>Employer who pushes your limits by enabling an learning environment, and rewards you at the end</v>
      </c>
      <c r="M12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4" s="1" t="str">
        <f ca="1">IFERROR(__xludf.DUMMYFUNCTION("""COMPUTED_VALUE"""),"Design and Creative strategy in any company, Manage and drive End-to-End Projects or Products, Look deeply into Data and generate insights, I Want to sell things/Sales")</f>
        <v>Design and Creative strategy in any company, Manage and drive End-to-End Projects or Products, Look deeply into Data and generate insights, I Want to sell things/Sales</v>
      </c>
      <c r="O1224" s="1" t="str">
        <f ca="1">IFERROR(__xludf.DUMMYFUNCTION("""COMPUTED_VALUE"""),"Manager who explains what is expected, sets a goal and helps achieve it")</f>
        <v>Manager who explains what is expected, sets a goal and helps achieve it</v>
      </c>
      <c r="P1224" s="1" t="str">
        <f ca="1">IFERROR(__xludf.DUMMYFUNCTION("""COMPUTED_VALUE"""),"Work with 7 to 10 or more people in my team")</f>
        <v>Work with 7 to 10 or more people in my team</v>
      </c>
      <c r="Q1224" s="1"/>
    </row>
    <row r="1225" spans="1:17" ht="13.2" x14ac:dyDescent="0.25">
      <c r="A1225" s="2">
        <f ca="1">IFERROR(__xludf.DUMMYFUNCTION("""COMPUTED_VALUE"""),45044.4968635879)</f>
        <v>45044.496863587898</v>
      </c>
      <c r="B1225" s="1" t="str">
        <f ca="1">IFERROR(__xludf.DUMMYFUNCTION("""COMPUTED_VALUE"""),"India")</f>
        <v>India</v>
      </c>
      <c r="C1225" s="1">
        <f ca="1">IFERROR(__xludf.DUMMYFUNCTION("""COMPUTED_VALUE"""),560091)</f>
        <v>560091</v>
      </c>
      <c r="D1225" s="3" t="str">
        <f ca="1">IFERROR(__xludf.DUMMYFUNCTION("""COMPUTED_VALUE"""),"Female")</f>
        <v>Female</v>
      </c>
      <c r="E1225" s="1" t="str">
        <f ca="1">IFERROR(__xludf.DUMMYFUNCTION("""COMPUTED_VALUE"""),"Influencers who had successful careers")</f>
        <v>Influencers who had successful careers</v>
      </c>
      <c r="F1225" s="1" t="str">
        <f ca="1">IFERROR(__xludf.DUMMYFUNCTION("""COMPUTED_VALUE"""),"No I would not be pursuing Higher Education outside of India")</f>
        <v>No I would not be pursuing Higher Education outside of India</v>
      </c>
      <c r="G1225" s="1" t="str">
        <f ca="1">IFERROR(__xludf.DUMMYFUNCTION("""COMPUTED_VALUE"""),"Will work for 3 years or more")</f>
        <v>Will work for 3 years or more</v>
      </c>
      <c r="H1225" s="1" t="str">
        <f ca="1">IFERROR(__xludf.DUMMYFUNCTION("""COMPUTED_VALUE"""),"No")</f>
        <v>No</v>
      </c>
      <c r="I1225" s="1" t="str">
        <f ca="1">IFERROR(__xludf.DUMMYFUNCTION("""COMPUTED_VALUE"""),"Will NOT work for them")</f>
        <v>Will NOT work for them</v>
      </c>
      <c r="J1225" s="1">
        <f ca="1">IFERROR(__xludf.DUMMYFUNCTION("""COMPUTED_VALUE"""),5)</f>
        <v>5</v>
      </c>
      <c r="K1225" s="1" t="str">
        <f ca="1">IFERROR(__xludf.DUMMYFUNCTION("""COMPUTED_VALUE"""),"Hybrid Working Environment with more than 15 days a month at office")</f>
        <v>Hybrid Working Environment with more than 15 days a month at office</v>
      </c>
      <c r="L1225" s="1" t="str">
        <f ca="1">IFERROR(__xludf.DUMMYFUNCTION("""COMPUTED_VALUE"""),"Employer who appreciates learning and enables that environment")</f>
        <v>Employer who appreciates learning and enables that environment</v>
      </c>
      <c r="M12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1225" s="1" t="str">
        <f ca="1">IFERROR(__xludf.DUMMYFUNCTION("""COMPUTED_VALUE"""),"Manager who clearly describes what she/he needs")</f>
        <v>Manager who clearly describes what she/he needs</v>
      </c>
      <c r="P1225" s="1" t="str">
        <f ca="1">IFERROR(__xludf.DUMMYFUNCTION("""COMPUTED_VALUE"""),"Work with 5 to 6 people in my team")</f>
        <v>Work with 5 to 6 people in my team</v>
      </c>
      <c r="Q1225" s="1"/>
    </row>
    <row r="1226" spans="1:17" ht="13.2" x14ac:dyDescent="0.25">
      <c r="A1226" s="2">
        <f ca="1">IFERROR(__xludf.DUMMYFUNCTION("""COMPUTED_VALUE"""),45044.4985857407)</f>
        <v>45044.498585740701</v>
      </c>
      <c r="B1226" s="1" t="str">
        <f ca="1">IFERROR(__xludf.DUMMYFUNCTION("""COMPUTED_VALUE"""),"India")</f>
        <v>India</v>
      </c>
      <c r="C1226" s="1">
        <f ca="1">IFERROR(__xludf.DUMMYFUNCTION("""COMPUTED_VALUE"""),560062)</f>
        <v>560062</v>
      </c>
      <c r="D1226" s="3" t="str">
        <f ca="1">IFERROR(__xludf.DUMMYFUNCTION("""COMPUTED_VALUE"""),"Male")</f>
        <v>Male</v>
      </c>
      <c r="E1226" s="1" t="str">
        <f ca="1">IFERROR(__xludf.DUMMYFUNCTION("""COMPUTED_VALUE"""),"Influencers who had successful careers")</f>
        <v>Influencers who had successful careers</v>
      </c>
      <c r="F1226" s="1" t="str">
        <f ca="1">IFERROR(__xludf.DUMMYFUNCTION("""COMPUTED_VALUE"""),"No I would not be pursuing Higher Education outside of India")</f>
        <v>No I would not be pursuing Higher Education outside of India</v>
      </c>
      <c r="G1226" s="1" t="str">
        <f ca="1">IFERROR(__xludf.DUMMYFUNCTION("""COMPUTED_VALUE"""),"Will work for 3 years or more")</f>
        <v>Will work for 3 years or more</v>
      </c>
      <c r="H1226" s="1" t="str">
        <f ca="1">IFERROR(__xludf.DUMMYFUNCTION("""COMPUTED_VALUE"""),"No")</f>
        <v>No</v>
      </c>
      <c r="I1226" s="1" t="str">
        <f ca="1">IFERROR(__xludf.DUMMYFUNCTION("""COMPUTED_VALUE"""),"Will NOT work for them")</f>
        <v>Will NOT work for them</v>
      </c>
      <c r="J1226" s="1">
        <f ca="1">IFERROR(__xludf.DUMMYFUNCTION("""COMPUTED_VALUE"""),5)</f>
        <v>5</v>
      </c>
      <c r="K1226" s="1" t="str">
        <f ca="1">IFERROR(__xludf.DUMMYFUNCTION("""COMPUTED_VALUE"""),"Hybrid Working Environment with more than 15 days a month at office")</f>
        <v>Hybrid Working Environment with more than 15 days a month at office</v>
      </c>
      <c r="L1226" s="1" t="str">
        <f ca="1">IFERROR(__xludf.DUMMYFUNCTION("""COMPUTED_VALUE"""),"Employer who pushes your limits by enabling an learning environment, and rewards you at the end")</f>
        <v>Employer who pushes your limits by enabling an learning environment, and rewards you at the end</v>
      </c>
      <c r="M1226" s="1" t="str">
        <f ca="1">IFERROR(__xludf.DUMMYFUNCTION("""COMPUTED_VALUE"""),"Self Paced Learning Portals of the Company, Learning by observing others, Manager Teaching you")</f>
        <v>Self Paced Learning Portals of the Company, Learning by observing others, Manager Teaching you</v>
      </c>
      <c r="N1226" s="1" t="str">
        <f ca="1">IFERROR(__xludf.DUMMYFUNCTION("""COMPUTED_VALUE"""),"Design and Creative strategy in any company, Build and develop a Team, Entrepreneur or Start Up, I Want to sell things/Sales")</f>
        <v>Design and Creative strategy in any company, Build and develop a Team, Entrepreneur or Start Up, I Want to sell things/Sales</v>
      </c>
      <c r="O1226" s="1" t="str">
        <f ca="1">IFERROR(__xludf.DUMMYFUNCTION("""COMPUTED_VALUE"""),"Manager who explains what is expected, sets a goal and helps achieve it")</f>
        <v>Manager who explains what is expected, sets a goal and helps achieve it</v>
      </c>
      <c r="P1226" s="1" t="str">
        <f ca="1">IFERROR(__xludf.DUMMYFUNCTION("""COMPUTED_VALUE"""),"Work with 5 to 6 people in my team")</f>
        <v>Work with 5 to 6 people in my team</v>
      </c>
      <c r="Q1226" s="1"/>
    </row>
    <row r="1227" spans="1:17" ht="13.2" x14ac:dyDescent="0.25">
      <c r="A1227" s="2">
        <f ca="1">IFERROR(__xludf.DUMMYFUNCTION("""COMPUTED_VALUE"""),45044.5015157754)</f>
        <v>45044.501515775402</v>
      </c>
      <c r="B1227" s="1" t="str">
        <f ca="1">IFERROR(__xludf.DUMMYFUNCTION("""COMPUTED_VALUE"""),"India")</f>
        <v>India</v>
      </c>
      <c r="C1227" s="1">
        <f ca="1">IFERROR(__xludf.DUMMYFUNCTION("""COMPUTED_VALUE"""),700053)</f>
        <v>700053</v>
      </c>
      <c r="D1227" s="3" t="str">
        <f ca="1">IFERROR(__xludf.DUMMYFUNCTION("""COMPUTED_VALUE"""),"Male")</f>
        <v>Male</v>
      </c>
      <c r="E1227" s="1" t="str">
        <f ca="1">IFERROR(__xludf.DUMMYFUNCTION("""COMPUTED_VALUE"""),"People who have changed the world for better")</f>
        <v>People who have changed the world for better</v>
      </c>
      <c r="F1227" s="1" t="str">
        <f ca="1">IFERROR(__xludf.DUMMYFUNCTION("""COMPUTED_VALUE"""),"No, But if someone could bare the cost I will")</f>
        <v>No, But if someone could bare the cost I will</v>
      </c>
      <c r="G1227" s="1" t="str">
        <f ca="1">IFERROR(__xludf.DUMMYFUNCTION("""COMPUTED_VALUE"""),"This will be hard to do, but if it is the right company I would try")</f>
        <v>This will be hard to do, but if it is the right company I would try</v>
      </c>
      <c r="H1227" s="1" t="str">
        <f ca="1">IFERROR(__xludf.DUMMYFUNCTION("""COMPUTED_VALUE"""),"No")</f>
        <v>No</v>
      </c>
      <c r="I1227" s="1" t="str">
        <f ca="1">IFERROR(__xludf.DUMMYFUNCTION("""COMPUTED_VALUE"""),"Will NOT work for them")</f>
        <v>Will NOT work for them</v>
      </c>
      <c r="J1227" s="1">
        <f ca="1">IFERROR(__xludf.DUMMYFUNCTION("""COMPUTED_VALUE"""),4)</f>
        <v>4</v>
      </c>
      <c r="K1227" s="1" t="str">
        <f ca="1">IFERROR(__xludf.DUMMYFUNCTION("""COMPUTED_VALUE"""),"Hybrid Working Environment with more than 15 days a month at office")</f>
        <v>Hybrid Working Environment with more than 15 days a month at office</v>
      </c>
      <c r="L1227" s="1" t="str">
        <f ca="1">IFERROR(__xludf.DUMMYFUNCTION("""COMPUTED_VALUE"""),"Employer who rewards learning and enables that environment")</f>
        <v>Employer who rewards learning and enables that environment</v>
      </c>
      <c r="M122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27" s="1" t="str">
        <f ca="1">IFERROR(__xludf.DUMMYFUNCTION("""COMPUTED_VALUE"""),"Design and Creative strategy in any company, Manage and drive End-to-End Projects or Products, Build and develop a Team, I Want to sell things/Sales")</f>
        <v>Design and Creative strategy in any company, Manage and drive End-to-End Projects or Products, Build and develop a Team, I Want to sell things/Sales</v>
      </c>
      <c r="O1227" s="1" t="str">
        <f ca="1">IFERROR(__xludf.DUMMYFUNCTION("""COMPUTED_VALUE"""),"Manager who explains what is expected, sets a goal and helps achieve it")</f>
        <v>Manager who explains what is expected, sets a goal and helps achieve it</v>
      </c>
      <c r="P1227" s="1" t="str">
        <f ca="1">IFERROR(__xludf.DUMMYFUNCTION("""COMPUTED_VALUE"""),"Work with 5 to 6 people in my team")</f>
        <v>Work with 5 to 6 people in my team</v>
      </c>
      <c r="Q1227" s="1"/>
    </row>
    <row r="1228" spans="1:17" ht="13.2" x14ac:dyDescent="0.25">
      <c r="A1228" s="2">
        <f ca="1">IFERROR(__xludf.DUMMYFUNCTION("""COMPUTED_VALUE"""),45044.5103634259)</f>
        <v>45044.510363425899</v>
      </c>
      <c r="B1228" s="1" t="str">
        <f ca="1">IFERROR(__xludf.DUMMYFUNCTION("""COMPUTED_VALUE"""),"India")</f>
        <v>India</v>
      </c>
      <c r="C1228" s="1">
        <f ca="1">IFERROR(__xludf.DUMMYFUNCTION("""COMPUTED_VALUE"""),570031)</f>
        <v>570031</v>
      </c>
      <c r="D1228" s="3" t="str">
        <f ca="1">IFERROR(__xludf.DUMMYFUNCTION("""COMPUTED_VALUE"""),"Female")</f>
        <v>Female</v>
      </c>
      <c r="E1228" s="1" t="str">
        <f ca="1">IFERROR(__xludf.DUMMYFUNCTION("""COMPUTED_VALUE"""),"Influencers who had successful careers")</f>
        <v>Influencers who had successful careers</v>
      </c>
      <c r="F1228" s="1" t="str">
        <f ca="1">IFERROR(__xludf.DUMMYFUNCTION("""COMPUTED_VALUE"""),"No I would not be pursuing Higher Education outside of India")</f>
        <v>No I would not be pursuing Higher Education outside of India</v>
      </c>
      <c r="G1228" s="1" t="str">
        <f ca="1">IFERROR(__xludf.DUMMYFUNCTION("""COMPUTED_VALUE"""),"Will work for 3 years or more")</f>
        <v>Will work for 3 years or more</v>
      </c>
      <c r="H1228" s="1" t="str">
        <f ca="1">IFERROR(__xludf.DUMMYFUNCTION("""COMPUTED_VALUE"""),"Yes")</f>
        <v>Yes</v>
      </c>
      <c r="I1228" s="1" t="str">
        <f ca="1">IFERROR(__xludf.DUMMYFUNCTION("""COMPUTED_VALUE"""),"Will work for them")</f>
        <v>Will work for them</v>
      </c>
      <c r="J1228" s="1">
        <f ca="1">IFERROR(__xludf.DUMMYFUNCTION("""COMPUTED_VALUE"""),5)</f>
        <v>5</v>
      </c>
      <c r="K1228" s="1" t="str">
        <f ca="1">IFERROR(__xludf.DUMMYFUNCTION("""COMPUTED_VALUE"""),"Hybrid Working Environment with more than 15 days a month at office")</f>
        <v>Hybrid Working Environment with more than 15 days a month at office</v>
      </c>
      <c r="L1228" s="1" t="str">
        <f ca="1">IFERROR(__xludf.DUMMYFUNCTION("""COMPUTED_VALUE"""),"Employer who rewards learning and enables that environment")</f>
        <v>Employer who rewards learning and enables that environment</v>
      </c>
      <c r="M122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2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228" s="1" t="str">
        <f ca="1">IFERROR(__xludf.DUMMYFUNCTION("""COMPUTED_VALUE"""),"Manager who clearly describes what she/he needs")</f>
        <v>Manager who clearly describes what she/he needs</v>
      </c>
      <c r="P1228" s="1" t="str">
        <f ca="1">IFERROR(__xludf.DUMMYFUNCTION("""COMPUTED_VALUE"""),"Work with 2 to 3 people in my team, Work with 5 to 6 people in my team")</f>
        <v>Work with 2 to 3 people in my team, Work with 5 to 6 people in my team</v>
      </c>
      <c r="Q1228" s="1"/>
    </row>
    <row r="1229" spans="1:17" ht="13.2" x14ac:dyDescent="0.25">
      <c r="A1229" s="2">
        <f ca="1">IFERROR(__xludf.DUMMYFUNCTION("""COMPUTED_VALUE"""),45044.5130732523)</f>
        <v>45044.513073252303</v>
      </c>
      <c r="B1229" s="1" t="str">
        <f ca="1">IFERROR(__xludf.DUMMYFUNCTION("""COMPUTED_VALUE"""),"India")</f>
        <v>India</v>
      </c>
      <c r="C1229" s="1">
        <f ca="1">IFERROR(__xludf.DUMMYFUNCTION("""COMPUTED_VALUE"""),700039)</f>
        <v>700039</v>
      </c>
      <c r="D1229" s="3" t="str">
        <f ca="1">IFERROR(__xludf.DUMMYFUNCTION("""COMPUTED_VALUE"""),"Male")</f>
        <v>Male</v>
      </c>
      <c r="E1229" s="1" t="str">
        <f ca="1">IFERROR(__xludf.DUMMYFUNCTION("""COMPUTED_VALUE"""),"People who have changed the world for better")</f>
        <v>People who have changed the world for better</v>
      </c>
      <c r="F1229" s="1" t="str">
        <f ca="1">IFERROR(__xludf.DUMMYFUNCTION("""COMPUTED_VALUE"""),"No, But if someone could bare the cost I will")</f>
        <v>No, But if someone could bare the cost I will</v>
      </c>
      <c r="G1229" s="1" t="str">
        <f ca="1">IFERROR(__xludf.DUMMYFUNCTION("""COMPUTED_VALUE"""),"Will work for 3 years or more")</f>
        <v>Will work for 3 years or more</v>
      </c>
      <c r="H1229" s="1" t="str">
        <f ca="1">IFERROR(__xludf.DUMMYFUNCTION("""COMPUTED_VALUE"""),"No")</f>
        <v>No</v>
      </c>
      <c r="I1229" s="1" t="str">
        <f ca="1">IFERROR(__xludf.DUMMYFUNCTION("""COMPUTED_VALUE"""),"Will work for them")</f>
        <v>Will work for them</v>
      </c>
      <c r="J1229" s="1">
        <f ca="1">IFERROR(__xludf.DUMMYFUNCTION("""COMPUTED_VALUE"""),8)</f>
        <v>8</v>
      </c>
      <c r="K1229" s="1" t="str">
        <f ca="1">IFERROR(__xludf.DUMMYFUNCTION("""COMPUTED_VALUE"""),"Hybrid Working Environment with less than 3 days a month at office")</f>
        <v>Hybrid Working Environment with less than 3 days a month at office</v>
      </c>
      <c r="L1229" s="1" t="str">
        <f ca="1">IFERROR(__xludf.DUMMYFUNCTION("""COMPUTED_VALUE"""),"Employer who rewards learning and enables that environment")</f>
        <v>Employer who rewards learning and enables that environment</v>
      </c>
      <c r="M12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9" s="1" t="str">
        <f ca="1">IFERROR(__xludf.DUMMYFUNCTION("""COMPUTED_VALUE"""),"Design and Creative strategy in any company, Design and Develop amazing software, Look deeply into Data and generate insights, Become a content Creator in some platform")</f>
        <v>Design and Creative strategy in any company, Design and Develop amazing software, Look deeply into Data and generate insights, Become a content Creator in some platform</v>
      </c>
      <c r="O1229" s="1" t="str">
        <f ca="1">IFERROR(__xludf.DUMMYFUNCTION("""COMPUTED_VALUE"""),"Manager who explains what is expected, sets a goal and helps achieve it")</f>
        <v>Manager who explains what is expected, sets a goal and helps achieve it</v>
      </c>
      <c r="P1229" s="1" t="str">
        <f ca="1">IFERROR(__xludf.DUMMYFUNCTION("""COMPUTED_VALUE"""),"Work with 5 to 6 people in my team")</f>
        <v>Work with 5 to 6 people in my team</v>
      </c>
      <c r="Q1229" s="1"/>
    </row>
    <row r="1230" spans="1:17" ht="13.2" x14ac:dyDescent="0.25">
      <c r="A1230" s="2">
        <f ca="1">IFERROR(__xludf.DUMMYFUNCTION("""COMPUTED_VALUE"""),45044.5165465972)</f>
        <v>45044.516546597202</v>
      </c>
      <c r="B1230" s="1" t="str">
        <f ca="1">IFERROR(__xludf.DUMMYFUNCTION("""COMPUTED_VALUE"""),"India")</f>
        <v>India</v>
      </c>
      <c r="C1230" s="1">
        <f ca="1">IFERROR(__xludf.DUMMYFUNCTION("""COMPUTED_VALUE"""),825301)</f>
        <v>825301</v>
      </c>
      <c r="D1230" s="3" t="str">
        <f ca="1">IFERROR(__xludf.DUMMYFUNCTION("""COMPUTED_VALUE"""),"Male")</f>
        <v>Male</v>
      </c>
      <c r="E1230" s="1" t="str">
        <f ca="1">IFERROR(__xludf.DUMMYFUNCTION("""COMPUTED_VALUE"""),"People who have changed the world for better")</f>
        <v>People who have changed the world for better</v>
      </c>
      <c r="F1230" s="1" t="str">
        <f ca="1">IFERROR(__xludf.DUMMYFUNCTION("""COMPUTED_VALUE"""),"Yes, I will earn and do that")</f>
        <v>Yes, I will earn and do that</v>
      </c>
      <c r="G1230" s="1" t="str">
        <f ca="1">IFERROR(__xludf.DUMMYFUNCTION("""COMPUTED_VALUE"""),"This will be hard to do, but if it is the right company I would try")</f>
        <v>This will be hard to do, but if it is the right company I would try</v>
      </c>
      <c r="H1230" s="1" t="str">
        <f ca="1">IFERROR(__xludf.DUMMYFUNCTION("""COMPUTED_VALUE"""),"Yes")</f>
        <v>Yes</v>
      </c>
      <c r="I1230" s="1" t="str">
        <f ca="1">IFERROR(__xludf.DUMMYFUNCTION("""COMPUTED_VALUE"""),"Will NOT work for them")</f>
        <v>Will NOT work for them</v>
      </c>
      <c r="J1230" s="1">
        <f ca="1">IFERROR(__xludf.DUMMYFUNCTION("""COMPUTED_VALUE"""),2)</f>
        <v>2</v>
      </c>
      <c r="K1230" s="1" t="str">
        <f ca="1">IFERROR(__xludf.DUMMYFUNCTION("""COMPUTED_VALUE"""),"Fully Remote with Options to travel as and when needed")</f>
        <v>Fully Remote with Options to travel as and when needed</v>
      </c>
      <c r="L1230" s="1" t="str">
        <f ca="1">IFERROR(__xludf.DUMMYFUNCTION("""COMPUTED_VALUE"""),"Employer who pushes your limits by enabling an learning environment, and rewards you at the end")</f>
        <v>Employer who pushes your limits by enabling an learning environment, and rewards you at the end</v>
      </c>
      <c r="M123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30"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1230" s="1" t="str">
        <f ca="1">IFERROR(__xludf.DUMMYFUNCTION("""COMPUTED_VALUE"""),"Manager who sets goal and helps me achieve it")</f>
        <v>Manager who sets goal and helps me achieve it</v>
      </c>
      <c r="P1230" s="1" t="str">
        <f ca="1">IFERROR(__xludf.DUMMYFUNCTION("""COMPUTED_VALUE"""),"Work with more than 10 people in my team")</f>
        <v>Work with more than 10 people in my team</v>
      </c>
      <c r="Q1230" s="1"/>
    </row>
    <row r="1231" spans="1:17" ht="13.2" x14ac:dyDescent="0.25">
      <c r="A1231" s="2">
        <f ca="1">IFERROR(__xludf.DUMMYFUNCTION("""COMPUTED_VALUE"""),45044.5175568287)</f>
        <v>45044.517556828701</v>
      </c>
      <c r="B1231" s="1" t="str">
        <f ca="1">IFERROR(__xludf.DUMMYFUNCTION("""COMPUTED_VALUE"""),"India")</f>
        <v>India</v>
      </c>
      <c r="C1231" s="1">
        <f ca="1">IFERROR(__xludf.DUMMYFUNCTION("""COMPUTED_VALUE"""),682316)</f>
        <v>682316</v>
      </c>
      <c r="D1231" s="3" t="str">
        <f ca="1">IFERROR(__xludf.DUMMYFUNCTION("""COMPUTED_VALUE"""),"Female")</f>
        <v>Female</v>
      </c>
      <c r="E1231" s="1" t="str">
        <f ca="1">IFERROR(__xludf.DUMMYFUNCTION("""COMPUTED_VALUE"""),"Influencers who had successful careers")</f>
        <v>Influencers who had successful careers</v>
      </c>
      <c r="F1231" s="1" t="str">
        <f ca="1">IFERROR(__xludf.DUMMYFUNCTION("""COMPUTED_VALUE"""),"Yes, I will earn and do that")</f>
        <v>Yes, I will earn and do that</v>
      </c>
      <c r="G1231" s="1" t="str">
        <f ca="1">IFERROR(__xludf.DUMMYFUNCTION("""COMPUTED_VALUE"""),"This will be hard to do, but if it is the right company I would try")</f>
        <v>This will be hard to do, but if it is the right company I would try</v>
      </c>
      <c r="H1231" s="1" t="str">
        <f ca="1">IFERROR(__xludf.DUMMYFUNCTION("""COMPUTED_VALUE"""),"No")</f>
        <v>No</v>
      </c>
      <c r="I1231" s="1" t="str">
        <f ca="1">IFERROR(__xludf.DUMMYFUNCTION("""COMPUTED_VALUE"""),"Will NOT work for them")</f>
        <v>Will NOT work for them</v>
      </c>
      <c r="J1231" s="1">
        <f ca="1">IFERROR(__xludf.DUMMYFUNCTION("""COMPUTED_VALUE"""),8)</f>
        <v>8</v>
      </c>
      <c r="K1231" s="1" t="str">
        <f ca="1">IFERROR(__xludf.DUMMYFUNCTION("""COMPUTED_VALUE"""),"Every Day Office Environment")</f>
        <v>Every Day Office Environment</v>
      </c>
      <c r="L1231" s="1" t="str">
        <f ca="1">IFERROR(__xludf.DUMMYFUNCTION("""COMPUTED_VALUE"""),"Employer who appreciates learning and enables that environment")</f>
        <v>Employer who appreciates learning and enables that environment</v>
      </c>
      <c r="M12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31"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1231" s="1" t="str">
        <f ca="1">IFERROR(__xludf.DUMMYFUNCTION("""COMPUTED_VALUE"""),"Manager who explains what is expected, sets a goal and helps achieve it")</f>
        <v>Manager who explains what is expected, sets a goal and helps achieve it</v>
      </c>
      <c r="P1231" s="1" t="str">
        <f ca="1">IFERROR(__xludf.DUMMYFUNCTION("""COMPUTED_VALUE"""),"Work with 2 to 3 people in my team")</f>
        <v>Work with 2 to 3 people in my team</v>
      </c>
      <c r="Q1231" s="1"/>
    </row>
    <row r="1232" spans="1:17" ht="13.2" x14ac:dyDescent="0.25">
      <c r="A1232" s="2">
        <f ca="1">IFERROR(__xludf.DUMMYFUNCTION("""COMPUTED_VALUE"""),45044.5188868634)</f>
        <v>45044.5188868634</v>
      </c>
      <c r="B1232" s="1" t="str">
        <f ca="1">IFERROR(__xludf.DUMMYFUNCTION("""COMPUTED_VALUE"""),"India")</f>
        <v>India</v>
      </c>
      <c r="C1232" s="1">
        <f ca="1">IFERROR(__xludf.DUMMYFUNCTION("""COMPUTED_VALUE"""),440034)</f>
        <v>440034</v>
      </c>
      <c r="D1232" s="3" t="str">
        <f ca="1">IFERROR(__xludf.DUMMYFUNCTION("""COMPUTED_VALUE"""),"Male")</f>
        <v>Male</v>
      </c>
      <c r="E1232" s="1" t="str">
        <f ca="1">IFERROR(__xludf.DUMMYFUNCTION("""COMPUTED_VALUE"""),"Influencers who had successful careers")</f>
        <v>Influencers who had successful careers</v>
      </c>
      <c r="F1232" s="1" t="str">
        <f ca="1">IFERROR(__xludf.DUMMYFUNCTION("""COMPUTED_VALUE"""),"Yes, I will earn and do that")</f>
        <v>Yes, I will earn and do that</v>
      </c>
      <c r="G1232" s="1" t="str">
        <f ca="1">IFERROR(__xludf.DUMMYFUNCTION("""COMPUTED_VALUE"""),"This will be hard to do, but if it is the right company I would try")</f>
        <v>This will be hard to do, but if it is the right company I would try</v>
      </c>
      <c r="H1232" s="1" t="str">
        <f ca="1">IFERROR(__xludf.DUMMYFUNCTION("""COMPUTED_VALUE"""),"No")</f>
        <v>No</v>
      </c>
      <c r="I1232" s="1" t="str">
        <f ca="1">IFERROR(__xludf.DUMMYFUNCTION("""COMPUTED_VALUE"""),"Will NOT work for them")</f>
        <v>Will NOT work for them</v>
      </c>
      <c r="J1232" s="1">
        <f ca="1">IFERROR(__xludf.DUMMYFUNCTION("""COMPUTED_VALUE"""),8)</f>
        <v>8</v>
      </c>
      <c r="K1232" s="1" t="str">
        <f ca="1">IFERROR(__xludf.DUMMYFUNCTION("""COMPUTED_VALUE"""),"Hybrid Working Environment with more than 15 days a month at office")</f>
        <v>Hybrid Working Environment with more than 15 days a month at office</v>
      </c>
      <c r="L1232" s="1" t="str">
        <f ca="1">IFERROR(__xludf.DUMMYFUNCTION("""COMPUTED_VALUE"""),"Employer who appreciates learning and enables that environment")</f>
        <v>Employer who appreciates learning and enables that environment</v>
      </c>
      <c r="M1232" s="1" t="str">
        <f ca="1">IFERROR(__xludf.DUMMYFUNCTION("""COMPUTED_VALUE"""),"Instructor or Expert Learning Programs, Learning by observing others, Manager Teaching you")</f>
        <v>Instructor or Expert Learning Programs, Learning by observing others, Manager Teaching you</v>
      </c>
      <c r="N123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32" s="1" t="str">
        <f ca="1">IFERROR(__xludf.DUMMYFUNCTION("""COMPUTED_VALUE"""),"Manager who explains what is expected, sets a goal and helps achieve it")</f>
        <v>Manager who explains what is expected, sets a goal and helps achieve it</v>
      </c>
      <c r="P1232" s="1" t="str">
        <f ca="1">IFERROR(__xludf.DUMMYFUNCTION("""COMPUTED_VALUE"""),"Work with 2 to 3 people in my team")</f>
        <v>Work with 2 to 3 people in my team</v>
      </c>
      <c r="Q1232" s="1"/>
    </row>
    <row r="1233" spans="1:17" ht="13.2" x14ac:dyDescent="0.25">
      <c r="A1233" s="2">
        <f ca="1">IFERROR(__xludf.DUMMYFUNCTION("""COMPUTED_VALUE"""),45044.5194051157)</f>
        <v>45044.519405115701</v>
      </c>
      <c r="B1233" s="1" t="str">
        <f ca="1">IFERROR(__xludf.DUMMYFUNCTION("""COMPUTED_VALUE"""),"India")</f>
        <v>India</v>
      </c>
      <c r="C1233" s="1">
        <f ca="1">IFERROR(__xludf.DUMMYFUNCTION("""COMPUTED_VALUE"""),390022)</f>
        <v>390022</v>
      </c>
      <c r="D1233" s="3" t="str">
        <f ca="1">IFERROR(__xludf.DUMMYFUNCTION("""COMPUTED_VALUE"""),"Female")</f>
        <v>Female</v>
      </c>
      <c r="E1233" s="1" t="str">
        <f ca="1">IFERROR(__xludf.DUMMYFUNCTION("""COMPUTED_VALUE"""),"Social Media like LinkedIn")</f>
        <v>Social Media like LinkedIn</v>
      </c>
      <c r="F1233" s="1" t="str">
        <f ca="1">IFERROR(__xludf.DUMMYFUNCTION("""COMPUTED_VALUE"""),"No I would not be pursuing Higher Education outside of India")</f>
        <v>No I would not be pursuing Higher Education outside of India</v>
      </c>
      <c r="G1233" s="1" t="str">
        <f ca="1">IFERROR(__xludf.DUMMYFUNCTION("""COMPUTED_VALUE"""),"This will be hard to do, but if it is the right company I would try")</f>
        <v>This will be hard to do, but if it is the right company I would try</v>
      </c>
      <c r="H1233" s="1" t="str">
        <f ca="1">IFERROR(__xludf.DUMMYFUNCTION("""COMPUTED_VALUE"""),"No")</f>
        <v>No</v>
      </c>
      <c r="I1233" s="1" t="str">
        <f ca="1">IFERROR(__xludf.DUMMYFUNCTION("""COMPUTED_VALUE"""),"Will NOT work for them")</f>
        <v>Will NOT work for them</v>
      </c>
      <c r="J1233" s="1">
        <f ca="1">IFERROR(__xludf.DUMMYFUNCTION("""COMPUTED_VALUE"""),5)</f>
        <v>5</v>
      </c>
      <c r="K1233" s="1" t="str">
        <f ca="1">IFERROR(__xludf.DUMMYFUNCTION("""COMPUTED_VALUE"""),"Fully Remote with Options to travel as and when needed")</f>
        <v>Fully Remote with Options to travel as and when needed</v>
      </c>
      <c r="L1233" s="1" t="str">
        <f ca="1">IFERROR(__xludf.DUMMYFUNCTION("""COMPUTED_VALUE"""),"Employer who rewards learning and enables that environment")</f>
        <v>Employer who rewards learning and enables that environment</v>
      </c>
      <c r="M123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33"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233" s="1" t="str">
        <f ca="1">IFERROR(__xludf.DUMMYFUNCTION("""COMPUTED_VALUE"""),"Manager who explains what is expected, sets a goal and helps achieve it")</f>
        <v>Manager who explains what is expected, sets a goal and helps achieve it</v>
      </c>
      <c r="P1233" s="1" t="str">
        <f ca="1">IFERROR(__xludf.DUMMYFUNCTION("""COMPUTED_VALUE"""),"Work with more than 10 people in my team")</f>
        <v>Work with more than 10 people in my team</v>
      </c>
      <c r="Q1233" s="1"/>
    </row>
    <row r="1234" spans="1:17" ht="13.2" x14ac:dyDescent="0.25">
      <c r="A1234" s="2">
        <f ca="1">IFERROR(__xludf.DUMMYFUNCTION("""COMPUTED_VALUE"""),45044.5195276736)</f>
        <v>45044.519527673598</v>
      </c>
      <c r="B1234" s="1" t="str">
        <f ca="1">IFERROR(__xludf.DUMMYFUNCTION("""COMPUTED_VALUE"""),"India")</f>
        <v>India</v>
      </c>
      <c r="C1234" s="1">
        <f ca="1">IFERROR(__xludf.DUMMYFUNCTION("""COMPUTED_VALUE"""),560020)</f>
        <v>560020</v>
      </c>
      <c r="D1234" s="3" t="str">
        <f ca="1">IFERROR(__xludf.DUMMYFUNCTION("""COMPUTED_VALUE"""),"Female")</f>
        <v>Female</v>
      </c>
      <c r="E1234" s="1" t="str">
        <f ca="1">IFERROR(__xludf.DUMMYFUNCTION("""COMPUTED_VALUE"""),"Social Media like LinkedIn")</f>
        <v>Social Media like LinkedIn</v>
      </c>
      <c r="F1234" s="1" t="str">
        <f ca="1">IFERROR(__xludf.DUMMYFUNCTION("""COMPUTED_VALUE"""),"No, But if someone could bare the cost I will")</f>
        <v>No, But if someone could bare the cost I will</v>
      </c>
      <c r="G1234" s="1" t="str">
        <f ca="1">IFERROR(__xludf.DUMMYFUNCTION("""COMPUTED_VALUE"""),"Will work for 3 years or more")</f>
        <v>Will work for 3 years or more</v>
      </c>
      <c r="H1234" s="1" t="str">
        <f ca="1">IFERROR(__xludf.DUMMYFUNCTION("""COMPUTED_VALUE"""),"No")</f>
        <v>No</v>
      </c>
      <c r="I1234" s="1" t="str">
        <f ca="1">IFERROR(__xludf.DUMMYFUNCTION("""COMPUTED_VALUE"""),"Will NOT work for them")</f>
        <v>Will NOT work for them</v>
      </c>
      <c r="J1234" s="1">
        <f ca="1">IFERROR(__xludf.DUMMYFUNCTION("""COMPUTED_VALUE"""),5)</f>
        <v>5</v>
      </c>
      <c r="K1234" s="1" t="str">
        <f ca="1">IFERROR(__xludf.DUMMYFUNCTION("""COMPUTED_VALUE"""),"Fully Remote with Options to travel as and when needed")</f>
        <v>Fully Remote with Options to travel as and when needed</v>
      </c>
      <c r="L1234" s="1" t="str">
        <f ca="1">IFERROR(__xludf.DUMMYFUNCTION("""COMPUTED_VALUE"""),"Employer who rewards learning and enables that environment")</f>
        <v>Employer who rewards learning and enables that environment</v>
      </c>
      <c r="M123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3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34" s="1" t="str">
        <f ca="1">IFERROR(__xludf.DUMMYFUNCTION("""COMPUTED_VALUE"""),"Manager who explains what is expected, sets a goal and helps achieve it")</f>
        <v>Manager who explains what is expected, sets a goal and helps achieve it</v>
      </c>
      <c r="P1234" s="1" t="str">
        <f ca="1">IFERROR(__xludf.DUMMYFUNCTION("""COMPUTED_VALUE"""),"Work with 5 to 6 people in my team")</f>
        <v>Work with 5 to 6 people in my team</v>
      </c>
      <c r="Q1234" s="1"/>
    </row>
    <row r="1235" spans="1:17" ht="13.2" x14ac:dyDescent="0.25">
      <c r="A1235" s="2">
        <f ca="1">IFERROR(__xludf.DUMMYFUNCTION("""COMPUTED_VALUE"""),45044.5209023611)</f>
        <v>45044.520902361102</v>
      </c>
      <c r="B1235" s="1" t="str">
        <f ca="1">IFERROR(__xludf.DUMMYFUNCTION("""COMPUTED_VALUE"""),"India")</f>
        <v>India</v>
      </c>
      <c r="C1235" s="1">
        <f ca="1">IFERROR(__xludf.DUMMYFUNCTION("""COMPUTED_VALUE"""),124001)</f>
        <v>124001</v>
      </c>
      <c r="D1235" s="3" t="str">
        <f ca="1">IFERROR(__xludf.DUMMYFUNCTION("""COMPUTED_VALUE"""),"Male")</f>
        <v>Male</v>
      </c>
      <c r="E1235" s="1" t="str">
        <f ca="1">IFERROR(__xludf.DUMMYFUNCTION("""COMPUTED_VALUE"""),"My Parents")</f>
        <v>My Parents</v>
      </c>
      <c r="F1235" s="1" t="str">
        <f ca="1">IFERROR(__xludf.DUMMYFUNCTION("""COMPUTED_VALUE"""),"No I would not be pursuing Higher Education outside of India")</f>
        <v>No I would not be pursuing Higher Education outside of India</v>
      </c>
      <c r="G1235" s="1" t="str">
        <f ca="1">IFERROR(__xludf.DUMMYFUNCTION("""COMPUTED_VALUE"""),"Will work for 3 years or more")</f>
        <v>Will work for 3 years or more</v>
      </c>
      <c r="H1235" s="1" t="str">
        <f ca="1">IFERROR(__xludf.DUMMYFUNCTION("""COMPUTED_VALUE"""),"No")</f>
        <v>No</v>
      </c>
      <c r="I1235" s="1" t="str">
        <f ca="1">IFERROR(__xludf.DUMMYFUNCTION("""COMPUTED_VALUE"""),"Will NOT work for them")</f>
        <v>Will NOT work for them</v>
      </c>
      <c r="J1235" s="1">
        <f ca="1">IFERROR(__xludf.DUMMYFUNCTION("""COMPUTED_VALUE"""),7)</f>
        <v>7</v>
      </c>
      <c r="K1235" s="1" t="str">
        <f ca="1">IFERROR(__xludf.DUMMYFUNCTION("""COMPUTED_VALUE"""),"Hybrid Working Environment with more than 15 days a month at office")</f>
        <v>Hybrid Working Environment with more than 15 days a month at office</v>
      </c>
      <c r="L1235" s="1" t="str">
        <f ca="1">IFERROR(__xludf.DUMMYFUNCTION("""COMPUTED_VALUE"""),"Employer who appreciates learning and enables that environment")</f>
        <v>Employer who appreciates learning and enables that environment</v>
      </c>
      <c r="M1235" s="1" t="str">
        <f ca="1">IFERROR(__xludf.DUMMYFUNCTION("""COMPUTED_VALUE"""),"Self Paced Learning Portals of the Company, Instructor or Expert Learning Programs, Manager Teaching you")</f>
        <v>Self Paced Learning Portals of the Company, Instructor or Expert Learning Programs, Manager Teaching you</v>
      </c>
      <c r="N123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35" s="1" t="str">
        <f ca="1">IFERROR(__xludf.DUMMYFUNCTION("""COMPUTED_VALUE"""),"Manager who sets goal and helps me achieve it")</f>
        <v>Manager who sets goal and helps me achieve it</v>
      </c>
      <c r="P1235" s="1" t="str">
        <f ca="1">IFERROR(__xludf.DUMMYFUNCTION("""COMPUTED_VALUE"""),"Work with 2 to 3 people in my team")</f>
        <v>Work with 2 to 3 people in my team</v>
      </c>
      <c r="Q1235" s="1"/>
    </row>
    <row r="1236" spans="1:17" ht="13.2" x14ac:dyDescent="0.25">
      <c r="A1236" s="2">
        <f ca="1">IFERROR(__xludf.DUMMYFUNCTION("""COMPUTED_VALUE"""),45044.5211482175)</f>
        <v>45044.5211482175</v>
      </c>
      <c r="B1236" s="1" t="str">
        <f ca="1">IFERROR(__xludf.DUMMYFUNCTION("""COMPUTED_VALUE"""),"India")</f>
        <v>India</v>
      </c>
      <c r="C1236" s="1">
        <f ca="1">IFERROR(__xludf.DUMMYFUNCTION("""COMPUTED_VALUE"""),560100)</f>
        <v>560100</v>
      </c>
      <c r="D1236" s="3" t="str">
        <f ca="1">IFERROR(__xludf.DUMMYFUNCTION("""COMPUTED_VALUE"""),"Female")</f>
        <v>Female</v>
      </c>
      <c r="E1236" s="1" t="str">
        <f ca="1">IFERROR(__xludf.DUMMYFUNCTION("""COMPUTED_VALUE"""),"People who have changed the world for better")</f>
        <v>People who have changed the world for better</v>
      </c>
      <c r="F1236" s="1" t="str">
        <f ca="1">IFERROR(__xludf.DUMMYFUNCTION("""COMPUTED_VALUE"""),"No I would not be pursuing Higher Education outside of India")</f>
        <v>No I would not be pursuing Higher Education outside of India</v>
      </c>
      <c r="G1236" s="1" t="str">
        <f ca="1">IFERROR(__xludf.DUMMYFUNCTION("""COMPUTED_VALUE"""),"Will work for 3 years or more")</f>
        <v>Will work for 3 years or more</v>
      </c>
      <c r="H1236" s="1" t="str">
        <f ca="1">IFERROR(__xludf.DUMMYFUNCTION("""COMPUTED_VALUE"""),"No")</f>
        <v>No</v>
      </c>
      <c r="I1236" s="1" t="str">
        <f ca="1">IFERROR(__xludf.DUMMYFUNCTION("""COMPUTED_VALUE"""),"Will NOT work for them")</f>
        <v>Will NOT work for them</v>
      </c>
      <c r="J1236" s="1">
        <f ca="1">IFERROR(__xludf.DUMMYFUNCTION("""COMPUTED_VALUE"""),4)</f>
        <v>4</v>
      </c>
      <c r="K1236" s="1" t="str">
        <f ca="1">IFERROR(__xludf.DUMMYFUNCTION("""COMPUTED_VALUE"""),"Fully Remote with Options to travel as and when needed")</f>
        <v>Fully Remote with Options to travel as and when needed</v>
      </c>
      <c r="L1236" s="1" t="str">
        <f ca="1">IFERROR(__xludf.DUMMYFUNCTION("""COMPUTED_VALUE"""),"Employer who appreciates learning and enables that environment")</f>
        <v>Employer who appreciates learning and enables that environment</v>
      </c>
      <c r="M123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36" s="1" t="str">
        <f ca="1">IFERROR(__xludf.DUMMYFUNCTION("""COMPUTED_VALUE"""),"Manager who explains what is expected, sets a goal and helps achieve it")</f>
        <v>Manager who explains what is expected, sets a goal and helps achieve it</v>
      </c>
      <c r="P1236" s="1" t="str">
        <f ca="1">IFERROR(__xludf.DUMMYFUNCTION("""COMPUTED_VALUE"""),"Work with more than 10 people in my team")</f>
        <v>Work with more than 10 people in my team</v>
      </c>
      <c r="Q1236" s="1"/>
    </row>
    <row r="1237" spans="1:17" ht="13.2" x14ac:dyDescent="0.25">
      <c r="A1237" s="2">
        <f ca="1">IFERROR(__xludf.DUMMYFUNCTION("""COMPUTED_VALUE"""),45044.5211523032)</f>
        <v>45044.521152303198</v>
      </c>
      <c r="B1237" s="1" t="str">
        <f ca="1">IFERROR(__xludf.DUMMYFUNCTION("""COMPUTED_VALUE"""),"India")</f>
        <v>India</v>
      </c>
      <c r="C1237" s="1">
        <f ca="1">IFERROR(__xludf.DUMMYFUNCTION("""COMPUTED_VALUE"""),390019)</f>
        <v>390019</v>
      </c>
      <c r="D1237" s="3" t="str">
        <f ca="1">IFERROR(__xludf.DUMMYFUNCTION("""COMPUTED_VALUE"""),"Female")</f>
        <v>Female</v>
      </c>
      <c r="E1237" s="1" t="str">
        <f ca="1">IFERROR(__xludf.DUMMYFUNCTION("""COMPUTED_VALUE"""),"My Parents")</f>
        <v>My Parents</v>
      </c>
      <c r="F1237" s="1" t="str">
        <f ca="1">IFERROR(__xludf.DUMMYFUNCTION("""COMPUTED_VALUE"""),"Yes, I will earn and do that")</f>
        <v>Yes, I will earn and do that</v>
      </c>
      <c r="G1237" s="1" t="str">
        <f ca="1">IFERROR(__xludf.DUMMYFUNCTION("""COMPUTED_VALUE"""),"Will work for 3 years or more")</f>
        <v>Will work for 3 years or more</v>
      </c>
      <c r="H1237" s="1" t="str">
        <f ca="1">IFERROR(__xludf.DUMMYFUNCTION("""COMPUTED_VALUE"""),"No")</f>
        <v>No</v>
      </c>
      <c r="I1237" s="1" t="str">
        <f ca="1">IFERROR(__xludf.DUMMYFUNCTION("""COMPUTED_VALUE"""),"Will NOT work for them")</f>
        <v>Will NOT work for them</v>
      </c>
      <c r="J1237" s="1">
        <f ca="1">IFERROR(__xludf.DUMMYFUNCTION("""COMPUTED_VALUE"""),5)</f>
        <v>5</v>
      </c>
      <c r="K1237" s="1" t="str">
        <f ca="1">IFERROR(__xludf.DUMMYFUNCTION("""COMPUTED_VALUE"""),"Fully Remote with Options to travel as and when needed")</f>
        <v>Fully Remote with Options to travel as and when needed</v>
      </c>
      <c r="L1237" s="1" t="str">
        <f ca="1">IFERROR(__xludf.DUMMYFUNCTION("""COMPUTED_VALUE"""),"Employer who appreciates learning and enables that environment")</f>
        <v>Employer who appreciates learning and enables that environment</v>
      </c>
      <c r="M123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237" s="1" t="str">
        <f ca="1">IFERROR(__xludf.DUMMYFUNCTION("""COMPUTED_VALUE"""),"Design and Creative strategy in any company, Manage and drive End-to-End Projects or Products, Work in a BPO setup for some well known client, Work as a freelancer and do my thing my way")</f>
        <v>Design and Creative strategy in any company, Manage and drive End-to-End Projects or Products, Work in a BPO setup for some well known client, Work as a freelancer and do my thing my way</v>
      </c>
      <c r="O1237" s="1" t="str">
        <f ca="1">IFERROR(__xludf.DUMMYFUNCTION("""COMPUTED_VALUE"""),"Manager who sets goal and helps me achieve it")</f>
        <v>Manager who sets goal and helps me achieve it</v>
      </c>
      <c r="P1237" s="1" t="str">
        <f ca="1">IFERROR(__xludf.DUMMYFUNCTION("""COMPUTED_VALUE"""),"Work with 5 to 6 people in my team")</f>
        <v>Work with 5 to 6 people in my team</v>
      </c>
      <c r="Q1237" s="1"/>
    </row>
    <row r="1238" spans="1:17" ht="13.2" x14ac:dyDescent="0.25">
      <c r="A1238" s="2">
        <f ca="1">IFERROR(__xludf.DUMMYFUNCTION("""COMPUTED_VALUE"""),45044.5215621527)</f>
        <v>45044.521562152702</v>
      </c>
      <c r="B1238" s="1" t="str">
        <f ca="1">IFERROR(__xludf.DUMMYFUNCTION("""COMPUTED_VALUE"""),"India")</f>
        <v>India</v>
      </c>
      <c r="C1238" s="1">
        <f ca="1">IFERROR(__xludf.DUMMYFUNCTION("""COMPUTED_VALUE"""),110093)</f>
        <v>110093</v>
      </c>
      <c r="D1238" s="3" t="str">
        <f ca="1">IFERROR(__xludf.DUMMYFUNCTION("""COMPUTED_VALUE"""),"Male")</f>
        <v>Male</v>
      </c>
      <c r="E1238" s="1" t="str">
        <f ca="1">IFERROR(__xludf.DUMMYFUNCTION("""COMPUTED_VALUE"""),"People who have changed the world for better")</f>
        <v>People who have changed the world for better</v>
      </c>
      <c r="F1238" s="1" t="str">
        <f ca="1">IFERROR(__xludf.DUMMYFUNCTION("""COMPUTED_VALUE"""),"Yes, I will earn and do that")</f>
        <v>Yes, I will earn and do that</v>
      </c>
      <c r="G1238" s="1" t="str">
        <f ca="1">IFERROR(__xludf.DUMMYFUNCTION("""COMPUTED_VALUE"""),"Will work for 3 years or more")</f>
        <v>Will work for 3 years or more</v>
      </c>
      <c r="H1238" s="1" t="str">
        <f ca="1">IFERROR(__xludf.DUMMYFUNCTION("""COMPUTED_VALUE"""),"No")</f>
        <v>No</v>
      </c>
      <c r="I1238" s="1" t="str">
        <f ca="1">IFERROR(__xludf.DUMMYFUNCTION("""COMPUTED_VALUE"""),"Will NOT work for them")</f>
        <v>Will NOT work for them</v>
      </c>
      <c r="J1238" s="1">
        <f ca="1">IFERROR(__xludf.DUMMYFUNCTION("""COMPUTED_VALUE"""),5)</f>
        <v>5</v>
      </c>
      <c r="K1238" s="1" t="str">
        <f ca="1">IFERROR(__xludf.DUMMYFUNCTION("""COMPUTED_VALUE"""),"Every Day Office Environment")</f>
        <v>Every Day Office Environment</v>
      </c>
      <c r="L1238" s="1" t="str">
        <f ca="1">IFERROR(__xludf.DUMMYFUNCTION("""COMPUTED_VALUE"""),"Employer who pushes your limits by enabling an learning environment, and rewards you at the end")</f>
        <v>Employer who pushes your limits by enabling an learning environment, and rewards you at the end</v>
      </c>
      <c r="M12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38"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238" s="1" t="str">
        <f ca="1">IFERROR(__xludf.DUMMYFUNCTION("""COMPUTED_VALUE"""),"Manager who sets goal and helps me achieve it")</f>
        <v>Manager who sets goal and helps me achieve it</v>
      </c>
      <c r="P1238" s="1" t="str">
        <f ca="1">IFERROR(__xludf.DUMMYFUNCTION("""COMPUTED_VALUE"""),"Work with 5 to 6 people in my team")</f>
        <v>Work with 5 to 6 people in my team</v>
      </c>
      <c r="Q1238" s="1"/>
    </row>
    <row r="1239" spans="1:17" ht="13.2" x14ac:dyDescent="0.25">
      <c r="A1239" s="2">
        <f ca="1">IFERROR(__xludf.DUMMYFUNCTION("""COMPUTED_VALUE"""),45044.5253124884)</f>
        <v>45044.525312488397</v>
      </c>
      <c r="B1239" s="1" t="str">
        <f ca="1">IFERROR(__xludf.DUMMYFUNCTION("""COMPUTED_VALUE"""),"India")</f>
        <v>India</v>
      </c>
      <c r="C1239" s="1">
        <f ca="1">IFERROR(__xludf.DUMMYFUNCTION("""COMPUTED_VALUE"""),411048)</f>
        <v>411048</v>
      </c>
      <c r="D1239" s="3" t="str">
        <f ca="1">IFERROR(__xludf.DUMMYFUNCTION("""COMPUTED_VALUE"""),"Male")</f>
        <v>Male</v>
      </c>
      <c r="E1239" s="1" t="str">
        <f ca="1">IFERROR(__xludf.DUMMYFUNCTION("""COMPUTED_VALUE"""),"My Parents")</f>
        <v>My Parents</v>
      </c>
      <c r="F1239" s="1" t="str">
        <f ca="1">IFERROR(__xludf.DUMMYFUNCTION("""COMPUTED_VALUE"""),"No I would not be pursuing Higher Education outside of India")</f>
        <v>No I would not be pursuing Higher Education outside of India</v>
      </c>
      <c r="G1239" s="1" t="str">
        <f ca="1">IFERROR(__xludf.DUMMYFUNCTION("""COMPUTED_VALUE"""),"Will work for 3 years or more")</f>
        <v>Will work for 3 years or more</v>
      </c>
      <c r="H1239" s="1" t="str">
        <f ca="1">IFERROR(__xludf.DUMMYFUNCTION("""COMPUTED_VALUE"""),"Yes")</f>
        <v>Yes</v>
      </c>
      <c r="I1239" s="1" t="str">
        <f ca="1">IFERROR(__xludf.DUMMYFUNCTION("""COMPUTED_VALUE"""),"Will work for them")</f>
        <v>Will work for them</v>
      </c>
      <c r="J1239" s="1">
        <f ca="1">IFERROR(__xludf.DUMMYFUNCTION("""COMPUTED_VALUE"""),8)</f>
        <v>8</v>
      </c>
      <c r="K1239" s="1" t="str">
        <f ca="1">IFERROR(__xludf.DUMMYFUNCTION("""COMPUTED_VALUE"""),"Hybrid Working Environment with more than 15 days a month at office")</f>
        <v>Hybrid Working Environment with more than 15 days a month at office</v>
      </c>
      <c r="L1239" s="1" t="str">
        <f ca="1">IFERROR(__xludf.DUMMYFUNCTION("""COMPUTED_VALUE"""),"Employer who pushes your limits by enabling an learning environment, and rewards you at the end")</f>
        <v>Employer who pushes your limits by enabling an learning environment, and rewards you at the end</v>
      </c>
      <c r="M123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239"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239" s="1" t="str">
        <f ca="1">IFERROR(__xludf.DUMMYFUNCTION("""COMPUTED_VALUE"""),"Manager who explains what is expected, sets a goal and helps achieve it")</f>
        <v>Manager who explains what is expected, sets a goal and helps achieve it</v>
      </c>
      <c r="P1239" s="1" t="str">
        <f ca="1">IFERROR(__xludf.DUMMYFUNCTION("""COMPUTED_VALUE"""),"Work alone, Work with 5 to 6 people in my team")</f>
        <v>Work alone, Work with 5 to 6 people in my team</v>
      </c>
      <c r="Q1239" s="1"/>
    </row>
    <row r="1240" spans="1:17" ht="13.2" x14ac:dyDescent="0.25">
      <c r="A1240" s="2">
        <f ca="1">IFERROR(__xludf.DUMMYFUNCTION("""COMPUTED_VALUE"""),45044.526830729)</f>
        <v>45044.526830729003</v>
      </c>
      <c r="B1240" s="1" t="str">
        <f ca="1">IFERROR(__xludf.DUMMYFUNCTION("""COMPUTED_VALUE"""),"India")</f>
        <v>India</v>
      </c>
      <c r="C1240" s="1">
        <f ca="1">IFERROR(__xludf.DUMMYFUNCTION("""COMPUTED_VALUE"""),828105)</f>
        <v>828105</v>
      </c>
      <c r="D1240" s="3" t="str">
        <f ca="1">IFERROR(__xludf.DUMMYFUNCTION("""COMPUTED_VALUE"""),"Female")</f>
        <v>Female</v>
      </c>
      <c r="E1240" s="1" t="str">
        <f ca="1">IFERROR(__xludf.DUMMYFUNCTION("""COMPUTED_VALUE"""),"My Parents")</f>
        <v>My Parents</v>
      </c>
      <c r="F1240" s="1" t="str">
        <f ca="1">IFERROR(__xludf.DUMMYFUNCTION("""COMPUTED_VALUE"""),"Yes, I will earn and do that")</f>
        <v>Yes, I will earn and do that</v>
      </c>
      <c r="G1240" s="1" t="str">
        <f ca="1">IFERROR(__xludf.DUMMYFUNCTION("""COMPUTED_VALUE"""),"Will work for 3 years or more")</f>
        <v>Will work for 3 years or more</v>
      </c>
      <c r="H1240" s="1" t="str">
        <f ca="1">IFERROR(__xludf.DUMMYFUNCTION("""COMPUTED_VALUE"""),"Yes")</f>
        <v>Yes</v>
      </c>
      <c r="I1240" s="1" t="str">
        <f ca="1">IFERROR(__xludf.DUMMYFUNCTION("""COMPUTED_VALUE"""),"Will NOT work for them")</f>
        <v>Will NOT work for them</v>
      </c>
      <c r="J1240" s="1">
        <f ca="1">IFERROR(__xludf.DUMMYFUNCTION("""COMPUTED_VALUE"""),5)</f>
        <v>5</v>
      </c>
      <c r="K1240" s="1" t="str">
        <f ca="1">IFERROR(__xludf.DUMMYFUNCTION("""COMPUTED_VALUE"""),"Every Day Office Environment")</f>
        <v>Every Day Office Environment</v>
      </c>
      <c r="L1240" s="1" t="str">
        <f ca="1">IFERROR(__xludf.DUMMYFUNCTION("""COMPUTED_VALUE"""),"Employer who appreciates learning and enables that environment")</f>
        <v>Employer who appreciates learning and enables that environment</v>
      </c>
      <c r="M124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40"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40" s="1" t="str">
        <f ca="1">IFERROR(__xludf.DUMMYFUNCTION("""COMPUTED_VALUE"""),"Manager who sets goal and helps me achieve it")</f>
        <v>Manager who sets goal and helps me achieve it</v>
      </c>
      <c r="P1240" s="1" t="str">
        <f ca="1">IFERROR(__xludf.DUMMYFUNCTION("""COMPUTED_VALUE"""),"Work with 2 to 3 people in my team")</f>
        <v>Work with 2 to 3 people in my team</v>
      </c>
      <c r="Q1240" s="1"/>
    </row>
    <row r="1241" spans="1:17" ht="13.2" x14ac:dyDescent="0.25">
      <c r="A1241" s="2">
        <f ca="1">IFERROR(__xludf.DUMMYFUNCTION("""COMPUTED_VALUE"""),45044.5276795485)</f>
        <v>45044.527679548497</v>
      </c>
      <c r="B1241" s="1" t="str">
        <f ca="1">IFERROR(__xludf.DUMMYFUNCTION("""COMPUTED_VALUE"""),"India")</f>
        <v>India</v>
      </c>
      <c r="C1241" s="1">
        <f ca="1">IFERROR(__xludf.DUMMYFUNCTION("""COMPUTED_VALUE"""),244412)</f>
        <v>244412</v>
      </c>
      <c r="D1241" s="3" t="str">
        <f ca="1">IFERROR(__xludf.DUMMYFUNCTION("""COMPUTED_VALUE"""),"Male")</f>
        <v>Male</v>
      </c>
      <c r="E1241" s="1" t="str">
        <f ca="1">IFERROR(__xludf.DUMMYFUNCTION("""COMPUTED_VALUE"""),"People who have changed the world for better")</f>
        <v>People who have changed the world for better</v>
      </c>
      <c r="F1241" s="1" t="str">
        <f ca="1">IFERROR(__xludf.DUMMYFUNCTION("""COMPUTED_VALUE"""),"Yes, I will earn and do that")</f>
        <v>Yes, I will earn and do that</v>
      </c>
      <c r="G1241" s="1" t="str">
        <f ca="1">IFERROR(__xludf.DUMMYFUNCTION("""COMPUTED_VALUE"""),"This will be hard to do, but if it is the right company I would try")</f>
        <v>This will be hard to do, but if it is the right company I would try</v>
      </c>
      <c r="H1241" s="1" t="str">
        <f ca="1">IFERROR(__xludf.DUMMYFUNCTION("""COMPUTED_VALUE"""),"No")</f>
        <v>No</v>
      </c>
      <c r="I1241" s="1" t="str">
        <f ca="1">IFERROR(__xludf.DUMMYFUNCTION("""COMPUTED_VALUE"""),"Will NOT work for them")</f>
        <v>Will NOT work for them</v>
      </c>
      <c r="J1241" s="1">
        <f ca="1">IFERROR(__xludf.DUMMYFUNCTION("""COMPUTED_VALUE"""),2)</f>
        <v>2</v>
      </c>
      <c r="K1241" s="1" t="str">
        <f ca="1">IFERROR(__xludf.DUMMYFUNCTION("""COMPUTED_VALUE"""),"Fully Remote with Options to travel as and when needed")</f>
        <v>Fully Remote with Options to travel as and when needed</v>
      </c>
      <c r="L1241" s="1" t="str">
        <f ca="1">IFERROR(__xludf.DUMMYFUNCTION("""COMPUTED_VALUE"""),"Employer who pushes your limits by enabling an learning environment, and rewards you at the end")</f>
        <v>Employer who pushes your limits by enabling an learning environment, and rewards you at the end</v>
      </c>
      <c r="M1241" s="1" t="str">
        <f ca="1">IFERROR(__xludf.DUMMYFUNCTION("""COMPUTED_VALUE"""),"Instructor or Expert Learning Programs, Learning by observing others, Manager Teaching you")</f>
        <v>Instructor or Expert Learning Programs, Learning by observing others, Manager Teaching you</v>
      </c>
      <c r="N1241"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1241" s="1" t="str">
        <f ca="1">IFERROR(__xludf.DUMMYFUNCTION("""COMPUTED_VALUE"""),"Manager who explains what is expected, sets a goal and helps achieve it")</f>
        <v>Manager who explains what is expected, sets a goal and helps achieve it</v>
      </c>
      <c r="P1241" s="1" t="str">
        <f ca="1">IFERROR(__xludf.DUMMYFUNCTION("""COMPUTED_VALUE"""),"Work with 5 to 6 people in my team, Work with 7 to 10 or more people in my team")</f>
        <v>Work with 5 to 6 people in my team, Work with 7 to 10 or more people in my team</v>
      </c>
      <c r="Q1241" s="1"/>
    </row>
    <row r="1242" spans="1:17" ht="13.2" x14ac:dyDescent="0.25">
      <c r="A1242" s="2">
        <f ca="1">IFERROR(__xludf.DUMMYFUNCTION("""COMPUTED_VALUE"""),45044.5291791782)</f>
        <v>45044.5291791782</v>
      </c>
      <c r="B1242" s="1" t="str">
        <f ca="1">IFERROR(__xludf.DUMMYFUNCTION("""COMPUTED_VALUE"""),"India")</f>
        <v>India</v>
      </c>
      <c r="C1242" s="1">
        <f ca="1">IFERROR(__xludf.DUMMYFUNCTION("""COMPUTED_VALUE"""),560047)</f>
        <v>560047</v>
      </c>
      <c r="D1242" s="3" t="str">
        <f ca="1">IFERROR(__xludf.DUMMYFUNCTION("""COMPUTED_VALUE"""),"Female")</f>
        <v>Female</v>
      </c>
      <c r="E1242" s="1" t="str">
        <f ca="1">IFERROR(__xludf.DUMMYFUNCTION("""COMPUTED_VALUE"""),"Influencers who had successful careers")</f>
        <v>Influencers who had successful careers</v>
      </c>
      <c r="F1242" s="1" t="str">
        <f ca="1">IFERROR(__xludf.DUMMYFUNCTION("""COMPUTED_VALUE"""),"Yes, I will earn and do that")</f>
        <v>Yes, I will earn and do that</v>
      </c>
      <c r="G1242" s="1" t="str">
        <f ca="1">IFERROR(__xludf.DUMMYFUNCTION("""COMPUTED_VALUE"""),"This will be hard to do, but if it is the right company I would try")</f>
        <v>This will be hard to do, but if it is the right company I would try</v>
      </c>
      <c r="H1242" s="1" t="str">
        <f ca="1">IFERROR(__xludf.DUMMYFUNCTION("""COMPUTED_VALUE"""),"No")</f>
        <v>No</v>
      </c>
      <c r="I1242" s="1" t="str">
        <f ca="1">IFERROR(__xludf.DUMMYFUNCTION("""COMPUTED_VALUE"""),"Will NOT work for them")</f>
        <v>Will NOT work for them</v>
      </c>
      <c r="J1242" s="1">
        <f ca="1">IFERROR(__xludf.DUMMYFUNCTION("""COMPUTED_VALUE"""),5)</f>
        <v>5</v>
      </c>
      <c r="K1242" s="1" t="str">
        <f ca="1">IFERROR(__xludf.DUMMYFUNCTION("""COMPUTED_VALUE"""),"Fully Remote with Options to travel as and when needed")</f>
        <v>Fully Remote with Options to travel as and when needed</v>
      </c>
      <c r="L1242" s="1" t="str">
        <f ca="1">IFERROR(__xludf.DUMMYFUNCTION("""COMPUTED_VALUE"""),"Employer who appreciates learning and enables that environment")</f>
        <v>Employer who appreciates learning and enables that environment</v>
      </c>
      <c r="M1242" s="1" t="str">
        <f ca="1">IFERROR(__xludf.DUMMYFUNCTION("""COMPUTED_VALUE"""),"Self Paced Learning Portals of the Company, Instructor or Expert Learning Programs, Manager Teaching you")</f>
        <v>Self Paced Learning Portals of the Company, Instructor or Expert Learning Programs, Manager Teaching you</v>
      </c>
      <c r="N1242"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1242" s="1" t="str">
        <f ca="1">IFERROR(__xludf.DUMMYFUNCTION("""COMPUTED_VALUE"""),"Manager who sets goal and helps me achieve it")</f>
        <v>Manager who sets goal and helps me achieve it</v>
      </c>
      <c r="P1242" s="1" t="str">
        <f ca="1">IFERROR(__xludf.DUMMYFUNCTION("""COMPUTED_VALUE"""),"Work alone")</f>
        <v>Work alone</v>
      </c>
      <c r="Q1242" s="1"/>
    </row>
    <row r="1243" spans="1:17" ht="13.2" x14ac:dyDescent="0.25">
      <c r="A1243" s="2">
        <f ca="1">IFERROR(__xludf.DUMMYFUNCTION("""COMPUTED_VALUE"""),45044.5302500925)</f>
        <v>45044.530250092503</v>
      </c>
      <c r="B1243" s="1" t="str">
        <f ca="1">IFERROR(__xludf.DUMMYFUNCTION("""COMPUTED_VALUE"""),"Others")</f>
        <v>Others</v>
      </c>
      <c r="C1243" s="1">
        <f ca="1">IFERROR(__xludf.DUMMYFUNCTION("""COMPUTED_VALUE"""),700032)</f>
        <v>700032</v>
      </c>
      <c r="D1243" s="3" t="str">
        <f ca="1">IFERROR(__xludf.DUMMYFUNCTION("""COMPUTED_VALUE"""),"Female")</f>
        <v>Female</v>
      </c>
      <c r="E1243" s="1" t="str">
        <f ca="1">IFERROR(__xludf.DUMMYFUNCTION("""COMPUTED_VALUE"""),"People who have changed the world for better")</f>
        <v>People who have changed the world for better</v>
      </c>
      <c r="F1243" s="1" t="str">
        <f ca="1">IFERROR(__xludf.DUMMYFUNCTION("""COMPUTED_VALUE"""),"No, But if someone could bare the cost I will")</f>
        <v>No, But if someone could bare the cost I will</v>
      </c>
      <c r="G1243" s="1" t="str">
        <f ca="1">IFERROR(__xludf.DUMMYFUNCTION("""COMPUTED_VALUE"""),"No way")</f>
        <v>No way</v>
      </c>
      <c r="H1243" s="1" t="str">
        <f ca="1">IFERROR(__xludf.DUMMYFUNCTION("""COMPUTED_VALUE"""),"Yes")</f>
        <v>Yes</v>
      </c>
      <c r="I1243" s="1" t="str">
        <f ca="1">IFERROR(__xludf.DUMMYFUNCTION("""COMPUTED_VALUE"""),"Will work for them")</f>
        <v>Will work for them</v>
      </c>
      <c r="J1243" s="1">
        <f ca="1">IFERROR(__xludf.DUMMYFUNCTION("""COMPUTED_VALUE"""),5)</f>
        <v>5</v>
      </c>
      <c r="K1243" s="1" t="str">
        <f ca="1">IFERROR(__xludf.DUMMYFUNCTION("""COMPUTED_VALUE"""),"Fully Remote with No option to visit offices")</f>
        <v>Fully Remote with No option to visit offices</v>
      </c>
      <c r="L1243" s="1" t="str">
        <f ca="1">IFERROR(__xludf.DUMMYFUNCTION("""COMPUTED_VALUE"""),"Employers who appreciates learning but doesn't enables an learning environment")</f>
        <v>Employers who appreciates learning but doesn't enables an learning environment</v>
      </c>
      <c r="M12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3" s="1" t="str">
        <f ca="1">IFERROR(__xludf.DUMMYFUNCTION("""COMPUTED_VALUE"""),"Work in a BPO setup for some well known client, Work as a freelancer and do my thing my way, An Artificial Intelligence Specialist / Talking to Robots, Manufacturing / Oil and Gas/ Construction / Hard Physical Work related")</f>
        <v>Work in a BPO setup for some well known client, Work as a freelancer and do my thing my way, An Artificial Intelligence Specialist / Talking to Robots, Manufacturing / Oil and Gas/ Construction / Hard Physical Work related</v>
      </c>
      <c r="O1243" s="1" t="str">
        <f ca="1">IFERROR(__xludf.DUMMYFUNCTION("""COMPUTED_VALUE"""),"Manager who sets goal and helps me achieve it")</f>
        <v>Manager who sets goal and helps me achieve it</v>
      </c>
      <c r="P1243" s="1" t="str">
        <f ca="1">IFERROR(__xludf.DUMMYFUNCTION("""COMPUTED_VALUE"""),"Work with more than 10 people in my team")</f>
        <v>Work with more than 10 people in my team</v>
      </c>
      <c r="Q1243" s="1"/>
    </row>
    <row r="1244" spans="1:17" ht="13.2" x14ac:dyDescent="0.25">
      <c r="A1244" s="2">
        <f ca="1">IFERROR(__xludf.DUMMYFUNCTION("""COMPUTED_VALUE"""),45044.5319288888)</f>
        <v>45044.531928888799</v>
      </c>
      <c r="B1244" s="1" t="str">
        <f ca="1">IFERROR(__xludf.DUMMYFUNCTION("""COMPUTED_VALUE"""),"India")</f>
        <v>India</v>
      </c>
      <c r="C1244" s="1">
        <f ca="1">IFERROR(__xludf.DUMMYFUNCTION("""COMPUTED_VALUE"""),508210)</f>
        <v>508210</v>
      </c>
      <c r="D1244" s="3" t="str">
        <f ca="1">IFERROR(__xludf.DUMMYFUNCTION("""COMPUTED_VALUE"""),"Male")</f>
        <v>Male</v>
      </c>
      <c r="E1244" s="1" t="str">
        <f ca="1">IFERROR(__xludf.DUMMYFUNCTION("""COMPUTED_VALUE"""),"Influencers who had successful careers")</f>
        <v>Influencers who had successful careers</v>
      </c>
      <c r="F1244" s="1" t="str">
        <f ca="1">IFERROR(__xludf.DUMMYFUNCTION("""COMPUTED_VALUE"""),"No I would not be pursuing Higher Education outside of India")</f>
        <v>No I would not be pursuing Higher Education outside of India</v>
      </c>
      <c r="G1244" s="1" t="str">
        <f ca="1">IFERROR(__xludf.DUMMYFUNCTION("""COMPUTED_VALUE"""),"This will be hard to do, but if it is the right company I would try")</f>
        <v>This will be hard to do, but if it is the right company I would try</v>
      </c>
      <c r="H1244" s="1" t="str">
        <f ca="1">IFERROR(__xludf.DUMMYFUNCTION("""COMPUTED_VALUE"""),"No")</f>
        <v>No</v>
      </c>
      <c r="I1244" s="1" t="str">
        <f ca="1">IFERROR(__xludf.DUMMYFUNCTION("""COMPUTED_VALUE"""),"Will NOT work for them")</f>
        <v>Will NOT work for them</v>
      </c>
      <c r="J1244" s="1">
        <f ca="1">IFERROR(__xludf.DUMMYFUNCTION("""COMPUTED_VALUE"""),8)</f>
        <v>8</v>
      </c>
      <c r="K1244" s="1" t="str">
        <f ca="1">IFERROR(__xludf.DUMMYFUNCTION("""COMPUTED_VALUE"""),"Fully Remote with Options to travel as and when needed")</f>
        <v>Fully Remote with Options to travel as and when needed</v>
      </c>
      <c r="L1244" s="1" t="str">
        <f ca="1">IFERROR(__xludf.DUMMYFUNCTION("""COMPUTED_VALUE"""),"Employer who pushes your limits by enabling an learning environment, and rewards you at the end")</f>
        <v>Employer who pushes your limits by enabling an learning environment, and rewards you at the end</v>
      </c>
      <c r="M12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4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244" s="1" t="str">
        <f ca="1">IFERROR(__xludf.DUMMYFUNCTION("""COMPUTED_VALUE"""),"Manager who explains what is expected, sets a goal and helps achieve it")</f>
        <v>Manager who explains what is expected, sets a goal and helps achieve it</v>
      </c>
      <c r="P1244" s="1" t="str">
        <f ca="1">IFERROR(__xludf.DUMMYFUNCTION("""COMPUTED_VALUE"""),"Work with 5 to 6 people in my team")</f>
        <v>Work with 5 to 6 people in my team</v>
      </c>
      <c r="Q1244" s="1"/>
    </row>
    <row r="1245" spans="1:17" ht="13.2" x14ac:dyDescent="0.25">
      <c r="A1245" s="2">
        <f ca="1">IFERROR(__xludf.DUMMYFUNCTION("""COMPUTED_VALUE"""),45044.532725405)</f>
        <v>45044.532725404999</v>
      </c>
      <c r="B1245" s="1" t="str">
        <f ca="1">IFERROR(__xludf.DUMMYFUNCTION("""COMPUTED_VALUE"""),"India")</f>
        <v>India</v>
      </c>
      <c r="C1245" s="1">
        <f ca="1">IFERROR(__xludf.DUMMYFUNCTION("""COMPUTED_VALUE"""),700006)</f>
        <v>700006</v>
      </c>
      <c r="D1245" s="3" t="str">
        <f ca="1">IFERROR(__xludf.DUMMYFUNCTION("""COMPUTED_VALUE"""),"Female")</f>
        <v>Female</v>
      </c>
      <c r="E1245" s="1" t="str">
        <f ca="1">IFERROR(__xludf.DUMMYFUNCTION("""COMPUTED_VALUE"""),"Influencers who had successful careers")</f>
        <v>Influencers who had successful careers</v>
      </c>
      <c r="F1245" s="1" t="str">
        <f ca="1">IFERROR(__xludf.DUMMYFUNCTION("""COMPUTED_VALUE"""),"No, But if someone could bare the cost I will")</f>
        <v>No, But if someone could bare the cost I will</v>
      </c>
      <c r="G1245" s="1" t="str">
        <f ca="1">IFERROR(__xludf.DUMMYFUNCTION("""COMPUTED_VALUE"""),"This will be hard to do, but if it is the right company I would try")</f>
        <v>This will be hard to do, but if it is the right company I would try</v>
      </c>
      <c r="H1245" s="1" t="str">
        <f ca="1">IFERROR(__xludf.DUMMYFUNCTION("""COMPUTED_VALUE"""),"Yes")</f>
        <v>Yes</v>
      </c>
      <c r="I1245" s="1" t="str">
        <f ca="1">IFERROR(__xludf.DUMMYFUNCTION("""COMPUTED_VALUE"""),"Will NOT work for them")</f>
        <v>Will NOT work for them</v>
      </c>
      <c r="J1245" s="1">
        <f ca="1">IFERROR(__xludf.DUMMYFUNCTION("""COMPUTED_VALUE"""),9)</f>
        <v>9</v>
      </c>
      <c r="K1245" s="1" t="str">
        <f ca="1">IFERROR(__xludf.DUMMYFUNCTION("""COMPUTED_VALUE"""),"Fully Remote with Options to travel as and when needed")</f>
        <v>Fully Remote with Options to travel as and when needed</v>
      </c>
      <c r="L1245" s="1" t="str">
        <f ca="1">IFERROR(__xludf.DUMMYFUNCTION("""COMPUTED_VALUE"""),"Employer who appreciates learning and enables that environment")</f>
        <v>Employer who appreciates learning and enables that environment</v>
      </c>
      <c r="M124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245" s="1" t="str">
        <f ca="1">IFERROR(__xludf.DUMMYFUNCTION("""COMPUTED_VALUE"""),"Design and Creative strategy in any company, Teaching in any of the institutes/colleges/online or offline, I Want to sell things/Sales, An Artificial Intelligence Specialist / Talking to Robots")</f>
        <v>Design and Creative strategy in any company, Teaching in any of the institutes/colleges/online or offline, I Want to sell things/Sales, An Artificial Intelligence Specialist / Talking to Robots</v>
      </c>
      <c r="O1245" s="1" t="str">
        <f ca="1">IFERROR(__xludf.DUMMYFUNCTION("""COMPUTED_VALUE"""),"Manager who clearly describes what she/he needs")</f>
        <v>Manager who clearly describes what she/he needs</v>
      </c>
      <c r="P1245" s="1" t="str">
        <f ca="1">IFERROR(__xludf.DUMMYFUNCTION("""COMPUTED_VALUE"""),"Work with 5 to 6 people in my team")</f>
        <v>Work with 5 to 6 people in my team</v>
      </c>
      <c r="Q1245" s="1"/>
    </row>
    <row r="1246" spans="1:17" ht="13.2" x14ac:dyDescent="0.25">
      <c r="A1246" s="2">
        <f ca="1">IFERROR(__xludf.DUMMYFUNCTION("""COMPUTED_VALUE"""),45044.5349920138)</f>
        <v>45044.534992013803</v>
      </c>
      <c r="B1246" s="1" t="str">
        <f ca="1">IFERROR(__xludf.DUMMYFUNCTION("""COMPUTED_VALUE"""),"India")</f>
        <v>India</v>
      </c>
      <c r="C1246" s="1">
        <f ca="1">IFERROR(__xludf.DUMMYFUNCTION("""COMPUTED_VALUE"""),637404)</f>
        <v>637404</v>
      </c>
      <c r="D1246" s="3" t="str">
        <f ca="1">IFERROR(__xludf.DUMMYFUNCTION("""COMPUTED_VALUE"""),"Female")</f>
        <v>Female</v>
      </c>
      <c r="E1246" s="1" t="str">
        <f ca="1">IFERROR(__xludf.DUMMYFUNCTION("""COMPUTED_VALUE"""),"Influencers who had successful careers")</f>
        <v>Influencers who had successful careers</v>
      </c>
      <c r="F1246" s="1" t="str">
        <f ca="1">IFERROR(__xludf.DUMMYFUNCTION("""COMPUTED_VALUE"""),"Yes, I will earn and do that")</f>
        <v>Yes, I will earn and do that</v>
      </c>
      <c r="G1246" s="1" t="str">
        <f ca="1">IFERROR(__xludf.DUMMYFUNCTION("""COMPUTED_VALUE"""),"This will be hard to do, but if it is the right company I would try")</f>
        <v>This will be hard to do, but if it is the right company I would try</v>
      </c>
      <c r="H1246" s="1" t="str">
        <f ca="1">IFERROR(__xludf.DUMMYFUNCTION("""COMPUTED_VALUE"""),"No")</f>
        <v>No</v>
      </c>
      <c r="I1246" s="1" t="str">
        <f ca="1">IFERROR(__xludf.DUMMYFUNCTION("""COMPUTED_VALUE"""),"Will NOT work for them")</f>
        <v>Will NOT work for them</v>
      </c>
      <c r="J1246" s="1">
        <f ca="1">IFERROR(__xludf.DUMMYFUNCTION("""COMPUTED_VALUE"""),7)</f>
        <v>7</v>
      </c>
      <c r="K1246" s="1" t="str">
        <f ca="1">IFERROR(__xludf.DUMMYFUNCTION("""COMPUTED_VALUE"""),"Hybrid Working Environment with less than 3 days a month at office")</f>
        <v>Hybrid Working Environment with less than 3 days a month at office</v>
      </c>
      <c r="L1246" s="1" t="str">
        <f ca="1">IFERROR(__xludf.DUMMYFUNCTION("""COMPUTED_VALUE"""),"Employer who appreciates learning and enables that environment")</f>
        <v>Employer who appreciates learning and enables that environment</v>
      </c>
      <c r="M12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246" s="1" t="str">
        <f ca="1">IFERROR(__xludf.DUMMYFUNCTION("""COMPUTED_VALUE"""),"Manager who explains what is expected, sets a goal and helps achieve it")</f>
        <v>Manager who explains what is expected, sets a goal and helps achieve it</v>
      </c>
      <c r="P1246" s="1" t="str">
        <f ca="1">IFERROR(__xludf.DUMMYFUNCTION("""COMPUTED_VALUE"""),"Work with more than 10 people in my team")</f>
        <v>Work with more than 10 people in my team</v>
      </c>
      <c r="Q1246" s="1"/>
    </row>
    <row r="1247" spans="1:17" ht="13.2" x14ac:dyDescent="0.25">
      <c r="A1247" s="2">
        <f ca="1">IFERROR(__xludf.DUMMYFUNCTION("""COMPUTED_VALUE"""),45044.5353257754)</f>
        <v>45044.535325775403</v>
      </c>
      <c r="B1247" s="1" t="str">
        <f ca="1">IFERROR(__xludf.DUMMYFUNCTION("""COMPUTED_VALUE"""),"India")</f>
        <v>India</v>
      </c>
      <c r="C1247" s="1">
        <f ca="1">IFERROR(__xludf.DUMMYFUNCTION("""COMPUTED_VALUE"""),854305)</f>
        <v>854305</v>
      </c>
      <c r="D1247" s="3" t="str">
        <f ca="1">IFERROR(__xludf.DUMMYFUNCTION("""COMPUTED_VALUE"""),"Male")</f>
        <v>Male</v>
      </c>
      <c r="E1247" s="1" t="str">
        <f ca="1">IFERROR(__xludf.DUMMYFUNCTION("""COMPUTED_VALUE"""),"People from my circle, but not family members")</f>
        <v>People from my circle, but not family members</v>
      </c>
      <c r="F1247" s="1" t="str">
        <f ca="1">IFERROR(__xludf.DUMMYFUNCTION("""COMPUTED_VALUE"""),"Yes, I will earn and do that")</f>
        <v>Yes, I will earn and do that</v>
      </c>
      <c r="G1247" s="1" t="str">
        <f ca="1">IFERROR(__xludf.DUMMYFUNCTION("""COMPUTED_VALUE"""),"This will be hard to do, but if it is the right company I would try")</f>
        <v>This will be hard to do, but if it is the right company I would try</v>
      </c>
      <c r="H1247" s="1" t="str">
        <f ca="1">IFERROR(__xludf.DUMMYFUNCTION("""COMPUTED_VALUE"""),"No")</f>
        <v>No</v>
      </c>
      <c r="I1247" s="1" t="str">
        <f ca="1">IFERROR(__xludf.DUMMYFUNCTION("""COMPUTED_VALUE"""),"Will work for them")</f>
        <v>Will work for them</v>
      </c>
      <c r="J1247" s="1">
        <f ca="1">IFERROR(__xludf.DUMMYFUNCTION("""COMPUTED_VALUE"""),7)</f>
        <v>7</v>
      </c>
      <c r="K1247" s="1" t="str">
        <f ca="1">IFERROR(__xludf.DUMMYFUNCTION("""COMPUTED_VALUE"""),"Hybrid Working Environment with more than 15 days a month at office")</f>
        <v>Hybrid Working Environment with more than 15 days a month at office</v>
      </c>
      <c r="L1247" s="1" t="str">
        <f ca="1">IFERROR(__xludf.DUMMYFUNCTION("""COMPUTED_VALUE"""),"Employer who pushes your limits by enabling an learning environment, and rewards you at the end")</f>
        <v>Employer who pushes your limits by enabling an learning environment, and rewards you at the end</v>
      </c>
      <c r="M124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7" s="1" t="str">
        <f ca="1">IFERROR(__xludf.DUMMYFUNCTION("""COMPUTED_VALUE"""),"Manage and drive End-to-End Projects or Products, Build and develop a Team, Look deeply into Data and generate insights, An Artificial Intelligence Specialist / Talking to Robots")</f>
        <v>Manage and drive End-to-End Projects or Products, Build and develop a Team, Look deeply into Data and generate insights, An Artificial Intelligence Specialist / Talking to Robots</v>
      </c>
      <c r="O1247" s="1" t="str">
        <f ca="1">IFERROR(__xludf.DUMMYFUNCTION("""COMPUTED_VALUE"""),"Manager who clearly describes what she/he needs")</f>
        <v>Manager who clearly describes what she/he needs</v>
      </c>
      <c r="P1247" s="1" t="str">
        <f ca="1">IFERROR(__xludf.DUMMYFUNCTION("""COMPUTED_VALUE"""),"Work with 5 to 6 people in my team")</f>
        <v>Work with 5 to 6 people in my team</v>
      </c>
      <c r="Q1247" s="1"/>
    </row>
    <row r="1248" spans="1:17" ht="13.2" x14ac:dyDescent="0.25">
      <c r="A1248" s="2">
        <f ca="1">IFERROR(__xludf.DUMMYFUNCTION("""COMPUTED_VALUE"""),45044.535882581)</f>
        <v>45044.535882581004</v>
      </c>
      <c r="B1248" s="1" t="str">
        <f ca="1">IFERROR(__xludf.DUMMYFUNCTION("""COMPUTED_VALUE"""),"India")</f>
        <v>India</v>
      </c>
      <c r="C1248" s="1">
        <f ca="1">IFERROR(__xludf.DUMMYFUNCTION("""COMPUTED_VALUE"""),221011)</f>
        <v>221011</v>
      </c>
      <c r="D1248" s="3" t="str">
        <f ca="1">IFERROR(__xludf.DUMMYFUNCTION("""COMPUTED_VALUE"""),"Male")</f>
        <v>Male</v>
      </c>
      <c r="E1248" s="1" t="str">
        <f ca="1">IFERROR(__xludf.DUMMYFUNCTION("""COMPUTED_VALUE"""),"My Parents")</f>
        <v>My Parents</v>
      </c>
      <c r="F1248" s="1" t="str">
        <f ca="1">IFERROR(__xludf.DUMMYFUNCTION("""COMPUTED_VALUE"""),"Yes, I will earn and do that")</f>
        <v>Yes, I will earn and do that</v>
      </c>
      <c r="G1248" s="1" t="str">
        <f ca="1">IFERROR(__xludf.DUMMYFUNCTION("""COMPUTED_VALUE"""),"Will work for 3 years or more")</f>
        <v>Will work for 3 years or more</v>
      </c>
      <c r="H1248" s="1" t="str">
        <f ca="1">IFERROR(__xludf.DUMMYFUNCTION("""COMPUTED_VALUE"""),"Yes")</f>
        <v>Yes</v>
      </c>
      <c r="I1248" s="1" t="str">
        <f ca="1">IFERROR(__xludf.DUMMYFUNCTION("""COMPUTED_VALUE"""),"Will work for them")</f>
        <v>Will work for them</v>
      </c>
      <c r="J1248" s="1">
        <f ca="1">IFERROR(__xludf.DUMMYFUNCTION("""COMPUTED_VALUE"""),8)</f>
        <v>8</v>
      </c>
      <c r="K1248" s="1" t="str">
        <f ca="1">IFERROR(__xludf.DUMMYFUNCTION("""COMPUTED_VALUE"""),"Every Day Office Environment")</f>
        <v>Every Day Office Environment</v>
      </c>
      <c r="L1248" s="1" t="str">
        <f ca="1">IFERROR(__xludf.DUMMYFUNCTION("""COMPUTED_VALUE"""),"Employer who rewards learning and enables that environment")</f>
        <v>Employer who rewards learning and enables that environment</v>
      </c>
      <c r="M1248" s="1" t="str">
        <f ca="1">IFERROR(__xludf.DUMMYFUNCTION("""COMPUTED_VALUE"""),"Instructor or Expert Learning Programs, Self Purchased Course from External Platforms, Manager Teaching you")</f>
        <v>Instructor or Expert Learning Programs, Self Purchased Course from External Platforms, Manager Teaching you</v>
      </c>
      <c r="N1248"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48" s="1" t="str">
        <f ca="1">IFERROR(__xludf.DUMMYFUNCTION("""COMPUTED_VALUE"""),"Manager who explains what is expected, sets a goal and helps achieve it")</f>
        <v>Manager who explains what is expected, sets a goal and helps achieve it</v>
      </c>
      <c r="P1248" s="1" t="str">
        <f ca="1">IFERROR(__xludf.DUMMYFUNCTION("""COMPUTED_VALUE"""),"Work with 5 to 6 people in my team")</f>
        <v>Work with 5 to 6 people in my team</v>
      </c>
      <c r="Q1248" s="1"/>
    </row>
    <row r="1249" spans="1:17" ht="13.2" x14ac:dyDescent="0.25">
      <c r="A1249" s="2">
        <f ca="1">IFERROR(__xludf.DUMMYFUNCTION("""COMPUTED_VALUE"""),45044.5368618981)</f>
        <v>45044.536861898101</v>
      </c>
      <c r="B1249" s="1" t="str">
        <f ca="1">IFERROR(__xludf.DUMMYFUNCTION("""COMPUTED_VALUE"""),"India")</f>
        <v>India</v>
      </c>
      <c r="C1249" s="1">
        <f ca="1">IFERROR(__xludf.DUMMYFUNCTION("""COMPUTED_VALUE"""),91)</f>
        <v>91</v>
      </c>
      <c r="D1249" s="3" t="str">
        <f ca="1">IFERROR(__xludf.DUMMYFUNCTION("""COMPUTED_VALUE"""),"Female")</f>
        <v>Female</v>
      </c>
      <c r="E1249" s="1" t="str">
        <f ca="1">IFERROR(__xludf.DUMMYFUNCTION("""COMPUTED_VALUE"""),"Social Media like LinkedIn")</f>
        <v>Social Media like LinkedIn</v>
      </c>
      <c r="F1249" s="1" t="str">
        <f ca="1">IFERROR(__xludf.DUMMYFUNCTION("""COMPUTED_VALUE"""),"Yes, I will earn and do that")</f>
        <v>Yes, I will earn and do that</v>
      </c>
      <c r="G1249" s="1" t="str">
        <f ca="1">IFERROR(__xludf.DUMMYFUNCTION("""COMPUTED_VALUE"""),"This will be hard to do, but if it is the right company I would try")</f>
        <v>This will be hard to do, but if it is the right company I would try</v>
      </c>
      <c r="H1249" s="1" t="str">
        <f ca="1">IFERROR(__xludf.DUMMYFUNCTION("""COMPUTED_VALUE"""),"No")</f>
        <v>No</v>
      </c>
      <c r="I1249" s="1" t="str">
        <f ca="1">IFERROR(__xludf.DUMMYFUNCTION("""COMPUTED_VALUE"""),"Will NOT work for them")</f>
        <v>Will NOT work for them</v>
      </c>
      <c r="J1249" s="1">
        <f ca="1">IFERROR(__xludf.DUMMYFUNCTION("""COMPUTED_VALUE"""),5)</f>
        <v>5</v>
      </c>
      <c r="K1249" s="1" t="str">
        <f ca="1">IFERROR(__xludf.DUMMYFUNCTION("""COMPUTED_VALUE"""),"Fully Remote with Options to travel as and when needed")</f>
        <v>Fully Remote with Options to travel as and when needed</v>
      </c>
      <c r="L1249" s="1" t="str">
        <f ca="1">IFERROR(__xludf.DUMMYFUNCTION("""COMPUTED_VALUE"""),"Employer who appreciates learning and enables that environment")</f>
        <v>Employer who appreciates learning and enables that environment</v>
      </c>
      <c r="M124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49"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249" s="1" t="str">
        <f ca="1">IFERROR(__xludf.DUMMYFUNCTION("""COMPUTED_VALUE"""),"Manager who sets goal and helps me achieve it")</f>
        <v>Manager who sets goal and helps me achieve it</v>
      </c>
      <c r="P1249" s="1" t="str">
        <f ca="1">IFERROR(__xludf.DUMMYFUNCTION("""COMPUTED_VALUE"""),"Work with 5 to 6 people in my team")</f>
        <v>Work with 5 to 6 people in my team</v>
      </c>
      <c r="Q1249" s="1"/>
    </row>
    <row r="1250" spans="1:17" ht="13.2" x14ac:dyDescent="0.25">
      <c r="A1250" s="2">
        <f ca="1">IFERROR(__xludf.DUMMYFUNCTION("""COMPUTED_VALUE"""),45044.5382293287)</f>
        <v>45044.538229328697</v>
      </c>
      <c r="B1250" s="1" t="str">
        <f ca="1">IFERROR(__xludf.DUMMYFUNCTION("""COMPUTED_VALUE"""),"India")</f>
        <v>India</v>
      </c>
      <c r="C1250" s="1">
        <f ca="1">IFERROR(__xludf.DUMMYFUNCTION("""COMPUTED_VALUE"""),396436)</f>
        <v>396436</v>
      </c>
      <c r="D1250" s="3" t="str">
        <f ca="1">IFERROR(__xludf.DUMMYFUNCTION("""COMPUTED_VALUE"""),"Male")</f>
        <v>Male</v>
      </c>
      <c r="E1250" s="1" t="str">
        <f ca="1">IFERROR(__xludf.DUMMYFUNCTION("""COMPUTED_VALUE"""),"People who have changed the world for better")</f>
        <v>People who have changed the world for better</v>
      </c>
      <c r="F1250" s="1" t="str">
        <f ca="1">IFERROR(__xludf.DUMMYFUNCTION("""COMPUTED_VALUE"""),"Yes, I will earn and do that")</f>
        <v>Yes, I will earn and do that</v>
      </c>
      <c r="G1250" s="1" t="str">
        <f ca="1">IFERROR(__xludf.DUMMYFUNCTION("""COMPUTED_VALUE"""),"This will be hard to do, but if it is the right company I would try")</f>
        <v>This will be hard to do, but if it is the right company I would try</v>
      </c>
      <c r="H1250" s="1" t="str">
        <f ca="1">IFERROR(__xludf.DUMMYFUNCTION("""COMPUTED_VALUE"""),"No")</f>
        <v>No</v>
      </c>
      <c r="I1250" s="1" t="str">
        <f ca="1">IFERROR(__xludf.DUMMYFUNCTION("""COMPUTED_VALUE"""),"Will NOT work for them")</f>
        <v>Will NOT work for them</v>
      </c>
      <c r="J1250" s="1">
        <f ca="1">IFERROR(__xludf.DUMMYFUNCTION("""COMPUTED_VALUE"""),5)</f>
        <v>5</v>
      </c>
      <c r="K1250" s="1" t="str">
        <f ca="1">IFERROR(__xludf.DUMMYFUNCTION("""COMPUTED_VALUE"""),"Fully Remote with Options to travel as and when needed")</f>
        <v>Fully Remote with Options to travel as and when needed</v>
      </c>
      <c r="L1250" s="1" t="str">
        <f ca="1">IFERROR(__xludf.DUMMYFUNCTION("""COMPUTED_VALUE"""),"Employer who pushes your limits by enabling an learning environment, and rewards you at the end")</f>
        <v>Employer who pushes your limits by enabling an learning environment, and rewards you at the end</v>
      </c>
      <c r="M12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50"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1250" s="1" t="str">
        <f ca="1">IFERROR(__xludf.DUMMYFUNCTION("""COMPUTED_VALUE"""),"Manager who explains what is expected, sets a goal and helps achieve it")</f>
        <v>Manager who explains what is expected, sets a goal and helps achieve it</v>
      </c>
      <c r="P1250" s="1" t="str">
        <f ca="1">IFERROR(__xludf.DUMMYFUNCTION("""COMPUTED_VALUE"""),"Work with 2 to 3 people in my team")</f>
        <v>Work with 2 to 3 people in my team</v>
      </c>
      <c r="Q1250" s="1"/>
    </row>
    <row r="1251" spans="1:17" ht="13.2" x14ac:dyDescent="0.25">
      <c r="A1251" s="2">
        <f ca="1">IFERROR(__xludf.DUMMYFUNCTION("""COMPUTED_VALUE"""),45044.5406293981)</f>
        <v>45044.5406293981</v>
      </c>
      <c r="B1251" s="1" t="str">
        <f ca="1">IFERROR(__xludf.DUMMYFUNCTION("""COMPUTED_VALUE"""),"India")</f>
        <v>India</v>
      </c>
      <c r="C1251" s="1">
        <f ca="1">IFERROR(__xludf.DUMMYFUNCTION("""COMPUTED_VALUE"""),533005)</f>
        <v>533005</v>
      </c>
      <c r="D1251" s="3" t="str">
        <f ca="1">IFERROR(__xludf.DUMMYFUNCTION("""COMPUTED_VALUE"""),"Female")</f>
        <v>Female</v>
      </c>
      <c r="E1251" s="1" t="str">
        <f ca="1">IFERROR(__xludf.DUMMYFUNCTION("""COMPUTED_VALUE"""),"Influencers who had successful careers")</f>
        <v>Influencers who had successful careers</v>
      </c>
      <c r="F1251" s="1" t="str">
        <f ca="1">IFERROR(__xludf.DUMMYFUNCTION("""COMPUTED_VALUE"""),"No I would not be pursuing Higher Education outside of India")</f>
        <v>No I would not be pursuing Higher Education outside of India</v>
      </c>
      <c r="G1251" s="1" t="str">
        <f ca="1">IFERROR(__xludf.DUMMYFUNCTION("""COMPUTED_VALUE"""),"This will be hard to do, but if it is the right company I would try")</f>
        <v>This will be hard to do, but if it is the right company I would try</v>
      </c>
      <c r="H1251" s="1" t="str">
        <f ca="1">IFERROR(__xludf.DUMMYFUNCTION("""COMPUTED_VALUE"""),"No")</f>
        <v>No</v>
      </c>
      <c r="I1251" s="1" t="str">
        <f ca="1">IFERROR(__xludf.DUMMYFUNCTION("""COMPUTED_VALUE"""),"Will work for them")</f>
        <v>Will work for them</v>
      </c>
      <c r="J1251" s="1">
        <f ca="1">IFERROR(__xludf.DUMMYFUNCTION("""COMPUTED_VALUE"""),8)</f>
        <v>8</v>
      </c>
      <c r="K1251" s="1" t="str">
        <f ca="1">IFERROR(__xludf.DUMMYFUNCTION("""COMPUTED_VALUE"""),"Hybrid Working Environment with less than 3 days a month at office")</f>
        <v>Hybrid Working Environment with less than 3 days a month at office</v>
      </c>
      <c r="L1251" s="1" t="str">
        <f ca="1">IFERROR(__xludf.DUMMYFUNCTION("""COMPUTED_VALUE"""),"Employer who appreciates learning and enables that environment")</f>
        <v>Employer who appreciates learning and enables that environment</v>
      </c>
      <c r="M12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5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51" s="1" t="str">
        <f ca="1">IFERROR(__xludf.DUMMYFUNCTION("""COMPUTED_VALUE"""),"Manager who sets goal and helps me achieve it")</f>
        <v>Manager who sets goal and helps me achieve it</v>
      </c>
      <c r="P1251" s="1" t="str">
        <f ca="1">IFERROR(__xludf.DUMMYFUNCTION("""COMPUTED_VALUE"""),"Work with 2 to 3 people in my team")</f>
        <v>Work with 2 to 3 people in my team</v>
      </c>
      <c r="Q1251" s="1"/>
    </row>
    <row r="1252" spans="1:17" ht="13.2" x14ac:dyDescent="0.25">
      <c r="A1252" s="2">
        <f ca="1">IFERROR(__xludf.DUMMYFUNCTION("""COMPUTED_VALUE"""),45044.5415642361)</f>
        <v>45044.541564236097</v>
      </c>
      <c r="B1252" s="1" t="str">
        <f ca="1">IFERROR(__xludf.DUMMYFUNCTION("""COMPUTED_VALUE"""),"India")</f>
        <v>India</v>
      </c>
      <c r="C1252" s="1">
        <f ca="1">IFERROR(__xludf.DUMMYFUNCTION("""COMPUTED_VALUE"""),533005)</f>
        <v>533005</v>
      </c>
      <c r="D1252" s="3" t="str">
        <f ca="1">IFERROR(__xludf.DUMMYFUNCTION("""COMPUTED_VALUE"""),"Male")</f>
        <v>Male</v>
      </c>
      <c r="E1252" s="1" t="str">
        <f ca="1">IFERROR(__xludf.DUMMYFUNCTION("""COMPUTED_VALUE"""),"People from my circle, but not family members")</f>
        <v>People from my circle, but not family members</v>
      </c>
      <c r="F1252" s="1" t="str">
        <f ca="1">IFERROR(__xludf.DUMMYFUNCTION("""COMPUTED_VALUE"""),"No I would not be pursuing Higher Education outside of India")</f>
        <v>No I would not be pursuing Higher Education outside of India</v>
      </c>
      <c r="G1252" s="1" t="str">
        <f ca="1">IFERROR(__xludf.DUMMYFUNCTION("""COMPUTED_VALUE"""),"This will be hard to do, but if it is the right company I would try")</f>
        <v>This will be hard to do, but if it is the right company I would try</v>
      </c>
      <c r="H1252" s="1" t="str">
        <f ca="1">IFERROR(__xludf.DUMMYFUNCTION("""COMPUTED_VALUE"""),"No")</f>
        <v>No</v>
      </c>
      <c r="I1252" s="1" t="str">
        <f ca="1">IFERROR(__xludf.DUMMYFUNCTION("""COMPUTED_VALUE"""),"Will NOT work for them")</f>
        <v>Will NOT work for them</v>
      </c>
      <c r="J1252" s="1">
        <f ca="1">IFERROR(__xludf.DUMMYFUNCTION("""COMPUTED_VALUE"""),7)</f>
        <v>7</v>
      </c>
      <c r="K1252" s="1" t="str">
        <f ca="1">IFERROR(__xludf.DUMMYFUNCTION("""COMPUTED_VALUE"""),"Hybrid Working Environment with more than 15 days a month at office")</f>
        <v>Hybrid Working Environment with more than 15 days a month at office</v>
      </c>
      <c r="L1252" s="1" t="str">
        <f ca="1">IFERROR(__xludf.DUMMYFUNCTION("""COMPUTED_VALUE"""),"Employer who rewards learning and enables that environment")</f>
        <v>Employer who rewards learning and enables that environment</v>
      </c>
      <c r="M125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52" s="1" t="str">
        <f ca="1">IFERROR(__xludf.DUMMYFUNCTION("""COMPUTED_VALUE"""),"Manage and drive End-to-End Projects or Products, Look deeply into Data and generate insights, Work in a BPO setup for some well known client, Manufacturing / Oil and Gas/ Construction / Hard Physical Work related")</f>
        <v>Manage and drive End-to-End Projects or Products, Look deeply into Data and generate insights, Work in a BPO setup for some well known client, Manufacturing / Oil and Gas/ Construction / Hard Physical Work related</v>
      </c>
      <c r="O1252" s="1" t="str">
        <f ca="1">IFERROR(__xludf.DUMMYFUNCTION("""COMPUTED_VALUE"""),"Manager who explains what is expected, sets a goal and helps achieve it")</f>
        <v>Manager who explains what is expected, sets a goal and helps achieve it</v>
      </c>
      <c r="P1252" s="1" t="str">
        <f ca="1">IFERROR(__xludf.DUMMYFUNCTION("""COMPUTED_VALUE"""),"Work with 2 to 3 people in my team")</f>
        <v>Work with 2 to 3 people in my team</v>
      </c>
      <c r="Q1252" s="1"/>
    </row>
    <row r="1253" spans="1:17" ht="13.2" x14ac:dyDescent="0.25">
      <c r="A1253" s="2">
        <f ca="1">IFERROR(__xludf.DUMMYFUNCTION("""COMPUTED_VALUE"""),45044.5416172338)</f>
        <v>45044.541617233801</v>
      </c>
      <c r="B1253" s="1" t="str">
        <f ca="1">IFERROR(__xludf.DUMMYFUNCTION("""COMPUTED_VALUE"""),"India")</f>
        <v>India</v>
      </c>
      <c r="C1253" s="1">
        <f ca="1">IFERROR(__xludf.DUMMYFUNCTION("""COMPUTED_VALUE"""),506167)</f>
        <v>506167</v>
      </c>
      <c r="D1253" s="3" t="str">
        <f ca="1">IFERROR(__xludf.DUMMYFUNCTION("""COMPUTED_VALUE"""),"Male")</f>
        <v>Male</v>
      </c>
      <c r="E1253" s="1" t="str">
        <f ca="1">IFERROR(__xludf.DUMMYFUNCTION("""COMPUTED_VALUE"""),"People from my circle, but not family members")</f>
        <v>People from my circle, but not family members</v>
      </c>
      <c r="F1253" s="1" t="str">
        <f ca="1">IFERROR(__xludf.DUMMYFUNCTION("""COMPUTED_VALUE"""),"No, But if someone could bare the cost I will")</f>
        <v>No, But if someone could bare the cost I will</v>
      </c>
      <c r="G1253" s="1" t="str">
        <f ca="1">IFERROR(__xludf.DUMMYFUNCTION("""COMPUTED_VALUE"""),"This will be hard to do, but if it is the right company I would try")</f>
        <v>This will be hard to do, but if it is the right company I would try</v>
      </c>
      <c r="H1253" s="1" t="str">
        <f ca="1">IFERROR(__xludf.DUMMYFUNCTION("""COMPUTED_VALUE"""),"No")</f>
        <v>No</v>
      </c>
      <c r="I1253" s="1" t="str">
        <f ca="1">IFERROR(__xludf.DUMMYFUNCTION("""COMPUTED_VALUE"""),"Will NOT work for them")</f>
        <v>Will NOT work for them</v>
      </c>
      <c r="J1253" s="1">
        <f ca="1">IFERROR(__xludf.DUMMYFUNCTION("""COMPUTED_VALUE"""),4)</f>
        <v>4</v>
      </c>
      <c r="K1253" s="1" t="str">
        <f ca="1">IFERROR(__xludf.DUMMYFUNCTION("""COMPUTED_VALUE"""),"Hybrid Working Environment with more than 15 days a month at office")</f>
        <v>Hybrid Working Environment with more than 15 days a month at office</v>
      </c>
      <c r="L1253" s="1" t="str">
        <f ca="1">IFERROR(__xludf.DUMMYFUNCTION("""COMPUTED_VALUE"""),"Employer who pushes your limits by enabling an learning environment, and rewards you at the end")</f>
        <v>Employer who pushes your limits by enabling an learning environment, and rewards you at the end</v>
      </c>
      <c r="M125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5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1253" s="1" t="str">
        <f ca="1">IFERROR(__xludf.DUMMYFUNCTION("""COMPUTED_VALUE"""),"Manager who explains what is expected, sets a goal and helps achieve it")</f>
        <v>Manager who explains what is expected, sets a goal and helps achieve it</v>
      </c>
      <c r="P1253" s="1" t="str">
        <f ca="1">IFERROR(__xludf.DUMMYFUNCTION("""COMPUTED_VALUE"""),"Work with 5 to 6 people in my team")</f>
        <v>Work with 5 to 6 people in my team</v>
      </c>
      <c r="Q1253" s="1"/>
    </row>
    <row r="1254" spans="1:17" ht="13.2" x14ac:dyDescent="0.25">
      <c r="A1254" s="2">
        <f ca="1">IFERROR(__xludf.DUMMYFUNCTION("""COMPUTED_VALUE"""),45044.5417322916)</f>
        <v>45044.541732291596</v>
      </c>
      <c r="B1254" s="1" t="str">
        <f ca="1">IFERROR(__xludf.DUMMYFUNCTION("""COMPUTED_VALUE"""),"India")</f>
        <v>India</v>
      </c>
      <c r="C1254" s="1">
        <f ca="1">IFERROR(__xludf.DUMMYFUNCTION("""COMPUTED_VALUE"""),611001)</f>
        <v>611001</v>
      </c>
      <c r="D1254" s="3" t="str">
        <f ca="1">IFERROR(__xludf.DUMMYFUNCTION("""COMPUTED_VALUE"""),"Female")</f>
        <v>Female</v>
      </c>
      <c r="E1254" s="1" t="str">
        <f ca="1">IFERROR(__xludf.DUMMYFUNCTION("""COMPUTED_VALUE"""),"Social Media like LinkedIn")</f>
        <v>Social Media like LinkedIn</v>
      </c>
      <c r="F1254" s="1" t="str">
        <f ca="1">IFERROR(__xludf.DUMMYFUNCTION("""COMPUTED_VALUE"""),"Yes, I will earn and do that")</f>
        <v>Yes, I will earn and do that</v>
      </c>
      <c r="G1254" s="1" t="str">
        <f ca="1">IFERROR(__xludf.DUMMYFUNCTION("""COMPUTED_VALUE"""),"This will be hard to do, but if it is the right company I would try")</f>
        <v>This will be hard to do, but if it is the right company I would try</v>
      </c>
      <c r="H1254" s="1" t="str">
        <f ca="1">IFERROR(__xludf.DUMMYFUNCTION("""COMPUTED_VALUE"""),"Yes")</f>
        <v>Yes</v>
      </c>
      <c r="I1254" s="1" t="str">
        <f ca="1">IFERROR(__xludf.DUMMYFUNCTION("""COMPUTED_VALUE"""),"Will NOT work for them")</f>
        <v>Will NOT work for them</v>
      </c>
      <c r="J1254" s="1">
        <f ca="1">IFERROR(__xludf.DUMMYFUNCTION("""COMPUTED_VALUE"""),3)</f>
        <v>3</v>
      </c>
      <c r="K1254" s="1" t="str">
        <f ca="1">IFERROR(__xludf.DUMMYFUNCTION("""COMPUTED_VALUE"""),"Hybrid Working Environment with more than 15 days a month at office")</f>
        <v>Hybrid Working Environment with more than 15 days a month at office</v>
      </c>
      <c r="L1254" s="1" t="str">
        <f ca="1">IFERROR(__xludf.DUMMYFUNCTION("""COMPUTED_VALUE"""),"Employer who pushes your limits and doesn't enables learning environment and never rewards you")</f>
        <v>Employer who pushes your limits and doesn't enables learning environment and never rewards you</v>
      </c>
      <c r="M125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5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254" s="1" t="str">
        <f ca="1">IFERROR(__xludf.DUMMYFUNCTION("""COMPUTED_VALUE"""),"Manager who sets targets and expects me to achieve it")</f>
        <v>Manager who sets targets and expects me to achieve it</v>
      </c>
      <c r="P1254" s="1" t="str">
        <f ca="1">IFERROR(__xludf.DUMMYFUNCTION("""COMPUTED_VALUE"""),"Work with 5 to 6 people in my team, Work with 7 to 10 or more people in my team")</f>
        <v>Work with 5 to 6 people in my team, Work with 7 to 10 or more people in my team</v>
      </c>
      <c r="Q1254" s="1"/>
    </row>
    <row r="1255" spans="1:17" ht="13.2" x14ac:dyDescent="0.25">
      <c r="A1255" s="2">
        <f ca="1">IFERROR(__xludf.DUMMYFUNCTION("""COMPUTED_VALUE"""),45044.5446995833)</f>
        <v>45044.544699583297</v>
      </c>
      <c r="B1255" s="1" t="str">
        <f ca="1">IFERROR(__xludf.DUMMYFUNCTION("""COMPUTED_VALUE"""),"India")</f>
        <v>India</v>
      </c>
      <c r="C1255" s="1">
        <f ca="1">IFERROR(__xludf.DUMMYFUNCTION("""COMPUTED_VALUE"""),324005)</f>
        <v>324005</v>
      </c>
      <c r="D1255" s="3" t="str">
        <f ca="1">IFERROR(__xludf.DUMMYFUNCTION("""COMPUTED_VALUE"""),"Male")</f>
        <v>Male</v>
      </c>
      <c r="E1255" s="1" t="str">
        <f ca="1">IFERROR(__xludf.DUMMYFUNCTION("""COMPUTED_VALUE"""),"People from my circle, but not family members")</f>
        <v>People from my circle, but not family members</v>
      </c>
      <c r="F1255" s="1" t="str">
        <f ca="1">IFERROR(__xludf.DUMMYFUNCTION("""COMPUTED_VALUE"""),"No, But if someone could bare the cost I will")</f>
        <v>No, But if someone could bare the cost I will</v>
      </c>
      <c r="G1255" s="1" t="str">
        <f ca="1">IFERROR(__xludf.DUMMYFUNCTION("""COMPUTED_VALUE"""),"This will be hard to do, but if it is the right company I would try")</f>
        <v>This will be hard to do, but if it is the right company I would try</v>
      </c>
      <c r="H1255" s="1" t="str">
        <f ca="1">IFERROR(__xludf.DUMMYFUNCTION("""COMPUTED_VALUE"""),"No")</f>
        <v>No</v>
      </c>
      <c r="I1255" s="1" t="str">
        <f ca="1">IFERROR(__xludf.DUMMYFUNCTION("""COMPUTED_VALUE"""),"Will NOT work for them")</f>
        <v>Will NOT work for them</v>
      </c>
      <c r="J1255" s="1">
        <f ca="1">IFERROR(__xludf.DUMMYFUNCTION("""COMPUTED_VALUE"""),7)</f>
        <v>7</v>
      </c>
      <c r="K1255" s="1" t="str">
        <f ca="1">IFERROR(__xludf.DUMMYFUNCTION("""COMPUTED_VALUE"""),"Hybrid Working Environment with more than 15 days a month at office")</f>
        <v>Hybrid Working Environment with more than 15 days a month at office</v>
      </c>
      <c r="L1255" s="1" t="str">
        <f ca="1">IFERROR(__xludf.DUMMYFUNCTION("""COMPUTED_VALUE"""),"Employer who pushes your limits by enabling an learning environment, and rewards you at the end")</f>
        <v>Employer who pushes your limits by enabling an learning environment, and rewards you at the end</v>
      </c>
      <c r="M12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55"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55" s="1" t="str">
        <f ca="1">IFERROR(__xludf.DUMMYFUNCTION("""COMPUTED_VALUE"""),"Manager who explains what is expected, sets a goal and helps achieve it")</f>
        <v>Manager who explains what is expected, sets a goal and helps achieve it</v>
      </c>
      <c r="P1255" s="1" t="str">
        <f ca="1">IFERROR(__xludf.DUMMYFUNCTION("""COMPUTED_VALUE"""),"Work with 2 to 3 people in my team")</f>
        <v>Work with 2 to 3 people in my team</v>
      </c>
      <c r="Q1255" s="1"/>
    </row>
    <row r="1256" spans="1:17" ht="13.2" x14ac:dyDescent="0.25">
      <c r="A1256" s="2">
        <f ca="1">IFERROR(__xludf.DUMMYFUNCTION("""COMPUTED_VALUE"""),45044.548194375)</f>
        <v>45044.548194374998</v>
      </c>
      <c r="B1256" s="1" t="str">
        <f ca="1">IFERROR(__xludf.DUMMYFUNCTION("""COMPUTED_VALUE"""),"India")</f>
        <v>India</v>
      </c>
      <c r="C1256" s="1">
        <f ca="1">IFERROR(__xludf.DUMMYFUNCTION("""COMPUTED_VALUE"""),411057)</f>
        <v>411057</v>
      </c>
      <c r="D1256" s="3" t="str">
        <f ca="1">IFERROR(__xludf.DUMMYFUNCTION("""COMPUTED_VALUE"""),"Male")</f>
        <v>Male</v>
      </c>
      <c r="E1256" s="1" t="str">
        <f ca="1">IFERROR(__xludf.DUMMYFUNCTION("""COMPUTED_VALUE"""),"People who have changed the world for better")</f>
        <v>People who have changed the world for better</v>
      </c>
      <c r="F1256" s="1" t="str">
        <f ca="1">IFERROR(__xludf.DUMMYFUNCTION("""COMPUTED_VALUE"""),"No I would not be pursuing Higher Education outside of India")</f>
        <v>No I would not be pursuing Higher Education outside of India</v>
      </c>
      <c r="G1256" s="1" t="str">
        <f ca="1">IFERROR(__xludf.DUMMYFUNCTION("""COMPUTED_VALUE"""),"This will be hard to do, but if it is the right company I would try")</f>
        <v>This will be hard to do, but if it is the right company I would try</v>
      </c>
      <c r="H1256" s="1" t="str">
        <f ca="1">IFERROR(__xludf.DUMMYFUNCTION("""COMPUTED_VALUE"""),"No")</f>
        <v>No</v>
      </c>
      <c r="I1256" s="1" t="str">
        <f ca="1">IFERROR(__xludf.DUMMYFUNCTION("""COMPUTED_VALUE"""),"Will NOT work for them")</f>
        <v>Will NOT work for them</v>
      </c>
      <c r="J1256" s="1">
        <f ca="1">IFERROR(__xludf.DUMMYFUNCTION("""COMPUTED_VALUE"""),7)</f>
        <v>7</v>
      </c>
      <c r="K1256" s="1" t="str">
        <f ca="1">IFERROR(__xludf.DUMMYFUNCTION("""COMPUTED_VALUE"""),"Fully Remote with Options to travel as and when needed")</f>
        <v>Fully Remote with Options to travel as and when needed</v>
      </c>
      <c r="L1256" s="1" t="str">
        <f ca="1">IFERROR(__xludf.DUMMYFUNCTION("""COMPUTED_VALUE"""),"Employer who rewards learning and enables that environment")</f>
        <v>Employer who rewards learning and enables that environment</v>
      </c>
      <c r="M12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5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56" s="1" t="str">
        <f ca="1">IFERROR(__xludf.DUMMYFUNCTION("""COMPUTED_VALUE"""),"Manager who clearly describes what she/he needs")</f>
        <v>Manager who clearly describes what she/he needs</v>
      </c>
      <c r="P1256" s="1" t="str">
        <f ca="1">IFERROR(__xludf.DUMMYFUNCTION("""COMPUTED_VALUE"""),"Work with 5 to 6 people in my team")</f>
        <v>Work with 5 to 6 people in my team</v>
      </c>
      <c r="Q1256" s="1"/>
    </row>
    <row r="1257" spans="1:17" ht="13.2" x14ac:dyDescent="0.25">
      <c r="A1257" s="2">
        <f ca="1">IFERROR(__xludf.DUMMYFUNCTION("""COMPUTED_VALUE"""),45044.5486524189)</f>
        <v>45044.548652418896</v>
      </c>
      <c r="B1257" s="1" t="str">
        <f ca="1">IFERROR(__xludf.DUMMYFUNCTION("""COMPUTED_VALUE"""),"India")</f>
        <v>India</v>
      </c>
      <c r="C1257" s="1">
        <f ca="1">IFERROR(__xludf.DUMMYFUNCTION("""COMPUTED_VALUE"""),534245)</f>
        <v>534245</v>
      </c>
      <c r="D1257" s="3" t="str">
        <f ca="1">IFERROR(__xludf.DUMMYFUNCTION("""COMPUTED_VALUE"""),"Female")</f>
        <v>Female</v>
      </c>
      <c r="E1257" s="1" t="str">
        <f ca="1">IFERROR(__xludf.DUMMYFUNCTION("""COMPUTED_VALUE"""),"People from my circle, but not family members")</f>
        <v>People from my circle, but not family members</v>
      </c>
      <c r="F1257" s="1" t="str">
        <f ca="1">IFERROR(__xludf.DUMMYFUNCTION("""COMPUTED_VALUE"""),"Yes, I will earn and do that")</f>
        <v>Yes, I will earn and do that</v>
      </c>
      <c r="G1257" s="1" t="str">
        <f ca="1">IFERROR(__xludf.DUMMYFUNCTION("""COMPUTED_VALUE"""),"This will be hard to do, but if it is the right company I would try")</f>
        <v>This will be hard to do, but if it is the right company I would try</v>
      </c>
      <c r="H1257" s="1" t="str">
        <f ca="1">IFERROR(__xludf.DUMMYFUNCTION("""COMPUTED_VALUE"""),"No")</f>
        <v>No</v>
      </c>
      <c r="I1257" s="1" t="str">
        <f ca="1">IFERROR(__xludf.DUMMYFUNCTION("""COMPUTED_VALUE"""),"Will NOT work for them")</f>
        <v>Will NOT work for them</v>
      </c>
      <c r="J1257" s="1">
        <f ca="1">IFERROR(__xludf.DUMMYFUNCTION("""COMPUTED_VALUE"""),10)</f>
        <v>10</v>
      </c>
      <c r="K1257" s="1" t="str">
        <f ca="1">IFERROR(__xludf.DUMMYFUNCTION("""COMPUTED_VALUE"""),"Hybrid Working Environment with more than 15 days a month at office")</f>
        <v>Hybrid Working Environment with more than 15 days a month at office</v>
      </c>
      <c r="L1257" s="1" t="str">
        <f ca="1">IFERROR(__xludf.DUMMYFUNCTION("""COMPUTED_VALUE"""),"Employer who appreciates learning and enables that environment")</f>
        <v>Employer who appreciates learning and enables that environment</v>
      </c>
      <c r="M125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57"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257" s="1" t="str">
        <f ca="1">IFERROR(__xludf.DUMMYFUNCTION("""COMPUTED_VALUE"""),"Manager who sets goal and helps me achieve it")</f>
        <v>Manager who sets goal and helps me achieve it</v>
      </c>
      <c r="P1257" s="1" t="str">
        <f ca="1">IFERROR(__xludf.DUMMYFUNCTION("""COMPUTED_VALUE"""),"Work with more than 10 people in my team")</f>
        <v>Work with more than 10 people in my team</v>
      </c>
      <c r="Q1257" s="1"/>
    </row>
    <row r="1258" spans="1:17" ht="13.2" x14ac:dyDescent="0.25">
      <c r="A1258" s="2">
        <f ca="1">IFERROR(__xludf.DUMMYFUNCTION("""COMPUTED_VALUE"""),45044.5518604976)</f>
        <v>45044.551860497602</v>
      </c>
      <c r="B1258" s="1" t="str">
        <f ca="1">IFERROR(__xludf.DUMMYFUNCTION("""COMPUTED_VALUE"""),"India")</f>
        <v>India</v>
      </c>
      <c r="C1258" s="1">
        <f ca="1">IFERROR(__xludf.DUMMYFUNCTION("""COMPUTED_VALUE"""),110085)</f>
        <v>110085</v>
      </c>
      <c r="D1258" s="3" t="str">
        <f ca="1">IFERROR(__xludf.DUMMYFUNCTION("""COMPUTED_VALUE"""),"Male")</f>
        <v>Male</v>
      </c>
      <c r="E1258" s="1" t="str">
        <f ca="1">IFERROR(__xludf.DUMMYFUNCTION("""COMPUTED_VALUE"""),"People from my circle, but not family members")</f>
        <v>People from my circle, but not family members</v>
      </c>
      <c r="F1258" s="1" t="str">
        <f ca="1">IFERROR(__xludf.DUMMYFUNCTION("""COMPUTED_VALUE"""),"No I would not be pursuing Higher Education outside of India")</f>
        <v>No I would not be pursuing Higher Education outside of India</v>
      </c>
      <c r="G1258" s="1" t="str">
        <f ca="1">IFERROR(__xludf.DUMMYFUNCTION("""COMPUTED_VALUE"""),"Will work for 3 years or more")</f>
        <v>Will work for 3 years or more</v>
      </c>
      <c r="H1258" s="1" t="str">
        <f ca="1">IFERROR(__xludf.DUMMYFUNCTION("""COMPUTED_VALUE"""),"No")</f>
        <v>No</v>
      </c>
      <c r="I1258" s="1" t="str">
        <f ca="1">IFERROR(__xludf.DUMMYFUNCTION("""COMPUTED_VALUE"""),"Will NOT work for them")</f>
        <v>Will NOT work for them</v>
      </c>
      <c r="J1258" s="1">
        <f ca="1">IFERROR(__xludf.DUMMYFUNCTION("""COMPUTED_VALUE"""),10)</f>
        <v>10</v>
      </c>
      <c r="K1258" s="1" t="str">
        <f ca="1">IFERROR(__xludf.DUMMYFUNCTION("""COMPUTED_VALUE"""),"Hybrid Working Environment with more than 15 days a month at office")</f>
        <v>Hybrid Working Environment with more than 15 days a month at office</v>
      </c>
      <c r="L1258" s="1" t="str">
        <f ca="1">IFERROR(__xludf.DUMMYFUNCTION("""COMPUTED_VALUE"""),"Employer who rewards learning and enables that environment")</f>
        <v>Employer who rewards learning and enables that environment</v>
      </c>
      <c r="M125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58"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1258" s="1" t="str">
        <f ca="1">IFERROR(__xludf.DUMMYFUNCTION("""COMPUTED_VALUE"""),"Manager who explains what is expected, sets a goal and helps achieve it")</f>
        <v>Manager who explains what is expected, sets a goal and helps achieve it</v>
      </c>
      <c r="P1258" s="1" t="str">
        <f ca="1">IFERROR(__xludf.DUMMYFUNCTION("""COMPUTED_VALUE"""),"Work with 7 to 10 or more people in my team, Work with more than 10 people in my team")</f>
        <v>Work with 7 to 10 or more people in my team, Work with more than 10 people in my team</v>
      </c>
      <c r="Q1258" s="1"/>
    </row>
    <row r="1259" spans="1:17" ht="13.2" x14ac:dyDescent="0.25">
      <c r="A1259" s="2">
        <f ca="1">IFERROR(__xludf.DUMMYFUNCTION("""COMPUTED_VALUE"""),45044.5547216203)</f>
        <v>45044.554721620298</v>
      </c>
      <c r="B1259" s="1" t="str">
        <f ca="1">IFERROR(__xludf.DUMMYFUNCTION("""COMPUTED_VALUE"""),"India")</f>
        <v>India</v>
      </c>
      <c r="C1259" s="1">
        <f ca="1">IFERROR(__xludf.DUMMYFUNCTION("""COMPUTED_VALUE"""),506167)</f>
        <v>506167</v>
      </c>
      <c r="D1259" s="3" t="str">
        <f ca="1">IFERROR(__xludf.DUMMYFUNCTION("""COMPUTED_VALUE"""),"Male")</f>
        <v>Male</v>
      </c>
      <c r="E1259" s="1" t="str">
        <f ca="1">IFERROR(__xludf.DUMMYFUNCTION("""COMPUTED_VALUE"""),"Social Media like LinkedIn")</f>
        <v>Social Media like LinkedIn</v>
      </c>
      <c r="F1259" s="1" t="str">
        <f ca="1">IFERROR(__xludf.DUMMYFUNCTION("""COMPUTED_VALUE"""),"No I would not be pursuing Higher Education outside of India")</f>
        <v>No I would not be pursuing Higher Education outside of India</v>
      </c>
      <c r="G1259" s="1" t="str">
        <f ca="1">IFERROR(__xludf.DUMMYFUNCTION("""COMPUTED_VALUE"""),"Will work for 3 years or more")</f>
        <v>Will work for 3 years or more</v>
      </c>
      <c r="H1259" s="1" t="str">
        <f ca="1">IFERROR(__xludf.DUMMYFUNCTION("""COMPUTED_VALUE"""),"Yes")</f>
        <v>Yes</v>
      </c>
      <c r="I1259" s="1" t="str">
        <f ca="1">IFERROR(__xludf.DUMMYFUNCTION("""COMPUTED_VALUE"""),"Will work for them")</f>
        <v>Will work for them</v>
      </c>
      <c r="J1259" s="1">
        <f ca="1">IFERROR(__xludf.DUMMYFUNCTION("""COMPUTED_VALUE"""),8)</f>
        <v>8</v>
      </c>
      <c r="K1259" s="1" t="str">
        <f ca="1">IFERROR(__xludf.DUMMYFUNCTION("""COMPUTED_VALUE"""),"Fully Remote with Options to travel as and when needed")</f>
        <v>Fully Remote with Options to travel as and when needed</v>
      </c>
      <c r="L1259" s="1" t="str">
        <f ca="1">IFERROR(__xludf.DUMMYFUNCTION("""COMPUTED_VALUE"""),"Employer who appreciates learning and enables that environment")</f>
        <v>Employer who appreciates learning and enables that environment</v>
      </c>
      <c r="M12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59"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259" s="1" t="str">
        <f ca="1">IFERROR(__xludf.DUMMYFUNCTION("""COMPUTED_VALUE"""),"Manager who clearly describes what she/he needs")</f>
        <v>Manager who clearly describes what she/he needs</v>
      </c>
      <c r="P1259" s="1" t="str">
        <f ca="1">IFERROR(__xludf.DUMMYFUNCTION("""COMPUTED_VALUE"""),"Work with more than 10 people in my team")</f>
        <v>Work with more than 10 people in my team</v>
      </c>
      <c r="Q1259" s="1"/>
    </row>
    <row r="1260" spans="1:17" ht="13.2" x14ac:dyDescent="0.25">
      <c r="A1260" s="2">
        <f ca="1">IFERROR(__xludf.DUMMYFUNCTION("""COMPUTED_VALUE"""),45044.5550505439)</f>
        <v>45044.555050543902</v>
      </c>
      <c r="B1260" s="1" t="str">
        <f ca="1">IFERROR(__xludf.DUMMYFUNCTION("""COMPUTED_VALUE"""),"India")</f>
        <v>India</v>
      </c>
      <c r="C1260" s="1">
        <f ca="1">IFERROR(__xludf.DUMMYFUNCTION("""COMPUTED_VALUE"""),500056)</f>
        <v>500056</v>
      </c>
      <c r="D1260" s="3" t="str">
        <f ca="1">IFERROR(__xludf.DUMMYFUNCTION("""COMPUTED_VALUE"""),"Male")</f>
        <v>Male</v>
      </c>
      <c r="E1260" s="1" t="str">
        <f ca="1">IFERROR(__xludf.DUMMYFUNCTION("""COMPUTED_VALUE"""),"My Parents")</f>
        <v>My Parents</v>
      </c>
      <c r="F1260" s="1" t="str">
        <f ca="1">IFERROR(__xludf.DUMMYFUNCTION("""COMPUTED_VALUE"""),"Yes, I will earn and do that")</f>
        <v>Yes, I will earn and do that</v>
      </c>
      <c r="G1260" s="1" t="str">
        <f ca="1">IFERROR(__xludf.DUMMYFUNCTION("""COMPUTED_VALUE"""),"Will work for 3 years or more")</f>
        <v>Will work for 3 years or more</v>
      </c>
      <c r="H1260" s="1" t="str">
        <f ca="1">IFERROR(__xludf.DUMMYFUNCTION("""COMPUTED_VALUE"""),"Yes")</f>
        <v>Yes</v>
      </c>
      <c r="I1260" s="1" t="str">
        <f ca="1">IFERROR(__xludf.DUMMYFUNCTION("""COMPUTED_VALUE"""),"Will NOT work for them")</f>
        <v>Will NOT work for them</v>
      </c>
      <c r="J1260" s="1">
        <f ca="1">IFERROR(__xludf.DUMMYFUNCTION("""COMPUTED_VALUE"""),10)</f>
        <v>10</v>
      </c>
      <c r="K1260" s="1" t="str">
        <f ca="1">IFERROR(__xludf.DUMMYFUNCTION("""COMPUTED_VALUE"""),"Hybrid Working Environment with less than 3 days a month at office")</f>
        <v>Hybrid Working Environment with less than 3 days a month at office</v>
      </c>
      <c r="L1260" s="1" t="str">
        <f ca="1">IFERROR(__xludf.DUMMYFUNCTION("""COMPUTED_VALUE"""),"Employer who appreciates learning and enables that environment")</f>
        <v>Employer who appreciates learning and enables that environment</v>
      </c>
      <c r="M126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60"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60" s="1" t="str">
        <f ca="1">IFERROR(__xludf.DUMMYFUNCTION("""COMPUTED_VALUE"""),"Manager who clearly describes what she/he needs")</f>
        <v>Manager who clearly describes what she/he needs</v>
      </c>
      <c r="P1260" s="1" t="str">
        <f ca="1">IFERROR(__xludf.DUMMYFUNCTION("""COMPUTED_VALUE"""),"Work with 5 to 6 people in my team, Work with more than 10 people in my team")</f>
        <v>Work with 5 to 6 people in my team, Work with more than 10 people in my team</v>
      </c>
      <c r="Q1260" s="1"/>
    </row>
    <row r="1261" spans="1:17" ht="13.2" x14ac:dyDescent="0.25">
      <c r="A1261" s="2">
        <f ca="1">IFERROR(__xludf.DUMMYFUNCTION("""COMPUTED_VALUE"""),45044.556126412)</f>
        <v>45044.556126411997</v>
      </c>
      <c r="B1261" s="1" t="str">
        <f ca="1">IFERROR(__xludf.DUMMYFUNCTION("""COMPUTED_VALUE"""),"India")</f>
        <v>India</v>
      </c>
      <c r="C1261" s="1">
        <f ca="1">IFERROR(__xludf.DUMMYFUNCTION("""COMPUTED_VALUE"""),502279)</f>
        <v>502279</v>
      </c>
      <c r="D1261" s="3" t="str">
        <f ca="1">IFERROR(__xludf.DUMMYFUNCTION("""COMPUTED_VALUE"""),"Female")</f>
        <v>Female</v>
      </c>
      <c r="E1261" s="1" t="str">
        <f ca="1">IFERROR(__xludf.DUMMYFUNCTION("""COMPUTED_VALUE"""),"My Parents")</f>
        <v>My Parents</v>
      </c>
      <c r="F1261" s="1" t="str">
        <f ca="1">IFERROR(__xludf.DUMMYFUNCTION("""COMPUTED_VALUE"""),"No I would not be pursuing Higher Education outside of India")</f>
        <v>No I would not be pursuing Higher Education outside of India</v>
      </c>
      <c r="G1261" s="1" t="str">
        <f ca="1">IFERROR(__xludf.DUMMYFUNCTION("""COMPUTED_VALUE"""),"This will be hard to do, but if it is the right company I would try")</f>
        <v>This will be hard to do, but if it is the right company I would try</v>
      </c>
      <c r="H1261" s="1" t="str">
        <f ca="1">IFERROR(__xludf.DUMMYFUNCTION("""COMPUTED_VALUE"""),"No")</f>
        <v>No</v>
      </c>
      <c r="I1261" s="1" t="str">
        <f ca="1">IFERROR(__xludf.DUMMYFUNCTION("""COMPUTED_VALUE"""),"Will NOT work for them")</f>
        <v>Will NOT work for them</v>
      </c>
      <c r="J1261" s="1">
        <f ca="1">IFERROR(__xludf.DUMMYFUNCTION("""COMPUTED_VALUE"""),5)</f>
        <v>5</v>
      </c>
      <c r="K1261" s="1" t="str">
        <f ca="1">IFERROR(__xludf.DUMMYFUNCTION("""COMPUTED_VALUE"""),"Hybrid Working Environment with more than 15 days a month at office")</f>
        <v>Hybrid Working Environment with more than 15 days a month at office</v>
      </c>
      <c r="L1261" s="1" t="str">
        <f ca="1">IFERROR(__xludf.DUMMYFUNCTION("""COMPUTED_VALUE"""),"Employer who appreciates learning and enables that environment")</f>
        <v>Employer who appreciates learning and enables that environment</v>
      </c>
      <c r="M126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1"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261" s="1" t="str">
        <f ca="1">IFERROR(__xludf.DUMMYFUNCTION("""COMPUTED_VALUE"""),"Manager who explains what is expected, sets a goal and helps achieve it")</f>
        <v>Manager who explains what is expected, sets a goal and helps achieve it</v>
      </c>
      <c r="P1261" s="1" t="str">
        <f ca="1">IFERROR(__xludf.DUMMYFUNCTION("""COMPUTED_VALUE"""),"Work with 5 to 6 people in my team")</f>
        <v>Work with 5 to 6 people in my team</v>
      </c>
      <c r="Q1261" s="1"/>
    </row>
    <row r="1262" spans="1:17" ht="13.2" x14ac:dyDescent="0.25">
      <c r="A1262" s="2">
        <f ca="1">IFERROR(__xludf.DUMMYFUNCTION("""COMPUTED_VALUE"""),45044.5567264814)</f>
        <v>45044.556726481402</v>
      </c>
      <c r="B1262" s="1" t="str">
        <f ca="1">IFERROR(__xludf.DUMMYFUNCTION("""COMPUTED_VALUE"""),"India")</f>
        <v>India</v>
      </c>
      <c r="C1262" s="1">
        <f ca="1">IFERROR(__xludf.DUMMYFUNCTION("""COMPUTED_VALUE"""),533448)</f>
        <v>533448</v>
      </c>
      <c r="D1262" s="3" t="str">
        <f ca="1">IFERROR(__xludf.DUMMYFUNCTION("""COMPUTED_VALUE"""),"Female")</f>
        <v>Female</v>
      </c>
      <c r="E1262" s="1" t="str">
        <f ca="1">IFERROR(__xludf.DUMMYFUNCTION("""COMPUTED_VALUE"""),"My Parents")</f>
        <v>My Parents</v>
      </c>
      <c r="F1262" s="1" t="str">
        <f ca="1">IFERROR(__xludf.DUMMYFUNCTION("""COMPUTED_VALUE"""),"No, But if someone could bare the cost I will")</f>
        <v>No, But if someone could bare the cost I will</v>
      </c>
      <c r="G1262" s="1" t="str">
        <f ca="1">IFERROR(__xludf.DUMMYFUNCTION("""COMPUTED_VALUE"""),"This will be hard to do, but if it is the right company I would try")</f>
        <v>This will be hard to do, but if it is the right company I would try</v>
      </c>
      <c r="H1262" s="1" t="str">
        <f ca="1">IFERROR(__xludf.DUMMYFUNCTION("""COMPUTED_VALUE"""),"No")</f>
        <v>No</v>
      </c>
      <c r="I1262" s="1" t="str">
        <f ca="1">IFERROR(__xludf.DUMMYFUNCTION("""COMPUTED_VALUE"""),"Will NOT work for them")</f>
        <v>Will NOT work for them</v>
      </c>
      <c r="J1262" s="1">
        <f ca="1">IFERROR(__xludf.DUMMYFUNCTION("""COMPUTED_VALUE"""),5)</f>
        <v>5</v>
      </c>
      <c r="K1262" s="1" t="str">
        <f ca="1">IFERROR(__xludf.DUMMYFUNCTION("""COMPUTED_VALUE"""),"Fully Remote with Options to travel as and when needed")</f>
        <v>Fully Remote with Options to travel as and when needed</v>
      </c>
      <c r="L1262" s="1" t="str">
        <f ca="1">IFERROR(__xludf.DUMMYFUNCTION("""COMPUTED_VALUE"""),"Employer who pushes your limits by enabling an learning environment, and rewards you at the end")</f>
        <v>Employer who pushes your limits by enabling an learning environment, and rewards you at the end</v>
      </c>
      <c r="M12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6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62" s="1" t="str">
        <f ca="1">IFERROR(__xludf.DUMMYFUNCTION("""COMPUTED_VALUE"""),"Manager who explains what is expected, sets a goal and helps achieve it")</f>
        <v>Manager who explains what is expected, sets a goal and helps achieve it</v>
      </c>
      <c r="P126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62" s="1"/>
    </row>
    <row r="1263" spans="1:17" ht="13.2" x14ac:dyDescent="0.25">
      <c r="A1263" s="2">
        <f ca="1">IFERROR(__xludf.DUMMYFUNCTION("""COMPUTED_VALUE"""),45044.5592689814)</f>
        <v>45044.5592689814</v>
      </c>
      <c r="B1263" s="1" t="str">
        <f ca="1">IFERROR(__xludf.DUMMYFUNCTION("""COMPUTED_VALUE"""),"India")</f>
        <v>India</v>
      </c>
      <c r="C1263" s="1">
        <f ca="1">IFERROR(__xludf.DUMMYFUNCTION("""COMPUTED_VALUE"""),533201)</f>
        <v>533201</v>
      </c>
      <c r="D1263" s="3" t="str">
        <f ca="1">IFERROR(__xludf.DUMMYFUNCTION("""COMPUTED_VALUE"""),"Male")</f>
        <v>Male</v>
      </c>
      <c r="E1263" s="1" t="str">
        <f ca="1">IFERROR(__xludf.DUMMYFUNCTION("""COMPUTED_VALUE"""),"People from my circle, but not family members")</f>
        <v>People from my circle, but not family members</v>
      </c>
      <c r="F1263" s="1" t="str">
        <f ca="1">IFERROR(__xludf.DUMMYFUNCTION("""COMPUTED_VALUE"""),"No, But if someone could bare the cost I will")</f>
        <v>No, But if someone could bare the cost I will</v>
      </c>
      <c r="G1263" s="1" t="str">
        <f ca="1">IFERROR(__xludf.DUMMYFUNCTION("""COMPUTED_VALUE"""),"Will work for 3 years or more")</f>
        <v>Will work for 3 years or more</v>
      </c>
      <c r="H1263" s="1" t="str">
        <f ca="1">IFERROR(__xludf.DUMMYFUNCTION("""COMPUTED_VALUE"""),"Yes")</f>
        <v>Yes</v>
      </c>
      <c r="I1263" s="1" t="str">
        <f ca="1">IFERROR(__xludf.DUMMYFUNCTION("""COMPUTED_VALUE"""),"Will NOT work for them")</f>
        <v>Will NOT work for them</v>
      </c>
      <c r="J1263" s="1">
        <f ca="1">IFERROR(__xludf.DUMMYFUNCTION("""COMPUTED_VALUE"""),8)</f>
        <v>8</v>
      </c>
      <c r="K1263" s="1" t="str">
        <f ca="1">IFERROR(__xludf.DUMMYFUNCTION("""COMPUTED_VALUE"""),"Hybrid Working Environment with more than 15 days a month at office")</f>
        <v>Hybrid Working Environment with more than 15 days a month at office</v>
      </c>
      <c r="L1263" s="1" t="str">
        <f ca="1">IFERROR(__xludf.DUMMYFUNCTION("""COMPUTED_VALUE"""),"Employer who pushes your limits by enabling an learning environment, and rewards you at the end")</f>
        <v>Employer who pushes your limits by enabling an learning environment, and rewards you at the end</v>
      </c>
      <c r="M12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3"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263" s="1" t="str">
        <f ca="1">IFERROR(__xludf.DUMMYFUNCTION("""COMPUTED_VALUE"""),"Manager who explains what is expected, sets a goal and helps achieve it")</f>
        <v>Manager who explains what is expected, sets a goal and helps achieve it</v>
      </c>
      <c r="P1263" s="1" t="str">
        <f ca="1">IFERROR(__xludf.DUMMYFUNCTION("""COMPUTED_VALUE"""),"Work with 2 to 3 people in my team, Work with 5 to 6 people in my team")</f>
        <v>Work with 2 to 3 people in my team, Work with 5 to 6 people in my team</v>
      </c>
      <c r="Q1263" s="1"/>
    </row>
    <row r="1264" spans="1:17" ht="13.2" x14ac:dyDescent="0.25">
      <c r="A1264" s="2">
        <f ca="1">IFERROR(__xludf.DUMMYFUNCTION("""COMPUTED_VALUE"""),45044.5637063773)</f>
        <v>45044.563706377303</v>
      </c>
      <c r="B1264" s="1" t="str">
        <f ca="1">IFERROR(__xludf.DUMMYFUNCTION("""COMPUTED_VALUE"""),"India")</f>
        <v>India</v>
      </c>
      <c r="C1264" s="1">
        <f ca="1">IFERROR(__xludf.DUMMYFUNCTION("""COMPUTED_VALUE"""),560076)</f>
        <v>560076</v>
      </c>
      <c r="D1264" s="3" t="str">
        <f ca="1">IFERROR(__xludf.DUMMYFUNCTION("""COMPUTED_VALUE"""),"Female")</f>
        <v>Female</v>
      </c>
      <c r="E1264" s="1" t="str">
        <f ca="1">IFERROR(__xludf.DUMMYFUNCTION("""COMPUTED_VALUE"""),"People who have changed the world for better")</f>
        <v>People who have changed the world for better</v>
      </c>
      <c r="F1264" s="1" t="str">
        <f ca="1">IFERROR(__xludf.DUMMYFUNCTION("""COMPUTED_VALUE"""),"No, But if someone could bare the cost I will")</f>
        <v>No, But if someone could bare the cost I will</v>
      </c>
      <c r="G1264" s="1" t="str">
        <f ca="1">IFERROR(__xludf.DUMMYFUNCTION("""COMPUTED_VALUE"""),"This will be hard to do, but if it is the right company I would try")</f>
        <v>This will be hard to do, but if it is the right company I would try</v>
      </c>
      <c r="H1264" s="1" t="str">
        <f ca="1">IFERROR(__xludf.DUMMYFUNCTION("""COMPUTED_VALUE"""),"No")</f>
        <v>No</v>
      </c>
      <c r="I1264" s="1" t="str">
        <f ca="1">IFERROR(__xludf.DUMMYFUNCTION("""COMPUTED_VALUE"""),"Will NOT work for them")</f>
        <v>Will NOT work for them</v>
      </c>
      <c r="J1264" s="1">
        <f ca="1">IFERROR(__xludf.DUMMYFUNCTION("""COMPUTED_VALUE"""),1)</f>
        <v>1</v>
      </c>
      <c r="K1264" s="1" t="str">
        <f ca="1">IFERROR(__xludf.DUMMYFUNCTION("""COMPUTED_VALUE"""),"Fully Remote with Options to travel as and when needed")</f>
        <v>Fully Remote with Options to travel as and when needed</v>
      </c>
      <c r="L1264" s="1" t="str">
        <f ca="1">IFERROR(__xludf.DUMMYFUNCTION("""COMPUTED_VALUE"""),"Employer who pushes your limits by enabling an learning environment, and rewards you at the end")</f>
        <v>Employer who pushes your limits by enabling an learning environment, and rewards you at the end</v>
      </c>
      <c r="M126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64"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264" s="1" t="str">
        <f ca="1">IFERROR(__xludf.DUMMYFUNCTION("""COMPUTED_VALUE"""),"Manager who explains what is expected, sets a goal and helps achieve it")</f>
        <v>Manager who explains what is expected, sets a goal and helps achieve it</v>
      </c>
      <c r="P1264" s="1" t="str">
        <f ca="1">IFERROR(__xludf.DUMMYFUNCTION("""COMPUTED_VALUE"""),"Work with more than 10 people in my team")</f>
        <v>Work with more than 10 people in my team</v>
      </c>
      <c r="Q1264" s="1"/>
    </row>
    <row r="1265" spans="1:17" ht="13.2" x14ac:dyDescent="0.25">
      <c r="A1265" s="2">
        <f ca="1">IFERROR(__xludf.DUMMYFUNCTION("""COMPUTED_VALUE"""),45044.5678331828)</f>
        <v>45044.567833182802</v>
      </c>
      <c r="B1265" s="1" t="str">
        <f ca="1">IFERROR(__xludf.DUMMYFUNCTION("""COMPUTED_VALUE"""),"India")</f>
        <v>India</v>
      </c>
      <c r="C1265" s="1">
        <f ca="1">IFERROR(__xludf.DUMMYFUNCTION("""COMPUTED_VALUE"""),440024)</f>
        <v>440024</v>
      </c>
      <c r="D1265" s="3" t="str">
        <f ca="1">IFERROR(__xludf.DUMMYFUNCTION("""COMPUTED_VALUE"""),"Male")</f>
        <v>Male</v>
      </c>
      <c r="E1265" s="1" t="str">
        <f ca="1">IFERROR(__xludf.DUMMYFUNCTION("""COMPUTED_VALUE"""),"People who have changed the world for better")</f>
        <v>People who have changed the world for better</v>
      </c>
      <c r="F1265" s="1" t="str">
        <f ca="1">IFERROR(__xludf.DUMMYFUNCTION("""COMPUTED_VALUE"""),"No I would not be pursuing Higher Education outside of India")</f>
        <v>No I would not be pursuing Higher Education outside of India</v>
      </c>
      <c r="G1265" s="1" t="str">
        <f ca="1">IFERROR(__xludf.DUMMYFUNCTION("""COMPUTED_VALUE"""),"Will work for 3 years or more")</f>
        <v>Will work for 3 years or more</v>
      </c>
      <c r="H1265" s="1" t="str">
        <f ca="1">IFERROR(__xludf.DUMMYFUNCTION("""COMPUTED_VALUE"""),"No")</f>
        <v>No</v>
      </c>
      <c r="I1265" s="1" t="str">
        <f ca="1">IFERROR(__xludf.DUMMYFUNCTION("""COMPUTED_VALUE"""),"Will NOT work for them")</f>
        <v>Will NOT work for them</v>
      </c>
      <c r="J1265" s="1">
        <f ca="1">IFERROR(__xludf.DUMMYFUNCTION("""COMPUTED_VALUE"""),6)</f>
        <v>6</v>
      </c>
      <c r="K1265" s="1" t="str">
        <f ca="1">IFERROR(__xludf.DUMMYFUNCTION("""COMPUTED_VALUE"""),"Every Day Office Environment")</f>
        <v>Every Day Office Environment</v>
      </c>
      <c r="L1265" s="1" t="str">
        <f ca="1">IFERROR(__xludf.DUMMYFUNCTION("""COMPUTED_VALUE"""),"Employer who pushes your limits by enabling an learning environment, and rewards you at the end")</f>
        <v>Employer who pushes your limits by enabling an learning environment, and rewards you at the end</v>
      </c>
      <c r="M1265" s="1" t="str">
        <f ca="1">IFERROR(__xludf.DUMMYFUNCTION("""COMPUTED_VALUE"""),"Instructor or Expert Learning Programs, Learning by observing others, Manager Teaching you")</f>
        <v>Instructor or Expert Learning Programs, Learning by observing others, Manager Teaching you</v>
      </c>
      <c r="N1265"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1265" s="1" t="str">
        <f ca="1">IFERROR(__xludf.DUMMYFUNCTION("""COMPUTED_VALUE"""),"Manager who explains what is expected, sets a goal and helps achieve it")</f>
        <v>Manager who explains what is expected, sets a goal and helps achieve it</v>
      </c>
      <c r="P126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65" s="1"/>
    </row>
    <row r="1266" spans="1:17" ht="13.2" x14ac:dyDescent="0.25">
      <c r="A1266" s="2">
        <f ca="1">IFERROR(__xludf.DUMMYFUNCTION("""COMPUTED_VALUE"""),45044.5715935185)</f>
        <v>45044.5715935185</v>
      </c>
      <c r="B1266" s="1" t="str">
        <f ca="1">IFERROR(__xludf.DUMMYFUNCTION("""COMPUTED_VALUE"""),"India")</f>
        <v>India</v>
      </c>
      <c r="C1266" s="1">
        <f ca="1">IFERROR(__xludf.DUMMYFUNCTION("""COMPUTED_VALUE"""),533201)</f>
        <v>533201</v>
      </c>
      <c r="D1266" s="3" t="str">
        <f ca="1">IFERROR(__xludf.DUMMYFUNCTION("""COMPUTED_VALUE"""),"Male")</f>
        <v>Male</v>
      </c>
      <c r="E1266" s="1" t="str">
        <f ca="1">IFERROR(__xludf.DUMMYFUNCTION("""COMPUTED_VALUE"""),"My Parents")</f>
        <v>My Parents</v>
      </c>
      <c r="F1266" s="1" t="str">
        <f ca="1">IFERROR(__xludf.DUMMYFUNCTION("""COMPUTED_VALUE"""),"No I would not be pursuing Higher Education outside of India")</f>
        <v>No I would not be pursuing Higher Education outside of India</v>
      </c>
      <c r="G1266" s="1" t="str">
        <f ca="1">IFERROR(__xludf.DUMMYFUNCTION("""COMPUTED_VALUE"""),"This will be hard to do, but if it is the right company I would try")</f>
        <v>This will be hard to do, but if it is the right company I would try</v>
      </c>
      <c r="H1266" s="1" t="str">
        <f ca="1">IFERROR(__xludf.DUMMYFUNCTION("""COMPUTED_VALUE"""),"No")</f>
        <v>No</v>
      </c>
      <c r="I1266" s="1" t="str">
        <f ca="1">IFERROR(__xludf.DUMMYFUNCTION("""COMPUTED_VALUE"""),"Will NOT work for them")</f>
        <v>Will NOT work for them</v>
      </c>
      <c r="J1266" s="1">
        <f ca="1">IFERROR(__xludf.DUMMYFUNCTION("""COMPUTED_VALUE"""),7)</f>
        <v>7</v>
      </c>
      <c r="K1266" s="1" t="str">
        <f ca="1">IFERROR(__xludf.DUMMYFUNCTION("""COMPUTED_VALUE"""),"Fully Remote with Options to travel as and when needed")</f>
        <v>Fully Remote with Options to travel as and when needed</v>
      </c>
      <c r="L1266" s="1" t="str">
        <f ca="1">IFERROR(__xludf.DUMMYFUNCTION("""COMPUTED_VALUE"""),"Employer who pushes your limits by enabling an learning environment, and rewards you at the end")</f>
        <v>Employer who pushes your limits by enabling an learning environment, and rewards you at the end</v>
      </c>
      <c r="M12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6"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1266" s="1" t="str">
        <f ca="1">IFERROR(__xludf.DUMMYFUNCTION("""COMPUTED_VALUE"""),"Manager who sets goal and helps me achieve it")</f>
        <v>Manager who sets goal and helps me achieve it</v>
      </c>
      <c r="P1266" s="1" t="str">
        <f ca="1">IFERROR(__xludf.DUMMYFUNCTION("""COMPUTED_VALUE"""),"Work with 7 to 10 or more people in my team")</f>
        <v>Work with 7 to 10 or more people in my team</v>
      </c>
      <c r="Q1266" s="1"/>
    </row>
    <row r="1267" spans="1:17" ht="13.2" x14ac:dyDescent="0.25">
      <c r="A1267" s="2">
        <f ca="1">IFERROR(__xludf.DUMMYFUNCTION("""COMPUTED_VALUE"""),45044.5754720601)</f>
        <v>45044.575472060103</v>
      </c>
      <c r="B1267" s="1" t="str">
        <f ca="1">IFERROR(__xludf.DUMMYFUNCTION("""COMPUTED_VALUE"""),"India")</f>
        <v>India</v>
      </c>
      <c r="C1267" s="1">
        <f ca="1">IFERROR(__xludf.DUMMYFUNCTION("""COMPUTED_VALUE"""),413001)</f>
        <v>413001</v>
      </c>
      <c r="D1267" s="3" t="str">
        <f ca="1">IFERROR(__xludf.DUMMYFUNCTION("""COMPUTED_VALUE"""),"Male")</f>
        <v>Male</v>
      </c>
      <c r="E1267" s="1" t="str">
        <f ca="1">IFERROR(__xludf.DUMMYFUNCTION("""COMPUTED_VALUE"""),"People who have changed the world for better")</f>
        <v>People who have changed the world for better</v>
      </c>
      <c r="F1267" s="1" t="str">
        <f ca="1">IFERROR(__xludf.DUMMYFUNCTION("""COMPUTED_VALUE"""),"Yes, I will earn and do that")</f>
        <v>Yes, I will earn and do that</v>
      </c>
      <c r="G1267" s="1" t="str">
        <f ca="1">IFERROR(__xludf.DUMMYFUNCTION("""COMPUTED_VALUE"""),"This will be hard to do, but if it is the right company I would try")</f>
        <v>This will be hard to do, but if it is the right company I would try</v>
      </c>
      <c r="H1267" s="1" t="str">
        <f ca="1">IFERROR(__xludf.DUMMYFUNCTION("""COMPUTED_VALUE"""),"No")</f>
        <v>No</v>
      </c>
      <c r="I1267" s="1" t="str">
        <f ca="1">IFERROR(__xludf.DUMMYFUNCTION("""COMPUTED_VALUE"""),"Will NOT work for them")</f>
        <v>Will NOT work for them</v>
      </c>
      <c r="J1267" s="1">
        <f ca="1">IFERROR(__xludf.DUMMYFUNCTION("""COMPUTED_VALUE"""),5)</f>
        <v>5</v>
      </c>
      <c r="K1267" s="1" t="str">
        <f ca="1">IFERROR(__xludf.DUMMYFUNCTION("""COMPUTED_VALUE"""),"Fully Remote with Options to travel as and when needed")</f>
        <v>Fully Remote with Options to travel as and when needed</v>
      </c>
      <c r="L1267" s="1" t="str">
        <f ca="1">IFERROR(__xludf.DUMMYFUNCTION("""COMPUTED_VALUE"""),"Employer who rewards learning and enables that environment")</f>
        <v>Employer who rewards learning and enables that environment</v>
      </c>
      <c r="M1267" s="1" t="str">
        <f ca="1">IFERROR(__xludf.DUMMYFUNCTION("""COMPUTED_VALUE"""),"Self Paced Learning Portals of the Company, Instructor or Expert Learning Programs, Manager Teaching you")</f>
        <v>Self Paced Learning Portals of the Company, Instructor or Expert Learning Programs, Manager Teaching you</v>
      </c>
      <c r="N126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7" s="1" t="str">
        <f ca="1">IFERROR(__xludf.DUMMYFUNCTION("""COMPUTED_VALUE"""),"Manager who explains what is expected, sets a goal and helps achieve it")</f>
        <v>Manager who explains what is expected, sets a goal and helps achieve it</v>
      </c>
      <c r="P1267" s="1" t="str">
        <f ca="1">IFERROR(__xludf.DUMMYFUNCTION("""COMPUTED_VALUE"""),"Work with 2 to 3 people in my team, Work with 5 to 6 people in my team")</f>
        <v>Work with 2 to 3 people in my team, Work with 5 to 6 people in my team</v>
      </c>
      <c r="Q1267" s="1"/>
    </row>
    <row r="1268" spans="1:17" ht="13.2" x14ac:dyDescent="0.25">
      <c r="A1268" s="2">
        <f ca="1">IFERROR(__xludf.DUMMYFUNCTION("""COMPUTED_VALUE"""),45044.5770264351)</f>
        <v>45044.577026435101</v>
      </c>
      <c r="B1268" s="1" t="str">
        <f ca="1">IFERROR(__xludf.DUMMYFUNCTION("""COMPUTED_VALUE"""),"India")</f>
        <v>India</v>
      </c>
      <c r="C1268" s="1">
        <f ca="1">IFERROR(__xludf.DUMMYFUNCTION("""COMPUTED_VALUE"""),518512)</f>
        <v>518512</v>
      </c>
      <c r="D1268" s="3" t="str">
        <f ca="1">IFERROR(__xludf.DUMMYFUNCTION("""COMPUTED_VALUE"""),"Male")</f>
        <v>Male</v>
      </c>
      <c r="E1268" s="1" t="str">
        <f ca="1">IFERROR(__xludf.DUMMYFUNCTION("""COMPUTED_VALUE"""),"My Parents")</f>
        <v>My Parents</v>
      </c>
      <c r="F1268" s="1" t="str">
        <f ca="1">IFERROR(__xludf.DUMMYFUNCTION("""COMPUTED_VALUE"""),"No I would not be pursuing Higher Education outside of India")</f>
        <v>No I would not be pursuing Higher Education outside of India</v>
      </c>
      <c r="G1268" s="1" t="str">
        <f ca="1">IFERROR(__xludf.DUMMYFUNCTION("""COMPUTED_VALUE"""),"Will work for 3 years or more")</f>
        <v>Will work for 3 years or more</v>
      </c>
      <c r="H1268" s="1" t="str">
        <f ca="1">IFERROR(__xludf.DUMMYFUNCTION("""COMPUTED_VALUE"""),"No")</f>
        <v>No</v>
      </c>
      <c r="I1268" s="1" t="str">
        <f ca="1">IFERROR(__xludf.DUMMYFUNCTION("""COMPUTED_VALUE"""),"Will NOT work for them")</f>
        <v>Will NOT work for them</v>
      </c>
      <c r="J1268" s="1">
        <f ca="1">IFERROR(__xludf.DUMMYFUNCTION("""COMPUTED_VALUE"""),5)</f>
        <v>5</v>
      </c>
      <c r="K1268" s="1" t="str">
        <f ca="1">IFERROR(__xludf.DUMMYFUNCTION("""COMPUTED_VALUE"""),"Hybrid Working Environment with more than 15 days a month at office")</f>
        <v>Hybrid Working Environment with more than 15 days a month at office</v>
      </c>
      <c r="L1268" s="1" t="str">
        <f ca="1">IFERROR(__xludf.DUMMYFUNCTION("""COMPUTED_VALUE"""),"Employer who appreciates learning and enables that environment")</f>
        <v>Employer who appreciates learning and enables that environment</v>
      </c>
      <c r="M126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6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8" s="1" t="str">
        <f ca="1">IFERROR(__xludf.DUMMYFUNCTION("""COMPUTED_VALUE"""),"Manager who explains what is expected, sets a goal and helps achieve it")</f>
        <v>Manager who explains what is expected, sets a goal and helps achieve it</v>
      </c>
      <c r="P1268" s="1" t="str">
        <f ca="1">IFERROR(__xludf.DUMMYFUNCTION("""COMPUTED_VALUE"""),"Work with more than 10 people in my team")</f>
        <v>Work with more than 10 people in my team</v>
      </c>
      <c r="Q1268" s="1"/>
    </row>
    <row r="1269" spans="1:17" ht="13.2" x14ac:dyDescent="0.25">
      <c r="A1269" s="2">
        <f ca="1">IFERROR(__xludf.DUMMYFUNCTION("""COMPUTED_VALUE"""),45044.5775888773)</f>
        <v>45044.577588877299</v>
      </c>
      <c r="B1269" s="1" t="str">
        <f ca="1">IFERROR(__xludf.DUMMYFUNCTION("""COMPUTED_VALUE"""),"India")</f>
        <v>India</v>
      </c>
      <c r="C1269" s="1">
        <f ca="1">IFERROR(__xludf.DUMMYFUNCTION("""COMPUTED_VALUE"""),506314)</f>
        <v>506314</v>
      </c>
      <c r="D1269" s="3" t="str">
        <f ca="1">IFERROR(__xludf.DUMMYFUNCTION("""COMPUTED_VALUE"""),"Male")</f>
        <v>Male</v>
      </c>
      <c r="E1269" s="1" t="str">
        <f ca="1">IFERROR(__xludf.DUMMYFUNCTION("""COMPUTED_VALUE"""),"People who have changed the world for better")</f>
        <v>People who have changed the world for better</v>
      </c>
      <c r="F1269" s="1" t="str">
        <f ca="1">IFERROR(__xludf.DUMMYFUNCTION("""COMPUTED_VALUE"""),"No I would not be pursuing Higher Education outside of India")</f>
        <v>No I would not be pursuing Higher Education outside of India</v>
      </c>
      <c r="G1269" s="1" t="str">
        <f ca="1">IFERROR(__xludf.DUMMYFUNCTION("""COMPUTED_VALUE"""),"This will be hard to do, but if it is the right company I would try")</f>
        <v>This will be hard to do, but if it is the right company I would try</v>
      </c>
      <c r="H1269" s="1" t="str">
        <f ca="1">IFERROR(__xludf.DUMMYFUNCTION("""COMPUTED_VALUE"""),"No")</f>
        <v>No</v>
      </c>
      <c r="I1269" s="1" t="str">
        <f ca="1">IFERROR(__xludf.DUMMYFUNCTION("""COMPUTED_VALUE"""),"Will work for them")</f>
        <v>Will work for them</v>
      </c>
      <c r="J1269" s="1">
        <f ca="1">IFERROR(__xludf.DUMMYFUNCTION("""COMPUTED_VALUE"""),8)</f>
        <v>8</v>
      </c>
      <c r="K1269" s="1" t="str">
        <f ca="1">IFERROR(__xludf.DUMMYFUNCTION("""COMPUTED_VALUE"""),"Fully Remote with No option to visit offices")</f>
        <v>Fully Remote with No option to visit offices</v>
      </c>
      <c r="L1269" s="1" t="str">
        <f ca="1">IFERROR(__xludf.DUMMYFUNCTION("""COMPUTED_VALUE"""),"Employer who appreciates learning and enables that environment")</f>
        <v>Employer who appreciates learning and enables that environment</v>
      </c>
      <c r="M126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69"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1269" s="1" t="str">
        <f ca="1">IFERROR(__xludf.DUMMYFUNCTION("""COMPUTED_VALUE"""),"Manager who clearly describes what she/he needs")</f>
        <v>Manager who clearly describes what she/he needs</v>
      </c>
      <c r="P1269" s="1" t="str">
        <f ca="1">IFERROR(__xludf.DUMMYFUNCTION("""COMPUTED_VALUE"""),"Work with 5 to 6 people in my team, Work with 7 to 10 or more people in my team")</f>
        <v>Work with 5 to 6 people in my team, Work with 7 to 10 or more people in my team</v>
      </c>
      <c r="Q1269" s="1"/>
    </row>
    <row r="1270" spans="1:17" ht="13.2" x14ac:dyDescent="0.25">
      <c r="A1270" s="2">
        <f ca="1">IFERROR(__xludf.DUMMYFUNCTION("""COMPUTED_VALUE"""),45044.5776126967)</f>
        <v>45044.577612696703</v>
      </c>
      <c r="B1270" s="1" t="str">
        <f ca="1">IFERROR(__xludf.DUMMYFUNCTION("""COMPUTED_VALUE"""),"India")</f>
        <v>India</v>
      </c>
      <c r="C1270" s="1">
        <f ca="1">IFERROR(__xludf.DUMMYFUNCTION("""COMPUTED_VALUE"""),500018)</f>
        <v>500018</v>
      </c>
      <c r="D1270" s="3" t="str">
        <f ca="1">IFERROR(__xludf.DUMMYFUNCTION("""COMPUTED_VALUE"""),"Male")</f>
        <v>Male</v>
      </c>
      <c r="E1270" s="1" t="str">
        <f ca="1">IFERROR(__xludf.DUMMYFUNCTION("""COMPUTED_VALUE"""),"People who have changed the world for better")</f>
        <v>People who have changed the world for better</v>
      </c>
      <c r="F1270" s="1" t="str">
        <f ca="1">IFERROR(__xludf.DUMMYFUNCTION("""COMPUTED_VALUE"""),"No, But if someone could bare the cost I will")</f>
        <v>No, But if someone could bare the cost I will</v>
      </c>
      <c r="G1270" s="1" t="str">
        <f ca="1">IFERROR(__xludf.DUMMYFUNCTION("""COMPUTED_VALUE"""),"Will work for 3 years or more")</f>
        <v>Will work for 3 years or more</v>
      </c>
      <c r="H1270" s="1" t="str">
        <f ca="1">IFERROR(__xludf.DUMMYFUNCTION("""COMPUTED_VALUE"""),"No")</f>
        <v>No</v>
      </c>
      <c r="I1270" s="1" t="str">
        <f ca="1">IFERROR(__xludf.DUMMYFUNCTION("""COMPUTED_VALUE"""),"Will NOT work for them")</f>
        <v>Will NOT work for them</v>
      </c>
      <c r="J1270" s="1">
        <f ca="1">IFERROR(__xludf.DUMMYFUNCTION("""COMPUTED_VALUE"""),1)</f>
        <v>1</v>
      </c>
      <c r="K1270" s="1" t="str">
        <f ca="1">IFERROR(__xludf.DUMMYFUNCTION("""COMPUTED_VALUE"""),"Every Day Office Environment")</f>
        <v>Every Day Office Environment</v>
      </c>
      <c r="L1270" s="1" t="str">
        <f ca="1">IFERROR(__xludf.DUMMYFUNCTION("""COMPUTED_VALUE"""),"Employer who pushes your limits by enabling an learning environment, and rewards you at the end")</f>
        <v>Employer who pushes your limits by enabling an learning environment, and rewards you at the end</v>
      </c>
      <c r="M12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0" s="1" t="str">
        <f ca="1">IFERROR(__xludf.DUMMYFUNCTION("""COMPUTED_VALUE"""),"Become a content Creator in some platform, Entrepreneur or Start Up, I Want to sell things/Sales, Manufacturing / Oil and Gas/ Construction / Hard Physical Work related")</f>
        <v>Become a content Creator in some platform, Entrepreneur or Start Up, I Want to sell things/Sales, Manufacturing / Oil and Gas/ Construction / Hard Physical Work related</v>
      </c>
      <c r="O1270" s="1" t="str">
        <f ca="1">IFERROR(__xludf.DUMMYFUNCTION("""COMPUTED_VALUE"""),"Manager who explains what is expected, sets a goal and helps achieve it")</f>
        <v>Manager who explains what is expected, sets a goal and helps achieve it</v>
      </c>
      <c r="P1270" s="1" t="str">
        <f ca="1">IFERROR(__xludf.DUMMYFUNCTION("""COMPUTED_VALUE"""),"Work with 2 to 3 people in my team")</f>
        <v>Work with 2 to 3 people in my team</v>
      </c>
      <c r="Q1270" s="1"/>
    </row>
    <row r="1271" spans="1:17" ht="13.2" x14ac:dyDescent="0.25">
      <c r="A1271" s="2">
        <f ca="1">IFERROR(__xludf.DUMMYFUNCTION("""COMPUTED_VALUE"""),45044.5784124652)</f>
        <v>45044.578412465198</v>
      </c>
      <c r="B1271" s="1" t="str">
        <f ca="1">IFERROR(__xludf.DUMMYFUNCTION("""COMPUTED_VALUE"""),"India")</f>
        <v>India</v>
      </c>
      <c r="C1271" s="1">
        <f ca="1">IFERROR(__xludf.DUMMYFUNCTION("""COMPUTED_VALUE"""),421503)</f>
        <v>421503</v>
      </c>
      <c r="D1271" s="3" t="str">
        <f ca="1">IFERROR(__xludf.DUMMYFUNCTION("""COMPUTED_VALUE"""),"Male")</f>
        <v>Male</v>
      </c>
      <c r="E1271" s="1" t="str">
        <f ca="1">IFERROR(__xludf.DUMMYFUNCTION("""COMPUTED_VALUE"""),"People who have changed the world for better")</f>
        <v>People who have changed the world for better</v>
      </c>
      <c r="F1271" s="1" t="str">
        <f ca="1">IFERROR(__xludf.DUMMYFUNCTION("""COMPUTED_VALUE"""),"No, But if someone could bare the cost I will")</f>
        <v>No, But if someone could bare the cost I will</v>
      </c>
      <c r="G1271" s="1" t="str">
        <f ca="1">IFERROR(__xludf.DUMMYFUNCTION("""COMPUTED_VALUE"""),"This will be hard to do, but if it is the right company I would try")</f>
        <v>This will be hard to do, but if it is the right company I would try</v>
      </c>
      <c r="H1271" s="1" t="str">
        <f ca="1">IFERROR(__xludf.DUMMYFUNCTION("""COMPUTED_VALUE"""),"No")</f>
        <v>No</v>
      </c>
      <c r="I1271" s="1" t="str">
        <f ca="1">IFERROR(__xludf.DUMMYFUNCTION("""COMPUTED_VALUE"""),"Will NOT work for them")</f>
        <v>Will NOT work for them</v>
      </c>
      <c r="J1271" s="1">
        <f ca="1">IFERROR(__xludf.DUMMYFUNCTION("""COMPUTED_VALUE"""),8)</f>
        <v>8</v>
      </c>
      <c r="K1271" s="1" t="str">
        <f ca="1">IFERROR(__xludf.DUMMYFUNCTION("""COMPUTED_VALUE"""),"Hybrid Working Environment with less than 3 days a month at office")</f>
        <v>Hybrid Working Environment with less than 3 days a month at office</v>
      </c>
      <c r="L1271" s="1" t="str">
        <f ca="1">IFERROR(__xludf.DUMMYFUNCTION("""COMPUTED_VALUE"""),"Employer who pushes your limits by enabling an learning environment, and rewards you at the end")</f>
        <v>Employer who pushes your limits by enabling an learning environment, and rewards you at the end</v>
      </c>
      <c r="M1271" s="1" t="str">
        <f ca="1">IFERROR(__xludf.DUMMYFUNCTION("""COMPUTED_VALUE"""),"Instructor or Expert Learning Programs, Learning by observing others, Manager Teaching you")</f>
        <v>Instructor or Expert Learning Programs, Learning by observing others, Manager Teaching you</v>
      </c>
      <c r="N1271"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1" s="1" t="str">
        <f ca="1">IFERROR(__xludf.DUMMYFUNCTION("""COMPUTED_VALUE"""),"Manager who clearly describes what she/he needs")</f>
        <v>Manager who clearly describes what she/he needs</v>
      </c>
      <c r="P1271" s="1" t="str">
        <f ca="1">IFERROR(__xludf.DUMMYFUNCTION("""COMPUTED_VALUE"""),"Work with 5 to 6 people in my team")</f>
        <v>Work with 5 to 6 people in my team</v>
      </c>
      <c r="Q1271" s="1"/>
    </row>
    <row r="1272" spans="1:17" ht="13.2" x14ac:dyDescent="0.25">
      <c r="A1272" s="2">
        <f ca="1">IFERROR(__xludf.DUMMYFUNCTION("""COMPUTED_VALUE"""),45044.5788726273)</f>
        <v>45044.578872627302</v>
      </c>
      <c r="B1272" s="1" t="str">
        <f ca="1">IFERROR(__xludf.DUMMYFUNCTION("""COMPUTED_VALUE"""),"India")</f>
        <v>India</v>
      </c>
      <c r="C1272" s="1">
        <f ca="1">IFERROR(__xludf.DUMMYFUNCTION("""COMPUTED_VALUE"""),411057)</f>
        <v>411057</v>
      </c>
      <c r="D1272" s="3" t="str">
        <f ca="1">IFERROR(__xludf.DUMMYFUNCTION("""COMPUTED_VALUE"""),"Male")</f>
        <v>Male</v>
      </c>
      <c r="E1272" s="1" t="str">
        <f ca="1">IFERROR(__xludf.DUMMYFUNCTION("""COMPUTED_VALUE"""),"People who have changed the world for better")</f>
        <v>People who have changed the world for better</v>
      </c>
      <c r="F1272" s="1" t="str">
        <f ca="1">IFERROR(__xludf.DUMMYFUNCTION("""COMPUTED_VALUE"""),"No, But if someone could bare the cost I will")</f>
        <v>No, But if someone could bare the cost I will</v>
      </c>
      <c r="G1272" s="1" t="str">
        <f ca="1">IFERROR(__xludf.DUMMYFUNCTION("""COMPUTED_VALUE"""),"This will be hard to do, but if it is the right company I would try")</f>
        <v>This will be hard to do, but if it is the right company I would try</v>
      </c>
      <c r="H1272" s="1" t="str">
        <f ca="1">IFERROR(__xludf.DUMMYFUNCTION("""COMPUTED_VALUE"""),"Yes")</f>
        <v>Yes</v>
      </c>
      <c r="I1272" s="1" t="str">
        <f ca="1">IFERROR(__xludf.DUMMYFUNCTION("""COMPUTED_VALUE"""),"Will work for them")</f>
        <v>Will work for them</v>
      </c>
      <c r="J1272" s="1">
        <f ca="1">IFERROR(__xludf.DUMMYFUNCTION("""COMPUTED_VALUE"""),8)</f>
        <v>8</v>
      </c>
      <c r="K1272" s="1" t="str">
        <f ca="1">IFERROR(__xludf.DUMMYFUNCTION("""COMPUTED_VALUE"""),"Fully Remote with Options to travel as and when needed")</f>
        <v>Fully Remote with Options to travel as and when needed</v>
      </c>
      <c r="L1272" s="1" t="str">
        <f ca="1">IFERROR(__xludf.DUMMYFUNCTION("""COMPUTED_VALUE"""),"Employer who appreciates learning and enables that environment")</f>
        <v>Employer who appreciates learning and enables that environment</v>
      </c>
      <c r="M127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72"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72" s="1" t="str">
        <f ca="1">IFERROR(__xludf.DUMMYFUNCTION("""COMPUTED_VALUE"""),"Manager who clearly describes what she/he needs")</f>
        <v>Manager who clearly describes what she/he needs</v>
      </c>
      <c r="P1272" s="1" t="str">
        <f ca="1">IFERROR(__xludf.DUMMYFUNCTION("""COMPUTED_VALUE"""),"Work alone, Work with 2 to 3 people in my team, Work with 5 to 6 people in my team")</f>
        <v>Work alone, Work with 2 to 3 people in my team, Work with 5 to 6 people in my team</v>
      </c>
      <c r="Q1272" s="1"/>
    </row>
    <row r="1273" spans="1:17" ht="13.2" x14ac:dyDescent="0.25">
      <c r="A1273" s="2">
        <f ca="1">IFERROR(__xludf.DUMMYFUNCTION("""COMPUTED_VALUE"""),45044.5817074768)</f>
        <v>45044.581707476798</v>
      </c>
      <c r="B1273" s="1" t="str">
        <f ca="1">IFERROR(__xludf.DUMMYFUNCTION("""COMPUTED_VALUE"""),"India")</f>
        <v>India</v>
      </c>
      <c r="C1273" s="1">
        <f ca="1">IFERROR(__xludf.DUMMYFUNCTION("""COMPUTED_VALUE"""),700029)</f>
        <v>700029</v>
      </c>
      <c r="D1273" s="3" t="str">
        <f ca="1">IFERROR(__xludf.DUMMYFUNCTION("""COMPUTED_VALUE"""),"Male")</f>
        <v>Male</v>
      </c>
      <c r="E1273" s="1" t="str">
        <f ca="1">IFERROR(__xludf.DUMMYFUNCTION("""COMPUTED_VALUE"""),"Social Media like LinkedIn")</f>
        <v>Social Media like LinkedIn</v>
      </c>
      <c r="F1273" s="1" t="str">
        <f ca="1">IFERROR(__xludf.DUMMYFUNCTION("""COMPUTED_VALUE"""),"Yes, I will earn and do that")</f>
        <v>Yes, I will earn and do that</v>
      </c>
      <c r="G1273" s="1" t="str">
        <f ca="1">IFERROR(__xludf.DUMMYFUNCTION("""COMPUTED_VALUE"""),"Will work for 3 years or more")</f>
        <v>Will work for 3 years or more</v>
      </c>
      <c r="H1273" s="1" t="str">
        <f ca="1">IFERROR(__xludf.DUMMYFUNCTION("""COMPUTED_VALUE"""),"No")</f>
        <v>No</v>
      </c>
      <c r="I1273" s="1" t="str">
        <f ca="1">IFERROR(__xludf.DUMMYFUNCTION("""COMPUTED_VALUE"""),"Will NOT work for them")</f>
        <v>Will NOT work for them</v>
      </c>
      <c r="J1273" s="1">
        <f ca="1">IFERROR(__xludf.DUMMYFUNCTION("""COMPUTED_VALUE"""),4)</f>
        <v>4</v>
      </c>
      <c r="K1273" s="1" t="str">
        <f ca="1">IFERROR(__xludf.DUMMYFUNCTION("""COMPUTED_VALUE"""),"Hybrid Working Environment with more than 15 days a month at office")</f>
        <v>Hybrid Working Environment with more than 15 days a month at office</v>
      </c>
      <c r="L1273" s="1" t="str">
        <f ca="1">IFERROR(__xludf.DUMMYFUNCTION("""COMPUTED_VALUE"""),"Employer who pushes your limits by enabling an learning environment, and rewards you at the end")</f>
        <v>Employer who pushes your limits by enabling an learning environment, and rewards you at the end</v>
      </c>
      <c r="M1273"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27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273" s="1" t="str">
        <f ca="1">IFERROR(__xludf.DUMMYFUNCTION("""COMPUTED_VALUE"""),"Manager who explains what is expected, sets a goal and helps achieve it")</f>
        <v>Manager who explains what is expected, sets a goal and helps achieve it</v>
      </c>
      <c r="P1273" s="1" t="str">
        <f ca="1">IFERROR(__xludf.DUMMYFUNCTION("""COMPUTED_VALUE"""),"Work with 5 to 6 people in my team")</f>
        <v>Work with 5 to 6 people in my team</v>
      </c>
      <c r="Q1273" s="1"/>
    </row>
    <row r="1274" spans="1:17" ht="13.2" x14ac:dyDescent="0.25">
      <c r="A1274" s="2">
        <f ca="1">IFERROR(__xludf.DUMMYFUNCTION("""COMPUTED_VALUE"""),45044.5859137615)</f>
        <v>45044.585913761497</v>
      </c>
      <c r="B1274" s="1" t="str">
        <f ca="1">IFERROR(__xludf.DUMMYFUNCTION("""COMPUTED_VALUE"""),"India")</f>
        <v>India</v>
      </c>
      <c r="C1274" s="1">
        <f ca="1">IFERROR(__xludf.DUMMYFUNCTION("""COMPUTED_VALUE"""),400009)</f>
        <v>400009</v>
      </c>
      <c r="D1274" s="3" t="str">
        <f ca="1">IFERROR(__xludf.DUMMYFUNCTION("""COMPUTED_VALUE"""),"Female")</f>
        <v>Female</v>
      </c>
      <c r="E1274" s="1" t="str">
        <f ca="1">IFERROR(__xludf.DUMMYFUNCTION("""COMPUTED_VALUE"""),"My Parents")</f>
        <v>My Parents</v>
      </c>
      <c r="F1274" s="1" t="str">
        <f ca="1">IFERROR(__xludf.DUMMYFUNCTION("""COMPUTED_VALUE"""),"No, But if someone could bare the cost I will")</f>
        <v>No, But if someone could bare the cost I will</v>
      </c>
      <c r="G1274" s="1" t="str">
        <f ca="1">IFERROR(__xludf.DUMMYFUNCTION("""COMPUTED_VALUE"""),"Will work for 3 years or more")</f>
        <v>Will work for 3 years or more</v>
      </c>
      <c r="H1274" s="1" t="str">
        <f ca="1">IFERROR(__xludf.DUMMYFUNCTION("""COMPUTED_VALUE"""),"No")</f>
        <v>No</v>
      </c>
      <c r="I1274" s="1" t="str">
        <f ca="1">IFERROR(__xludf.DUMMYFUNCTION("""COMPUTED_VALUE"""),"Will NOT work for them")</f>
        <v>Will NOT work for them</v>
      </c>
      <c r="J1274" s="1">
        <f ca="1">IFERROR(__xludf.DUMMYFUNCTION("""COMPUTED_VALUE"""),3)</f>
        <v>3</v>
      </c>
      <c r="K1274" s="1" t="str">
        <f ca="1">IFERROR(__xludf.DUMMYFUNCTION("""COMPUTED_VALUE"""),"Hybrid Working Environment with more than 15 days a month at office")</f>
        <v>Hybrid Working Environment with more than 15 days a month at office</v>
      </c>
      <c r="L1274" s="1" t="str">
        <f ca="1">IFERROR(__xludf.DUMMYFUNCTION("""COMPUTED_VALUE"""),"Employer who pushes your limits by enabling an learning environment, and rewards you at the end")</f>
        <v>Employer who pushes your limits by enabling an learning environment, and rewards you at the end</v>
      </c>
      <c r="M127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74"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274" s="1" t="str">
        <f ca="1">IFERROR(__xludf.DUMMYFUNCTION("""COMPUTED_VALUE"""),"Manager who explains what is expected, sets a goal and helps achieve it")</f>
        <v>Manager who explains what is expected, sets a goal and helps achieve it</v>
      </c>
      <c r="P1274" s="1" t="str">
        <f ca="1">IFERROR(__xludf.DUMMYFUNCTION("""COMPUTED_VALUE"""),"Work with 5 to 6 people in my team, Work with 7 to 10 or more people in my team")</f>
        <v>Work with 5 to 6 people in my team, Work with 7 to 10 or more people in my team</v>
      </c>
      <c r="Q1274" s="1"/>
    </row>
    <row r="1275" spans="1:17" ht="13.2" x14ac:dyDescent="0.25">
      <c r="A1275" s="2">
        <f ca="1">IFERROR(__xludf.DUMMYFUNCTION("""COMPUTED_VALUE"""),45044.5884275925)</f>
        <v>45044.588427592498</v>
      </c>
      <c r="B1275" s="1" t="str">
        <f ca="1">IFERROR(__xludf.DUMMYFUNCTION("""COMPUTED_VALUE"""),"India")</f>
        <v>India</v>
      </c>
      <c r="C1275" s="1">
        <f ca="1">IFERROR(__xludf.DUMMYFUNCTION("""COMPUTED_VALUE"""),411044)</f>
        <v>411044</v>
      </c>
      <c r="D1275" s="3" t="str">
        <f ca="1">IFERROR(__xludf.DUMMYFUNCTION("""COMPUTED_VALUE"""),"Male")</f>
        <v>Male</v>
      </c>
      <c r="E1275" s="1" t="str">
        <f ca="1">IFERROR(__xludf.DUMMYFUNCTION("""COMPUTED_VALUE"""),"People who have changed the world for better")</f>
        <v>People who have changed the world for better</v>
      </c>
      <c r="F1275" s="1" t="str">
        <f ca="1">IFERROR(__xludf.DUMMYFUNCTION("""COMPUTED_VALUE"""),"Yes, I will earn and do that")</f>
        <v>Yes, I will earn and do that</v>
      </c>
      <c r="G1275" s="1" t="str">
        <f ca="1">IFERROR(__xludf.DUMMYFUNCTION("""COMPUTED_VALUE"""),"This will be hard to do, but if it is the right company I would try")</f>
        <v>This will be hard to do, but if it is the right company I would try</v>
      </c>
      <c r="H1275" s="1" t="str">
        <f ca="1">IFERROR(__xludf.DUMMYFUNCTION("""COMPUTED_VALUE"""),"No")</f>
        <v>No</v>
      </c>
      <c r="I1275" s="1" t="str">
        <f ca="1">IFERROR(__xludf.DUMMYFUNCTION("""COMPUTED_VALUE"""),"Will NOT work for them")</f>
        <v>Will NOT work for them</v>
      </c>
      <c r="J1275" s="1">
        <f ca="1">IFERROR(__xludf.DUMMYFUNCTION("""COMPUTED_VALUE"""),4)</f>
        <v>4</v>
      </c>
      <c r="K1275" s="1" t="str">
        <f ca="1">IFERROR(__xludf.DUMMYFUNCTION("""COMPUTED_VALUE"""),"Hybrid Working Environment with less than 3 days a month at office")</f>
        <v>Hybrid Working Environment with less than 3 days a month at office</v>
      </c>
      <c r="L1275" s="1" t="str">
        <f ca="1">IFERROR(__xludf.DUMMYFUNCTION("""COMPUTED_VALUE"""),"Employer who pushes your limits by enabling an learning environment, and rewards you at the end")</f>
        <v>Employer who pushes your limits by enabling an learning environment, and rewards you at the end</v>
      </c>
      <c r="M1275"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75"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275" s="1" t="str">
        <f ca="1">IFERROR(__xludf.DUMMYFUNCTION("""COMPUTED_VALUE"""),"Manager who explains what is expected, sets a goal and helps achieve it")</f>
        <v>Manager who explains what is expected, sets a goal and helps achieve it</v>
      </c>
      <c r="P1275" s="1" t="str">
        <f ca="1">IFERROR(__xludf.DUMMYFUNCTION("""COMPUTED_VALUE"""),"Work with 5 to 6 people in my team")</f>
        <v>Work with 5 to 6 people in my team</v>
      </c>
      <c r="Q1275" s="1"/>
    </row>
    <row r="1276" spans="1:17" ht="13.2" x14ac:dyDescent="0.25">
      <c r="A1276" s="2">
        <f ca="1">IFERROR(__xludf.DUMMYFUNCTION("""COMPUTED_VALUE"""),45044.588718773)</f>
        <v>45044.588718772997</v>
      </c>
      <c r="B1276" s="1" t="str">
        <f ca="1">IFERROR(__xludf.DUMMYFUNCTION("""COMPUTED_VALUE"""),"India")</f>
        <v>India</v>
      </c>
      <c r="C1276" s="1">
        <f ca="1">IFERROR(__xludf.DUMMYFUNCTION("""COMPUTED_VALUE"""),560036)</f>
        <v>560036</v>
      </c>
      <c r="D1276" s="3" t="str">
        <f ca="1">IFERROR(__xludf.DUMMYFUNCTION("""COMPUTED_VALUE"""),"Male")</f>
        <v>Male</v>
      </c>
      <c r="E1276" s="1" t="str">
        <f ca="1">IFERROR(__xludf.DUMMYFUNCTION("""COMPUTED_VALUE"""),"Social Media like LinkedIn")</f>
        <v>Social Media like LinkedIn</v>
      </c>
      <c r="F1276" s="1" t="str">
        <f ca="1">IFERROR(__xludf.DUMMYFUNCTION("""COMPUTED_VALUE"""),"No I would not be pursuing Higher Education outside of India")</f>
        <v>No I would not be pursuing Higher Education outside of India</v>
      </c>
      <c r="G1276" s="1" t="str">
        <f ca="1">IFERROR(__xludf.DUMMYFUNCTION("""COMPUTED_VALUE"""),"This will be hard to do, but if it is the right company I would try")</f>
        <v>This will be hard to do, but if it is the right company I would try</v>
      </c>
      <c r="H1276" s="1" t="str">
        <f ca="1">IFERROR(__xludf.DUMMYFUNCTION("""COMPUTED_VALUE"""),"Yes")</f>
        <v>Yes</v>
      </c>
      <c r="I1276" s="1" t="str">
        <f ca="1">IFERROR(__xludf.DUMMYFUNCTION("""COMPUTED_VALUE"""),"Will work for them")</f>
        <v>Will work for them</v>
      </c>
      <c r="J1276" s="1">
        <f ca="1">IFERROR(__xludf.DUMMYFUNCTION("""COMPUTED_VALUE"""),9)</f>
        <v>9</v>
      </c>
      <c r="K1276" s="1" t="str">
        <f ca="1">IFERROR(__xludf.DUMMYFUNCTION("""COMPUTED_VALUE"""),"Hybrid Working Environment with more than 15 days a month at office")</f>
        <v>Hybrid Working Environment with more than 15 days a month at office</v>
      </c>
      <c r="L1276" s="1" t="str">
        <f ca="1">IFERROR(__xludf.DUMMYFUNCTION("""COMPUTED_VALUE"""),"Employer who rewards learning and enables that environment")</f>
        <v>Employer who rewards learning and enables that environment</v>
      </c>
      <c r="M12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6" s="1" t="str">
        <f ca="1">IFERROR(__xludf.DUMMYFUNCTION("""COMPUTED_VALUE"""),"Manager who explains what is expected, sets a goal and helps achieve it")</f>
        <v>Manager who explains what is expected, sets a goal and helps achieve it</v>
      </c>
      <c r="P1276" s="1" t="str">
        <f ca="1">IFERROR(__xludf.DUMMYFUNCTION("""COMPUTED_VALUE"""),"Work with more than 10 people in my team")</f>
        <v>Work with more than 10 people in my team</v>
      </c>
      <c r="Q1276" s="1"/>
    </row>
    <row r="1277" spans="1:17" ht="13.2" x14ac:dyDescent="0.25">
      <c r="A1277" s="2">
        <f ca="1">IFERROR(__xludf.DUMMYFUNCTION("""COMPUTED_VALUE"""),45044.5896024074)</f>
        <v>45044.589602407403</v>
      </c>
      <c r="B1277" s="1" t="str">
        <f ca="1">IFERROR(__xludf.DUMMYFUNCTION("""COMPUTED_VALUE"""),"India")</f>
        <v>India</v>
      </c>
      <c r="C1277" s="1">
        <f ca="1">IFERROR(__xludf.DUMMYFUNCTION("""COMPUTED_VALUE"""),500053)</f>
        <v>500053</v>
      </c>
      <c r="D1277" s="3" t="str">
        <f ca="1">IFERROR(__xludf.DUMMYFUNCTION("""COMPUTED_VALUE"""),"Male")</f>
        <v>Male</v>
      </c>
      <c r="E1277" s="1" t="str">
        <f ca="1">IFERROR(__xludf.DUMMYFUNCTION("""COMPUTED_VALUE"""),"People who have changed the world for better")</f>
        <v>People who have changed the world for better</v>
      </c>
      <c r="F1277" s="1" t="str">
        <f ca="1">IFERROR(__xludf.DUMMYFUNCTION("""COMPUTED_VALUE"""),"No I would not be pursuing Higher Education outside of India")</f>
        <v>No I would not be pursuing Higher Education outside of India</v>
      </c>
      <c r="G1277" s="1" t="str">
        <f ca="1">IFERROR(__xludf.DUMMYFUNCTION("""COMPUTED_VALUE"""),"Will work for 3 years or more")</f>
        <v>Will work for 3 years or more</v>
      </c>
      <c r="H1277" s="1" t="str">
        <f ca="1">IFERROR(__xludf.DUMMYFUNCTION("""COMPUTED_VALUE"""),"No")</f>
        <v>No</v>
      </c>
      <c r="I1277" s="1" t="str">
        <f ca="1">IFERROR(__xludf.DUMMYFUNCTION("""COMPUTED_VALUE"""),"Will NOT work for them")</f>
        <v>Will NOT work for them</v>
      </c>
      <c r="J1277" s="1">
        <f ca="1">IFERROR(__xludf.DUMMYFUNCTION("""COMPUTED_VALUE"""),1)</f>
        <v>1</v>
      </c>
      <c r="K1277" s="1" t="str">
        <f ca="1">IFERROR(__xludf.DUMMYFUNCTION("""COMPUTED_VALUE"""),"Fully Remote with Options to travel as and when needed")</f>
        <v>Fully Remote with Options to travel as and when needed</v>
      </c>
      <c r="L1277" s="1" t="str">
        <f ca="1">IFERROR(__xludf.DUMMYFUNCTION("""COMPUTED_VALUE"""),"Employer who pushes your limits by enabling an learning environment, and rewards you at the end")</f>
        <v>Employer who pushes your limits by enabling an learning environment, and rewards you at the end</v>
      </c>
      <c r="M127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77"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277" s="1" t="str">
        <f ca="1">IFERROR(__xludf.DUMMYFUNCTION("""COMPUTED_VALUE"""),"Manager who clearly describes what she/he needs")</f>
        <v>Manager who clearly describes what she/he needs</v>
      </c>
      <c r="P1277" s="1" t="str">
        <f ca="1">IFERROR(__xludf.DUMMYFUNCTION("""COMPUTED_VALUE"""),"Work alone")</f>
        <v>Work alone</v>
      </c>
      <c r="Q1277" s="1"/>
    </row>
    <row r="1278" spans="1:17" ht="13.2" x14ac:dyDescent="0.25">
      <c r="A1278" s="2">
        <f ca="1">IFERROR(__xludf.DUMMYFUNCTION("""COMPUTED_VALUE"""),45044.5902179513)</f>
        <v>45044.5902179513</v>
      </c>
      <c r="B1278" s="1" t="str">
        <f ca="1">IFERROR(__xludf.DUMMYFUNCTION("""COMPUTED_VALUE"""),"India")</f>
        <v>India</v>
      </c>
      <c r="C1278" s="1">
        <f ca="1">IFERROR(__xludf.DUMMYFUNCTION("""COMPUTED_VALUE"""),440013)</f>
        <v>440013</v>
      </c>
      <c r="D1278" s="3" t="str">
        <f ca="1">IFERROR(__xludf.DUMMYFUNCTION("""COMPUTED_VALUE"""),"Male")</f>
        <v>Male</v>
      </c>
      <c r="E1278" s="1" t="str">
        <f ca="1">IFERROR(__xludf.DUMMYFUNCTION("""COMPUTED_VALUE"""),"Influencers who had successful careers")</f>
        <v>Influencers who had successful careers</v>
      </c>
      <c r="F1278" s="1" t="str">
        <f ca="1">IFERROR(__xludf.DUMMYFUNCTION("""COMPUTED_VALUE"""),"No, But if someone could bare the cost I will")</f>
        <v>No, But if someone could bare the cost I will</v>
      </c>
      <c r="G1278" s="1" t="str">
        <f ca="1">IFERROR(__xludf.DUMMYFUNCTION("""COMPUTED_VALUE"""),"This will be hard to do, but if it is the right company I would try")</f>
        <v>This will be hard to do, but if it is the right company I would try</v>
      </c>
      <c r="H1278" s="1" t="str">
        <f ca="1">IFERROR(__xludf.DUMMYFUNCTION("""COMPUTED_VALUE"""),"Yes")</f>
        <v>Yes</v>
      </c>
      <c r="I1278" s="1" t="str">
        <f ca="1">IFERROR(__xludf.DUMMYFUNCTION("""COMPUTED_VALUE"""),"Will NOT work for them")</f>
        <v>Will NOT work for them</v>
      </c>
      <c r="J1278" s="1">
        <f ca="1">IFERROR(__xludf.DUMMYFUNCTION("""COMPUTED_VALUE"""),7)</f>
        <v>7</v>
      </c>
      <c r="K1278" s="1" t="str">
        <f ca="1">IFERROR(__xludf.DUMMYFUNCTION("""COMPUTED_VALUE"""),"Fully Remote with No option to visit offices")</f>
        <v>Fully Remote with No option to visit offices</v>
      </c>
      <c r="L1278" s="1" t="str">
        <f ca="1">IFERROR(__xludf.DUMMYFUNCTION("""COMPUTED_VALUE"""),"Employer who rewards learning and enables that environment")</f>
        <v>Employer who rewards learning and enables that environment</v>
      </c>
      <c r="M1278" s="1" t="str">
        <f ca="1">IFERROR(__xludf.DUMMYFUNCTION("""COMPUTED_VALUE"""),"Instructor or Expert Learning Programs, Self Purchased Course from External Platforms, Manager Teaching you")</f>
        <v>Instructor or Expert Learning Programs, Self Purchased Course from External Platforms, Manager Teaching you</v>
      </c>
      <c r="N127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1278" s="1" t="str">
        <f ca="1">IFERROR(__xludf.DUMMYFUNCTION("""COMPUTED_VALUE"""),"Manager who explains what is expected, sets a goal and helps achieve it")</f>
        <v>Manager who explains what is expected, sets a goal and helps achieve it</v>
      </c>
      <c r="P1278" s="1" t="str">
        <f ca="1">IFERROR(__xludf.DUMMYFUNCTION("""COMPUTED_VALUE"""),"Work with more than 10 people in my team")</f>
        <v>Work with more than 10 people in my team</v>
      </c>
      <c r="Q1278" s="1"/>
    </row>
    <row r="1279" spans="1:17" ht="13.2" x14ac:dyDescent="0.25">
      <c r="A1279" s="2">
        <f ca="1">IFERROR(__xludf.DUMMYFUNCTION("""COMPUTED_VALUE"""),45044.5909910763)</f>
        <v>45044.5909910763</v>
      </c>
      <c r="B1279" s="1" t="str">
        <f ca="1">IFERROR(__xludf.DUMMYFUNCTION("""COMPUTED_VALUE"""),"India")</f>
        <v>India</v>
      </c>
      <c r="C1279" s="1">
        <f ca="1">IFERROR(__xludf.DUMMYFUNCTION("""COMPUTED_VALUE"""),221405)</f>
        <v>221405</v>
      </c>
      <c r="D1279" s="3" t="str">
        <f ca="1">IFERROR(__xludf.DUMMYFUNCTION("""COMPUTED_VALUE"""),"Female")</f>
        <v>Female</v>
      </c>
      <c r="E1279" s="1" t="str">
        <f ca="1">IFERROR(__xludf.DUMMYFUNCTION("""COMPUTED_VALUE"""),"My Parents")</f>
        <v>My Parents</v>
      </c>
      <c r="F1279" s="1" t="str">
        <f ca="1">IFERROR(__xludf.DUMMYFUNCTION("""COMPUTED_VALUE"""),"No, But if someone could bare the cost I will")</f>
        <v>No, But if someone could bare the cost I will</v>
      </c>
      <c r="G1279" s="1" t="str">
        <f ca="1">IFERROR(__xludf.DUMMYFUNCTION("""COMPUTED_VALUE"""),"Will work for 3 years or more")</f>
        <v>Will work for 3 years or more</v>
      </c>
      <c r="H1279" s="1" t="str">
        <f ca="1">IFERROR(__xludf.DUMMYFUNCTION("""COMPUTED_VALUE"""),"No")</f>
        <v>No</v>
      </c>
      <c r="I1279" s="1" t="str">
        <f ca="1">IFERROR(__xludf.DUMMYFUNCTION("""COMPUTED_VALUE"""),"Will NOT work for them")</f>
        <v>Will NOT work for them</v>
      </c>
      <c r="J1279" s="1">
        <f ca="1">IFERROR(__xludf.DUMMYFUNCTION("""COMPUTED_VALUE"""),6)</f>
        <v>6</v>
      </c>
      <c r="K1279" s="1" t="str">
        <f ca="1">IFERROR(__xludf.DUMMYFUNCTION("""COMPUTED_VALUE"""),"Every Day Office Environment")</f>
        <v>Every Day Office Environment</v>
      </c>
      <c r="L1279" s="1" t="str">
        <f ca="1">IFERROR(__xludf.DUMMYFUNCTION("""COMPUTED_VALUE"""),"Employer who appreciates learning and enables that environment")</f>
        <v>Employer who appreciates learning and enables that environment</v>
      </c>
      <c r="M12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9"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279" s="1" t="str">
        <f ca="1">IFERROR(__xludf.DUMMYFUNCTION("""COMPUTED_VALUE"""),"Manager who sets goal and helps me achieve it")</f>
        <v>Manager who sets goal and helps me achieve it</v>
      </c>
      <c r="P1279" s="1" t="str">
        <f ca="1">IFERROR(__xludf.DUMMYFUNCTION("""COMPUTED_VALUE"""),"Work with 5 to 6 people in my team")</f>
        <v>Work with 5 to 6 people in my team</v>
      </c>
      <c r="Q1279" s="1"/>
    </row>
    <row r="1280" spans="1:17" ht="13.2" x14ac:dyDescent="0.25">
      <c r="A1280" s="2">
        <f ca="1">IFERROR(__xludf.DUMMYFUNCTION("""COMPUTED_VALUE"""),45044.5945166319)</f>
        <v>45044.5945166319</v>
      </c>
      <c r="B1280" s="1" t="str">
        <f ca="1">IFERROR(__xludf.DUMMYFUNCTION("""COMPUTED_VALUE"""),"India")</f>
        <v>India</v>
      </c>
      <c r="C1280" s="1">
        <f ca="1">IFERROR(__xludf.DUMMYFUNCTION("""COMPUTED_VALUE"""),411058)</f>
        <v>411058</v>
      </c>
      <c r="D1280" s="3" t="str">
        <f ca="1">IFERROR(__xludf.DUMMYFUNCTION("""COMPUTED_VALUE"""),"Male")</f>
        <v>Male</v>
      </c>
      <c r="E1280" s="1" t="str">
        <f ca="1">IFERROR(__xludf.DUMMYFUNCTION("""COMPUTED_VALUE"""),"People from my circle, but not family members")</f>
        <v>People from my circle, but not family members</v>
      </c>
      <c r="F1280" s="1" t="str">
        <f ca="1">IFERROR(__xludf.DUMMYFUNCTION("""COMPUTED_VALUE"""),"No, But if someone could bare the cost I will")</f>
        <v>No, But if someone could bare the cost I will</v>
      </c>
      <c r="G1280" s="1" t="str">
        <f ca="1">IFERROR(__xludf.DUMMYFUNCTION("""COMPUTED_VALUE"""),"This will be hard to do, but if it is the right company I would try")</f>
        <v>This will be hard to do, but if it is the right company I would try</v>
      </c>
      <c r="H1280" s="1" t="str">
        <f ca="1">IFERROR(__xludf.DUMMYFUNCTION("""COMPUTED_VALUE"""),"Yes")</f>
        <v>Yes</v>
      </c>
      <c r="I1280" s="1" t="str">
        <f ca="1">IFERROR(__xludf.DUMMYFUNCTION("""COMPUTED_VALUE"""),"Will NOT work for them")</f>
        <v>Will NOT work for them</v>
      </c>
      <c r="J1280" s="1">
        <f ca="1">IFERROR(__xludf.DUMMYFUNCTION("""COMPUTED_VALUE"""),8)</f>
        <v>8</v>
      </c>
      <c r="K1280" s="1" t="str">
        <f ca="1">IFERROR(__xludf.DUMMYFUNCTION("""COMPUTED_VALUE"""),"Fully Remote with Options to travel as and when needed")</f>
        <v>Fully Remote with Options to travel as and when needed</v>
      </c>
      <c r="L1280" s="1" t="str">
        <f ca="1">IFERROR(__xludf.DUMMYFUNCTION("""COMPUTED_VALUE"""),"Employer who rewards learning and enables that environment")</f>
        <v>Employer who rewards learning and enables that environment</v>
      </c>
      <c r="M128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80"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280" s="1" t="str">
        <f ca="1">IFERROR(__xludf.DUMMYFUNCTION("""COMPUTED_VALUE"""),"Manager who clearly describes what she/he needs")</f>
        <v>Manager who clearly describes what she/he needs</v>
      </c>
      <c r="P1280" s="1" t="str">
        <f ca="1">IFERROR(__xludf.DUMMYFUNCTION("""COMPUTED_VALUE"""),"Work with 2 to 3 people in my team")</f>
        <v>Work with 2 to 3 people in my team</v>
      </c>
      <c r="Q1280" s="1"/>
    </row>
    <row r="1281" spans="1:17" ht="13.2" x14ac:dyDescent="0.25">
      <c r="A1281" s="2">
        <f ca="1">IFERROR(__xludf.DUMMYFUNCTION("""COMPUTED_VALUE"""),45044.5969660416)</f>
        <v>45044.596966041601</v>
      </c>
      <c r="B1281" s="1" t="str">
        <f ca="1">IFERROR(__xludf.DUMMYFUNCTION("""COMPUTED_VALUE"""),"India")</f>
        <v>India</v>
      </c>
      <c r="C1281" s="1">
        <f ca="1">IFERROR(__xludf.DUMMYFUNCTION("""COMPUTED_VALUE"""),520012)</f>
        <v>520012</v>
      </c>
      <c r="D1281" s="3" t="str">
        <f ca="1">IFERROR(__xludf.DUMMYFUNCTION("""COMPUTED_VALUE"""),"Female")</f>
        <v>Female</v>
      </c>
      <c r="E1281" s="1" t="str">
        <f ca="1">IFERROR(__xludf.DUMMYFUNCTION("""COMPUTED_VALUE"""),"People from my circle, but not family members")</f>
        <v>People from my circle, but not family members</v>
      </c>
      <c r="F1281" s="1" t="str">
        <f ca="1">IFERROR(__xludf.DUMMYFUNCTION("""COMPUTED_VALUE"""),"No I would not be pursuing Higher Education outside of India")</f>
        <v>No I would not be pursuing Higher Education outside of India</v>
      </c>
      <c r="G1281" s="1" t="str">
        <f ca="1">IFERROR(__xludf.DUMMYFUNCTION("""COMPUTED_VALUE"""),"This will be hard to do, but if it is the right company I would try")</f>
        <v>This will be hard to do, but if it is the right company I would try</v>
      </c>
      <c r="H1281" s="1" t="str">
        <f ca="1">IFERROR(__xludf.DUMMYFUNCTION("""COMPUTED_VALUE"""),"No")</f>
        <v>No</v>
      </c>
      <c r="I1281" s="1" t="str">
        <f ca="1">IFERROR(__xludf.DUMMYFUNCTION("""COMPUTED_VALUE"""),"Will NOT work for them")</f>
        <v>Will NOT work for them</v>
      </c>
      <c r="J1281" s="1">
        <f ca="1">IFERROR(__xludf.DUMMYFUNCTION("""COMPUTED_VALUE"""),5)</f>
        <v>5</v>
      </c>
      <c r="K1281" s="1" t="str">
        <f ca="1">IFERROR(__xludf.DUMMYFUNCTION("""COMPUTED_VALUE"""),"Every Day Office Environment")</f>
        <v>Every Day Office Environment</v>
      </c>
      <c r="L1281" s="1" t="str">
        <f ca="1">IFERROR(__xludf.DUMMYFUNCTION("""COMPUTED_VALUE"""),"Employer who appreciates learning and enables that environment")</f>
        <v>Employer who appreciates learning and enables that environment</v>
      </c>
      <c r="M1281" s="1" t="str">
        <f ca="1">IFERROR(__xludf.DUMMYFUNCTION("""COMPUTED_VALUE"""),"Instructor or Expert Learning Programs, Learning by observing others, Manager Teaching you")</f>
        <v>Instructor or Expert Learning Programs, Learning by observing others, Manager Teaching you</v>
      </c>
      <c r="N1281"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281" s="1" t="str">
        <f ca="1">IFERROR(__xludf.DUMMYFUNCTION("""COMPUTED_VALUE"""),"Manager who clearly describes what she/he needs")</f>
        <v>Manager who clearly describes what she/he needs</v>
      </c>
      <c r="P1281" s="1" t="str">
        <f ca="1">IFERROR(__xludf.DUMMYFUNCTION("""COMPUTED_VALUE"""),"Work with 2 to 3 people in my team")</f>
        <v>Work with 2 to 3 people in my team</v>
      </c>
      <c r="Q1281" s="1"/>
    </row>
    <row r="1282" spans="1:17" ht="13.2" x14ac:dyDescent="0.25">
      <c r="A1282" s="2">
        <f ca="1">IFERROR(__xludf.DUMMYFUNCTION("""COMPUTED_VALUE"""),45044.5971199884)</f>
        <v>45044.597119988401</v>
      </c>
      <c r="B1282" s="1" t="str">
        <f ca="1">IFERROR(__xludf.DUMMYFUNCTION("""COMPUTED_VALUE"""),"India")</f>
        <v>India</v>
      </c>
      <c r="C1282" s="1">
        <f ca="1">IFERROR(__xludf.DUMMYFUNCTION("""COMPUTED_VALUE"""),535002)</f>
        <v>535002</v>
      </c>
      <c r="D1282" s="3" t="str">
        <f ca="1">IFERROR(__xludf.DUMMYFUNCTION("""COMPUTED_VALUE"""),"Female")</f>
        <v>Female</v>
      </c>
      <c r="E1282" s="1" t="str">
        <f ca="1">IFERROR(__xludf.DUMMYFUNCTION("""COMPUTED_VALUE"""),"Social Media like LinkedIn")</f>
        <v>Social Media like LinkedIn</v>
      </c>
      <c r="F1282" s="1" t="str">
        <f ca="1">IFERROR(__xludf.DUMMYFUNCTION("""COMPUTED_VALUE"""),"No, But if someone could bare the cost I will")</f>
        <v>No, But if someone could bare the cost I will</v>
      </c>
      <c r="G1282" s="1" t="str">
        <f ca="1">IFERROR(__xludf.DUMMYFUNCTION("""COMPUTED_VALUE"""),"This will be hard to do, but if it is the right company I would try")</f>
        <v>This will be hard to do, but if it is the right company I would try</v>
      </c>
      <c r="H1282" s="1" t="str">
        <f ca="1">IFERROR(__xludf.DUMMYFUNCTION("""COMPUTED_VALUE"""),"No")</f>
        <v>No</v>
      </c>
      <c r="I1282" s="1" t="str">
        <f ca="1">IFERROR(__xludf.DUMMYFUNCTION("""COMPUTED_VALUE"""),"Will NOT work for them")</f>
        <v>Will NOT work for them</v>
      </c>
      <c r="J1282" s="1">
        <f ca="1">IFERROR(__xludf.DUMMYFUNCTION("""COMPUTED_VALUE"""),10)</f>
        <v>10</v>
      </c>
      <c r="K1282" s="1" t="str">
        <f ca="1">IFERROR(__xludf.DUMMYFUNCTION("""COMPUTED_VALUE"""),"Fully Remote with Options to travel as and when needed")</f>
        <v>Fully Remote with Options to travel as and when needed</v>
      </c>
      <c r="L1282" s="1" t="str">
        <f ca="1">IFERROR(__xludf.DUMMYFUNCTION("""COMPUTED_VALUE"""),"Employer who pushes your limits by enabling an learning environment, and rewards you at the end")</f>
        <v>Employer who pushes your limits by enabling an learning environment, and rewards you at the end</v>
      </c>
      <c r="M12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82" s="1" t="str">
        <f ca="1">IFERROR(__xludf.DUMMYFUNCTION("""COMPUTED_VALUE"""),"Design and Creative strategy in any company, Business Operations in any organization, Work in a BPO setup for some well known client, Work as a freelancer and do my thing my way")</f>
        <v>Design and Creative strategy in any company, Business Operations in any organization, Work in a BPO setup for some well known client, Work as a freelancer and do my thing my way</v>
      </c>
      <c r="O1282" s="1" t="str">
        <f ca="1">IFERROR(__xludf.DUMMYFUNCTION("""COMPUTED_VALUE"""),"Manager who explains what is expected, sets a goal and helps achieve it")</f>
        <v>Manager who explains what is expected, sets a goal and helps achieve it</v>
      </c>
      <c r="P1282"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282" s="1"/>
    </row>
    <row r="1283" spans="1:17" ht="13.2" x14ac:dyDescent="0.25">
      <c r="A1283" s="2">
        <f ca="1">IFERROR(__xludf.DUMMYFUNCTION("""COMPUTED_VALUE"""),45044.597342905)</f>
        <v>45044.597342904999</v>
      </c>
      <c r="B1283" s="1" t="str">
        <f ca="1">IFERROR(__xludf.DUMMYFUNCTION("""COMPUTED_VALUE"""),"India")</f>
        <v>India</v>
      </c>
      <c r="C1283" s="1">
        <f ca="1">IFERROR(__xludf.DUMMYFUNCTION("""COMPUTED_VALUE"""),638401)</f>
        <v>638401</v>
      </c>
      <c r="D1283" s="3" t="str">
        <f ca="1">IFERROR(__xludf.DUMMYFUNCTION("""COMPUTED_VALUE"""),"Female")</f>
        <v>Female</v>
      </c>
      <c r="E1283" s="1" t="str">
        <f ca="1">IFERROR(__xludf.DUMMYFUNCTION("""COMPUTED_VALUE"""),"Influencers who had successful careers")</f>
        <v>Influencers who had successful careers</v>
      </c>
      <c r="F1283" s="1" t="str">
        <f ca="1">IFERROR(__xludf.DUMMYFUNCTION("""COMPUTED_VALUE"""),"Yes, I will earn and do that")</f>
        <v>Yes, I will earn and do that</v>
      </c>
      <c r="G1283" s="1" t="str">
        <f ca="1">IFERROR(__xludf.DUMMYFUNCTION("""COMPUTED_VALUE"""),"Will work for 3 years or more")</f>
        <v>Will work for 3 years or more</v>
      </c>
      <c r="H1283" s="1" t="str">
        <f ca="1">IFERROR(__xludf.DUMMYFUNCTION("""COMPUTED_VALUE"""),"Yes")</f>
        <v>Yes</v>
      </c>
      <c r="I1283" s="1" t="str">
        <f ca="1">IFERROR(__xludf.DUMMYFUNCTION("""COMPUTED_VALUE"""),"Will work for them")</f>
        <v>Will work for them</v>
      </c>
      <c r="J1283" s="1">
        <f ca="1">IFERROR(__xludf.DUMMYFUNCTION("""COMPUTED_VALUE"""),3)</f>
        <v>3</v>
      </c>
      <c r="K1283" s="1" t="str">
        <f ca="1">IFERROR(__xludf.DUMMYFUNCTION("""COMPUTED_VALUE"""),"Hybrid Working Environment with more than 15 days a month at office")</f>
        <v>Hybrid Working Environment with more than 15 days a month at office</v>
      </c>
      <c r="L1283" s="1" t="str">
        <f ca="1">IFERROR(__xludf.DUMMYFUNCTION("""COMPUTED_VALUE"""),"Employer who appreciates learning and enables that environment")</f>
        <v>Employer who appreciates learning and enables that environment</v>
      </c>
      <c r="M1283" s="1" t="str">
        <f ca="1">IFERROR(__xludf.DUMMYFUNCTION("""COMPUTED_VALUE"""),"Learning by observing others, Self Purchased Course from External Platforms, Manager Teaching you")</f>
        <v>Learning by observing others, Self Purchased Course from External Platforms, Manager Teaching you</v>
      </c>
      <c r="N1283" s="1" t="str">
        <f ca="1">IFERROR(__xludf.DUMMYFUNCTION("""COMPUTED_VALUE"""),"Design and Creative strategy in any company, Manage and drive End-to-End Projects or Products, Design and Develop amazing software, Manufacturing / Oil and Gas/ Construction / Hard Physical Work related")</f>
        <v>Design and Creative strategy in any company, Manage and drive End-to-End Projects or Products, Design and Develop amazing software, Manufacturing / Oil and Gas/ Construction / Hard Physical Work related</v>
      </c>
      <c r="O1283" s="1" t="str">
        <f ca="1">IFERROR(__xludf.DUMMYFUNCTION("""COMPUTED_VALUE"""),"Manager who explains what is expected, sets a goal and helps achieve it")</f>
        <v>Manager who explains what is expected, sets a goal and helps achieve it</v>
      </c>
      <c r="P1283"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283" s="1"/>
    </row>
    <row r="1284" spans="1:17" ht="13.2" x14ac:dyDescent="0.25">
      <c r="A1284" s="2">
        <f ca="1">IFERROR(__xludf.DUMMYFUNCTION("""COMPUTED_VALUE"""),45044.597407743)</f>
        <v>45044.597407743</v>
      </c>
      <c r="B1284" s="1" t="str">
        <f ca="1">IFERROR(__xludf.DUMMYFUNCTION("""COMPUTED_VALUE"""),"India")</f>
        <v>India</v>
      </c>
      <c r="C1284" s="1">
        <f ca="1">IFERROR(__xludf.DUMMYFUNCTION("""COMPUTED_VALUE"""),500040)</f>
        <v>500040</v>
      </c>
      <c r="D1284" s="3" t="str">
        <f ca="1">IFERROR(__xludf.DUMMYFUNCTION("""COMPUTED_VALUE"""),"Female")</f>
        <v>Female</v>
      </c>
      <c r="E1284" s="1" t="str">
        <f ca="1">IFERROR(__xludf.DUMMYFUNCTION("""COMPUTED_VALUE"""),"People from my circle, but not family members")</f>
        <v>People from my circle, but not family members</v>
      </c>
      <c r="F1284" s="1" t="str">
        <f ca="1">IFERROR(__xludf.DUMMYFUNCTION("""COMPUTED_VALUE"""),"Yes, I will earn and do that")</f>
        <v>Yes, I will earn and do that</v>
      </c>
      <c r="G1284" s="1" t="str">
        <f ca="1">IFERROR(__xludf.DUMMYFUNCTION("""COMPUTED_VALUE"""),"Will work for 3 years or more")</f>
        <v>Will work for 3 years or more</v>
      </c>
      <c r="H1284" s="1" t="str">
        <f ca="1">IFERROR(__xludf.DUMMYFUNCTION("""COMPUTED_VALUE"""),"No")</f>
        <v>No</v>
      </c>
      <c r="I1284" s="1" t="str">
        <f ca="1">IFERROR(__xludf.DUMMYFUNCTION("""COMPUTED_VALUE"""),"Will NOT work for them")</f>
        <v>Will NOT work for them</v>
      </c>
      <c r="J1284" s="1">
        <f ca="1">IFERROR(__xludf.DUMMYFUNCTION("""COMPUTED_VALUE"""),6)</f>
        <v>6</v>
      </c>
      <c r="K1284" s="1" t="str">
        <f ca="1">IFERROR(__xludf.DUMMYFUNCTION("""COMPUTED_VALUE"""),"Fully Remote with Options to travel as and when needed")</f>
        <v>Fully Remote with Options to travel as and when needed</v>
      </c>
      <c r="L1284" s="1" t="str">
        <f ca="1">IFERROR(__xludf.DUMMYFUNCTION("""COMPUTED_VALUE"""),"Employer who pushes your limits by enabling an learning environment, and rewards you at the end")</f>
        <v>Employer who pushes your limits by enabling an learning environment, and rewards you at the end</v>
      </c>
      <c r="M128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8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84" s="1" t="str">
        <f ca="1">IFERROR(__xludf.DUMMYFUNCTION("""COMPUTED_VALUE"""),"Manager who explains what is expected, sets a goal and helps achieve it")</f>
        <v>Manager who explains what is expected, sets a goal and helps achieve it</v>
      </c>
      <c r="P1284" s="1" t="str">
        <f ca="1">IFERROR(__xludf.DUMMYFUNCTION("""COMPUTED_VALUE"""),"Work with 2 to 3 people in my team, Work with 5 to 6 people in my team")</f>
        <v>Work with 2 to 3 people in my team, Work with 5 to 6 people in my team</v>
      </c>
      <c r="Q1284" s="1"/>
    </row>
    <row r="1285" spans="1:17" ht="13.2" x14ac:dyDescent="0.25">
      <c r="A1285" s="2">
        <f ca="1">IFERROR(__xludf.DUMMYFUNCTION("""COMPUTED_VALUE"""),45044.5997195485)</f>
        <v>45044.599719548503</v>
      </c>
      <c r="B1285" s="1" t="str">
        <f ca="1">IFERROR(__xludf.DUMMYFUNCTION("""COMPUTED_VALUE"""),"India")</f>
        <v>India</v>
      </c>
      <c r="C1285" s="1">
        <f ca="1">IFERROR(__xludf.DUMMYFUNCTION("""COMPUTED_VALUE"""),641006)</f>
        <v>641006</v>
      </c>
      <c r="D1285" s="3" t="str">
        <f ca="1">IFERROR(__xludf.DUMMYFUNCTION("""COMPUTED_VALUE"""),"Female")</f>
        <v>Female</v>
      </c>
      <c r="E1285" s="1" t="str">
        <f ca="1">IFERROR(__xludf.DUMMYFUNCTION("""COMPUTED_VALUE"""),"My Parents")</f>
        <v>My Parents</v>
      </c>
      <c r="F1285" s="1" t="str">
        <f ca="1">IFERROR(__xludf.DUMMYFUNCTION("""COMPUTED_VALUE"""),"No I would not be pursuing Higher Education outside of India")</f>
        <v>No I would not be pursuing Higher Education outside of India</v>
      </c>
      <c r="G1285" s="1" t="str">
        <f ca="1">IFERROR(__xludf.DUMMYFUNCTION("""COMPUTED_VALUE"""),"This will be hard to do, but if it is the right company I would try")</f>
        <v>This will be hard to do, but if it is the right company I would try</v>
      </c>
      <c r="H1285" s="1" t="str">
        <f ca="1">IFERROR(__xludf.DUMMYFUNCTION("""COMPUTED_VALUE"""),"No")</f>
        <v>No</v>
      </c>
      <c r="I1285" s="1" t="str">
        <f ca="1">IFERROR(__xludf.DUMMYFUNCTION("""COMPUTED_VALUE"""),"Will NOT work for them")</f>
        <v>Will NOT work for them</v>
      </c>
      <c r="J1285" s="1">
        <f ca="1">IFERROR(__xludf.DUMMYFUNCTION("""COMPUTED_VALUE"""),1)</f>
        <v>1</v>
      </c>
      <c r="K1285" s="1" t="str">
        <f ca="1">IFERROR(__xludf.DUMMYFUNCTION("""COMPUTED_VALUE"""),"Fully Remote with Options to travel as and when needed")</f>
        <v>Fully Remote with Options to travel as and when needed</v>
      </c>
      <c r="L1285" s="1" t="str">
        <f ca="1">IFERROR(__xludf.DUMMYFUNCTION("""COMPUTED_VALUE"""),"Employer who pushes your limits by enabling an learning environment, and rewards you at the end")</f>
        <v>Employer who pushes your limits by enabling an learning environment, and rewards you at the end</v>
      </c>
      <c r="M1285"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285" s="1" t="str">
        <f ca="1">IFERROR(__xludf.DUMMYFUNCTION("""COMPUTED_VALUE"""),"Design and Creative strategy in any company, Manage and drive End-to-End Projects or Products, Design and Develop amazing software, Become a content Creator in some platform")</f>
        <v>Design and Creative strategy in any company, Manage and drive End-to-End Projects or Products, Design and Develop amazing software, Become a content Creator in some platform</v>
      </c>
      <c r="O1285" s="1" t="str">
        <f ca="1">IFERROR(__xludf.DUMMYFUNCTION("""COMPUTED_VALUE"""),"Manager who explains what is expected, sets a goal and helps achieve it")</f>
        <v>Manager who explains what is expected, sets a goal and helps achieve it</v>
      </c>
      <c r="P1285" s="1" t="str">
        <f ca="1">IFERROR(__xludf.DUMMYFUNCTION("""COMPUTED_VALUE"""),"Work with 7 to 10 or more people in my team")</f>
        <v>Work with 7 to 10 or more people in my team</v>
      </c>
      <c r="Q1285" s="1"/>
    </row>
    <row r="1286" spans="1:17" ht="13.2" x14ac:dyDescent="0.25">
      <c r="A1286" s="2">
        <f ca="1">IFERROR(__xludf.DUMMYFUNCTION("""COMPUTED_VALUE"""),45044.5998415625)</f>
        <v>45044.5998415625</v>
      </c>
      <c r="B1286" s="1" t="str">
        <f ca="1">IFERROR(__xludf.DUMMYFUNCTION("""COMPUTED_VALUE"""),"India")</f>
        <v>India</v>
      </c>
      <c r="C1286" s="1">
        <f ca="1">IFERROR(__xludf.DUMMYFUNCTION("""COMPUTED_VALUE"""),600097)</f>
        <v>600097</v>
      </c>
      <c r="D1286" s="3" t="str">
        <f ca="1">IFERROR(__xludf.DUMMYFUNCTION("""COMPUTED_VALUE"""),"Female")</f>
        <v>Female</v>
      </c>
      <c r="E1286" s="1" t="str">
        <f ca="1">IFERROR(__xludf.DUMMYFUNCTION("""COMPUTED_VALUE"""),"Social Media like LinkedIn")</f>
        <v>Social Media like LinkedIn</v>
      </c>
      <c r="F1286" s="1" t="str">
        <f ca="1">IFERROR(__xludf.DUMMYFUNCTION("""COMPUTED_VALUE"""),"No I would not be pursuing Higher Education outside of India")</f>
        <v>No I would not be pursuing Higher Education outside of India</v>
      </c>
      <c r="G1286" s="1" t="str">
        <f ca="1">IFERROR(__xludf.DUMMYFUNCTION("""COMPUTED_VALUE"""),"Will work for 3 years or more")</f>
        <v>Will work for 3 years or more</v>
      </c>
      <c r="H1286" s="1" t="str">
        <f ca="1">IFERROR(__xludf.DUMMYFUNCTION("""COMPUTED_VALUE"""),"Yes")</f>
        <v>Yes</v>
      </c>
      <c r="I1286" s="1" t="str">
        <f ca="1">IFERROR(__xludf.DUMMYFUNCTION("""COMPUTED_VALUE"""),"Will work for them")</f>
        <v>Will work for them</v>
      </c>
      <c r="J1286" s="1">
        <f ca="1">IFERROR(__xludf.DUMMYFUNCTION("""COMPUTED_VALUE"""),7)</f>
        <v>7</v>
      </c>
      <c r="K1286" s="1" t="str">
        <f ca="1">IFERROR(__xludf.DUMMYFUNCTION("""COMPUTED_VALUE"""),"Every Day Office Environment")</f>
        <v>Every Day Office Environment</v>
      </c>
      <c r="L1286" s="1" t="str">
        <f ca="1">IFERROR(__xludf.DUMMYFUNCTION("""COMPUTED_VALUE"""),"Employer who appreciates learning and enables that environment")</f>
        <v>Employer who appreciates learning and enables that environment</v>
      </c>
      <c r="M1286" s="1" t="str">
        <f ca="1">IFERROR(__xludf.DUMMYFUNCTION("""COMPUTED_VALUE"""),"Self Paced Learning Portals of the Company, Instructor or Expert Learning Programs, Manager Teaching you")</f>
        <v>Self Paced Learning Portals of the Company, Instructor or Expert Learning Programs, Manager Teaching you</v>
      </c>
      <c r="N128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86" s="1" t="str">
        <f ca="1">IFERROR(__xludf.DUMMYFUNCTION("""COMPUTED_VALUE"""),"Manager who sets goal and helps me achieve it")</f>
        <v>Manager who sets goal and helps me achieve it</v>
      </c>
      <c r="P1286" s="1" t="str">
        <f ca="1">IFERROR(__xludf.DUMMYFUNCTION("""COMPUTED_VALUE"""),"Work with 5 to 6 people in my team")</f>
        <v>Work with 5 to 6 people in my team</v>
      </c>
      <c r="Q1286" s="1"/>
    </row>
    <row r="1287" spans="1:17" ht="13.2" x14ac:dyDescent="0.25">
      <c r="A1287" s="2">
        <f ca="1">IFERROR(__xludf.DUMMYFUNCTION("""COMPUTED_VALUE"""),45044.6019964814)</f>
        <v>45044.601996481397</v>
      </c>
      <c r="B1287" s="1" t="str">
        <f ca="1">IFERROR(__xludf.DUMMYFUNCTION("""COMPUTED_VALUE"""),"India")</f>
        <v>India</v>
      </c>
      <c r="C1287" s="1">
        <f ca="1">IFERROR(__xludf.DUMMYFUNCTION("""COMPUTED_VALUE"""),620002)</f>
        <v>620002</v>
      </c>
      <c r="D1287" s="3" t="str">
        <f ca="1">IFERROR(__xludf.DUMMYFUNCTION("""COMPUTED_VALUE"""),"Male")</f>
        <v>Male</v>
      </c>
      <c r="E1287" s="1" t="str">
        <f ca="1">IFERROR(__xludf.DUMMYFUNCTION("""COMPUTED_VALUE"""),"People from my circle, but not family members")</f>
        <v>People from my circle, but not family members</v>
      </c>
      <c r="F1287" s="1" t="str">
        <f ca="1">IFERROR(__xludf.DUMMYFUNCTION("""COMPUTED_VALUE"""),"No I would not be pursuing Higher Education outside of India")</f>
        <v>No I would not be pursuing Higher Education outside of India</v>
      </c>
      <c r="G1287" s="1" t="str">
        <f ca="1">IFERROR(__xludf.DUMMYFUNCTION("""COMPUTED_VALUE"""),"This will be hard to do, but if it is the right company I would try")</f>
        <v>This will be hard to do, but if it is the right company I would try</v>
      </c>
      <c r="H1287" s="1" t="str">
        <f ca="1">IFERROR(__xludf.DUMMYFUNCTION("""COMPUTED_VALUE"""),"Yes")</f>
        <v>Yes</v>
      </c>
      <c r="I1287" s="1" t="str">
        <f ca="1">IFERROR(__xludf.DUMMYFUNCTION("""COMPUTED_VALUE"""),"Will work for them")</f>
        <v>Will work for them</v>
      </c>
      <c r="J1287" s="1">
        <f ca="1">IFERROR(__xludf.DUMMYFUNCTION("""COMPUTED_VALUE"""),8)</f>
        <v>8</v>
      </c>
      <c r="K1287" s="1" t="str">
        <f ca="1">IFERROR(__xludf.DUMMYFUNCTION("""COMPUTED_VALUE"""),"Fully Remote with Options to travel as and when needed")</f>
        <v>Fully Remote with Options to travel as and when needed</v>
      </c>
      <c r="L1287" s="1" t="str">
        <f ca="1">IFERROR(__xludf.DUMMYFUNCTION("""COMPUTED_VALUE"""),"Employer who pushes your limits by enabling an learning environment, and rewards you at the end")</f>
        <v>Employer who pushes your limits by enabling an learning environment, and rewards you at the end</v>
      </c>
      <c r="M128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87"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87" s="1" t="str">
        <f ca="1">IFERROR(__xludf.DUMMYFUNCTION("""COMPUTED_VALUE"""),"Manager who explains what is expected, sets a goal and helps achieve it")</f>
        <v>Manager who explains what is expected, sets a goal and helps achieve it</v>
      </c>
      <c r="P1287" s="1" t="str">
        <f ca="1">IFERROR(__xludf.DUMMYFUNCTION("""COMPUTED_VALUE"""),"Work with 5 to 6 people in my team")</f>
        <v>Work with 5 to 6 people in my team</v>
      </c>
      <c r="Q1287" s="1"/>
    </row>
    <row r="1288" spans="1:17" ht="13.2" x14ac:dyDescent="0.25">
      <c r="A1288" s="2">
        <f ca="1">IFERROR(__xludf.DUMMYFUNCTION("""COMPUTED_VALUE"""),45044.6062491087)</f>
        <v>45044.6062491087</v>
      </c>
      <c r="B1288" s="1" t="str">
        <f ca="1">IFERROR(__xludf.DUMMYFUNCTION("""COMPUTED_VALUE"""),"India")</f>
        <v>India</v>
      </c>
      <c r="C1288" s="1">
        <f ca="1">IFERROR(__xludf.DUMMYFUNCTION("""COMPUTED_VALUE"""),642114)</f>
        <v>642114</v>
      </c>
      <c r="D1288" s="3" t="str">
        <f ca="1">IFERROR(__xludf.DUMMYFUNCTION("""COMPUTED_VALUE"""),"Male")</f>
        <v>Male</v>
      </c>
      <c r="E1288" s="1" t="str">
        <f ca="1">IFERROR(__xludf.DUMMYFUNCTION("""COMPUTED_VALUE"""),"People from my circle, but not family members")</f>
        <v>People from my circle, but not family members</v>
      </c>
      <c r="F1288" s="1" t="str">
        <f ca="1">IFERROR(__xludf.DUMMYFUNCTION("""COMPUTED_VALUE"""),"No I would not be pursuing Higher Education outside of India")</f>
        <v>No I would not be pursuing Higher Education outside of India</v>
      </c>
      <c r="G1288" s="1" t="str">
        <f ca="1">IFERROR(__xludf.DUMMYFUNCTION("""COMPUTED_VALUE"""),"No way")</f>
        <v>No way</v>
      </c>
      <c r="H1288" s="1" t="str">
        <f ca="1">IFERROR(__xludf.DUMMYFUNCTION("""COMPUTED_VALUE"""),"No")</f>
        <v>No</v>
      </c>
      <c r="I1288" s="1" t="str">
        <f ca="1">IFERROR(__xludf.DUMMYFUNCTION("""COMPUTED_VALUE"""),"Will NOT work for them")</f>
        <v>Will NOT work for them</v>
      </c>
      <c r="J1288" s="1">
        <f ca="1">IFERROR(__xludf.DUMMYFUNCTION("""COMPUTED_VALUE"""),1)</f>
        <v>1</v>
      </c>
      <c r="K1288" s="1" t="str">
        <f ca="1">IFERROR(__xludf.DUMMYFUNCTION("""COMPUTED_VALUE"""),"Hybrid Working Environment with more than 15 days a month at office")</f>
        <v>Hybrid Working Environment with more than 15 days a month at office</v>
      </c>
      <c r="L1288" s="1" t="str">
        <f ca="1">IFERROR(__xludf.DUMMYFUNCTION("""COMPUTED_VALUE"""),"Employers who appreciates learning but doesn't enables an learning environment")</f>
        <v>Employers who appreciates learning but doesn't enables an learning environment</v>
      </c>
      <c r="M1288" s="1" t="str">
        <f ca="1">IFERROR(__xludf.DUMMYFUNCTION("""COMPUTED_VALUE"""),"Self Paced Learning Portals of the Company, Learning by observing others, Manager Teaching you")</f>
        <v>Self Paced Learning Portals of the Company, Learning by observing others, Manager Teaching you</v>
      </c>
      <c r="N128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288" s="1" t="str">
        <f ca="1">IFERROR(__xludf.DUMMYFUNCTION("""COMPUTED_VALUE"""),"Manager who clearly describes what she/he needs")</f>
        <v>Manager who clearly describes what she/he needs</v>
      </c>
      <c r="P1288" s="1" t="str">
        <f ca="1">IFERROR(__xludf.DUMMYFUNCTION("""COMPUTED_VALUE"""),"Work with 5 to 6 people in my team, Work with 7 to 10 or more people in my team")</f>
        <v>Work with 5 to 6 people in my team, Work with 7 to 10 or more people in my team</v>
      </c>
      <c r="Q1288" s="1"/>
    </row>
    <row r="1289" spans="1:17" ht="13.2" x14ac:dyDescent="0.25">
      <c r="A1289" s="2">
        <f ca="1">IFERROR(__xludf.DUMMYFUNCTION("""COMPUTED_VALUE"""),45044.608626956)</f>
        <v>45044.608626955996</v>
      </c>
      <c r="B1289" s="1" t="str">
        <f ca="1">IFERROR(__xludf.DUMMYFUNCTION("""COMPUTED_VALUE"""),"India")</f>
        <v>India</v>
      </c>
      <c r="C1289" s="1">
        <f ca="1">IFERROR(__xludf.DUMMYFUNCTION("""COMPUTED_VALUE"""),122016)</f>
        <v>122016</v>
      </c>
      <c r="D1289" s="3" t="str">
        <f ca="1">IFERROR(__xludf.DUMMYFUNCTION("""COMPUTED_VALUE"""),"Male")</f>
        <v>Male</v>
      </c>
      <c r="E1289" s="1" t="str">
        <f ca="1">IFERROR(__xludf.DUMMYFUNCTION("""COMPUTED_VALUE"""),"People who have changed the world for better")</f>
        <v>People who have changed the world for better</v>
      </c>
      <c r="F1289" s="1" t="str">
        <f ca="1">IFERROR(__xludf.DUMMYFUNCTION("""COMPUTED_VALUE"""),"No, But if someone could bare the cost I will")</f>
        <v>No, But if someone could bare the cost I will</v>
      </c>
      <c r="G1289" s="1" t="str">
        <f ca="1">IFERROR(__xludf.DUMMYFUNCTION("""COMPUTED_VALUE"""),"Will work for 3 years or more")</f>
        <v>Will work for 3 years or more</v>
      </c>
      <c r="H1289" s="1" t="str">
        <f ca="1">IFERROR(__xludf.DUMMYFUNCTION("""COMPUTED_VALUE"""),"Yes")</f>
        <v>Yes</v>
      </c>
      <c r="I1289" s="1" t="str">
        <f ca="1">IFERROR(__xludf.DUMMYFUNCTION("""COMPUTED_VALUE"""),"Will NOT work for them")</f>
        <v>Will NOT work for them</v>
      </c>
      <c r="J1289" s="1">
        <f ca="1">IFERROR(__xludf.DUMMYFUNCTION("""COMPUTED_VALUE"""),8)</f>
        <v>8</v>
      </c>
      <c r="K1289" s="1" t="str">
        <f ca="1">IFERROR(__xludf.DUMMYFUNCTION("""COMPUTED_VALUE"""),"Hybrid Working Environment with more than 15 days a month at office")</f>
        <v>Hybrid Working Environment with more than 15 days a month at office</v>
      </c>
      <c r="L1289" s="1" t="str">
        <f ca="1">IFERROR(__xludf.DUMMYFUNCTION("""COMPUTED_VALUE"""),"Employer who pushes your limits by enabling an learning environment, and rewards you at the end")</f>
        <v>Employer who pushes your limits by enabling an learning environment, and rewards you at the end</v>
      </c>
      <c r="M128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89"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289" s="1" t="str">
        <f ca="1">IFERROR(__xludf.DUMMYFUNCTION("""COMPUTED_VALUE"""),"Manager who explains what is expected, sets a goal and helps achieve it")</f>
        <v>Manager who explains what is expected, sets a goal and helps achieve it</v>
      </c>
      <c r="P1289"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89" s="1"/>
    </row>
    <row r="1290" spans="1:17" ht="13.2" x14ac:dyDescent="0.25">
      <c r="A1290" s="2">
        <f ca="1">IFERROR(__xludf.DUMMYFUNCTION("""COMPUTED_VALUE"""),45044.6097373958)</f>
        <v>45044.609737395796</v>
      </c>
      <c r="B1290" s="1" t="str">
        <f ca="1">IFERROR(__xludf.DUMMYFUNCTION("""COMPUTED_VALUE"""),"India")</f>
        <v>India</v>
      </c>
      <c r="C1290" s="1">
        <f ca="1">IFERROR(__xludf.DUMMYFUNCTION("""COMPUTED_VALUE"""),631151)</f>
        <v>631151</v>
      </c>
      <c r="D1290" s="3" t="str">
        <f ca="1">IFERROR(__xludf.DUMMYFUNCTION("""COMPUTED_VALUE"""),"Male")</f>
        <v>Male</v>
      </c>
      <c r="E1290" s="1" t="str">
        <f ca="1">IFERROR(__xludf.DUMMYFUNCTION("""COMPUTED_VALUE"""),"My Parents")</f>
        <v>My Parents</v>
      </c>
      <c r="F1290" s="1" t="str">
        <f ca="1">IFERROR(__xludf.DUMMYFUNCTION("""COMPUTED_VALUE"""),"Yes, I will earn and do that")</f>
        <v>Yes, I will earn and do that</v>
      </c>
      <c r="G1290" s="1" t="str">
        <f ca="1">IFERROR(__xludf.DUMMYFUNCTION("""COMPUTED_VALUE"""),"Will work for 3 years or more")</f>
        <v>Will work for 3 years or more</v>
      </c>
      <c r="H1290" s="1" t="str">
        <f ca="1">IFERROR(__xludf.DUMMYFUNCTION("""COMPUTED_VALUE"""),"No")</f>
        <v>No</v>
      </c>
      <c r="I1290" s="1" t="str">
        <f ca="1">IFERROR(__xludf.DUMMYFUNCTION("""COMPUTED_VALUE"""),"Will NOT work for them")</f>
        <v>Will NOT work for them</v>
      </c>
      <c r="J1290" s="1">
        <f ca="1">IFERROR(__xludf.DUMMYFUNCTION("""COMPUTED_VALUE"""),5)</f>
        <v>5</v>
      </c>
      <c r="K1290" s="1" t="str">
        <f ca="1">IFERROR(__xludf.DUMMYFUNCTION("""COMPUTED_VALUE"""),"Every Day Office Environment")</f>
        <v>Every Day Office Environment</v>
      </c>
      <c r="L1290" s="1" t="str">
        <f ca="1">IFERROR(__xludf.DUMMYFUNCTION("""COMPUTED_VALUE"""),"Employer who pushes your limits by enabling an learning environment, and rewards you at the end")</f>
        <v>Employer who pushes your limits by enabling an learning environment, and rewards you at the end</v>
      </c>
      <c r="M129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90" s="1" t="str">
        <f ca="1">IFERROR(__xludf.DUMMYFUNCTION("""COMPUTED_VALUE"""),"Manager who clearly describes what she/he needs")</f>
        <v>Manager who clearly describes what she/he needs</v>
      </c>
      <c r="P1290" s="1" t="str">
        <f ca="1">IFERROR(__xludf.DUMMYFUNCTION("""COMPUTED_VALUE"""),"Work with 5 to 6 people in my team")</f>
        <v>Work with 5 to 6 people in my team</v>
      </c>
      <c r="Q1290" s="1"/>
    </row>
    <row r="1291" spans="1:17" ht="13.2" x14ac:dyDescent="0.25">
      <c r="A1291" s="2">
        <f ca="1">IFERROR(__xludf.DUMMYFUNCTION("""COMPUTED_VALUE"""),45044.6097680555)</f>
        <v>45044.609768055503</v>
      </c>
      <c r="B1291" s="1" t="str">
        <f ca="1">IFERROR(__xludf.DUMMYFUNCTION("""COMPUTED_VALUE"""),"India")</f>
        <v>India</v>
      </c>
      <c r="C1291" s="1">
        <f ca="1">IFERROR(__xludf.DUMMYFUNCTION("""COMPUTED_VALUE"""),411044)</f>
        <v>411044</v>
      </c>
      <c r="D1291" s="3" t="str">
        <f ca="1">IFERROR(__xludf.DUMMYFUNCTION("""COMPUTED_VALUE"""),"Male")</f>
        <v>Male</v>
      </c>
      <c r="E1291" s="1" t="str">
        <f ca="1">IFERROR(__xludf.DUMMYFUNCTION("""COMPUTED_VALUE"""),"People who have changed the world for better")</f>
        <v>People who have changed the world for better</v>
      </c>
      <c r="F1291" s="1" t="str">
        <f ca="1">IFERROR(__xludf.DUMMYFUNCTION("""COMPUTED_VALUE"""),"No I would not be pursuing Higher Education outside of India")</f>
        <v>No I would not be pursuing Higher Education outside of India</v>
      </c>
      <c r="G1291" s="1" t="str">
        <f ca="1">IFERROR(__xludf.DUMMYFUNCTION("""COMPUTED_VALUE"""),"This will be hard to do, but if it is the right company I would try")</f>
        <v>This will be hard to do, but if it is the right company I would try</v>
      </c>
      <c r="H1291" s="1" t="str">
        <f ca="1">IFERROR(__xludf.DUMMYFUNCTION("""COMPUTED_VALUE"""),"No")</f>
        <v>No</v>
      </c>
      <c r="I1291" s="1" t="str">
        <f ca="1">IFERROR(__xludf.DUMMYFUNCTION("""COMPUTED_VALUE"""),"Will NOT work for them")</f>
        <v>Will NOT work for them</v>
      </c>
      <c r="J1291" s="1">
        <f ca="1">IFERROR(__xludf.DUMMYFUNCTION("""COMPUTED_VALUE"""),5)</f>
        <v>5</v>
      </c>
      <c r="K1291" s="1" t="str">
        <f ca="1">IFERROR(__xludf.DUMMYFUNCTION("""COMPUTED_VALUE"""),"Hybrid Working Environment with more than 15 days a month at office")</f>
        <v>Hybrid Working Environment with more than 15 days a month at office</v>
      </c>
      <c r="L1291" s="1" t="str">
        <f ca="1">IFERROR(__xludf.DUMMYFUNCTION("""COMPUTED_VALUE"""),"Employer who pushes your limits by enabling an learning environment, and rewards you at the end")</f>
        <v>Employer who pushes your limits by enabling an learning environment, and rewards you at the end</v>
      </c>
      <c r="M12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91" s="1" t="str">
        <f ca="1">IFERROR(__xludf.DUMMYFUNCTION("""COMPUTED_VALUE"""),"Teaching in any of the institutes/colleges/online or offline, Manage and drive End-to-End Projects or Products, Become a content Creator in some platform, Entrepreneur or Start Up")</f>
        <v>Teaching in any of the institutes/colleges/online or offline, Manage and drive End-to-End Projects or Products, Become a content Creator in some platform, Entrepreneur or Start Up</v>
      </c>
      <c r="O1291" s="1" t="str">
        <f ca="1">IFERROR(__xludf.DUMMYFUNCTION("""COMPUTED_VALUE"""),"Manager who explains what is expected, sets a goal and helps achieve it")</f>
        <v>Manager who explains what is expected, sets a goal and helps achieve it</v>
      </c>
      <c r="P129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91" s="1"/>
    </row>
    <row r="1292" spans="1:17" ht="13.2" x14ac:dyDescent="0.25">
      <c r="A1292" s="2">
        <f ca="1">IFERROR(__xludf.DUMMYFUNCTION("""COMPUTED_VALUE"""),45044.6108370949)</f>
        <v>45044.6108370949</v>
      </c>
      <c r="B1292" s="1" t="str">
        <f ca="1">IFERROR(__xludf.DUMMYFUNCTION("""COMPUTED_VALUE"""),"India")</f>
        <v>India</v>
      </c>
      <c r="C1292" s="1">
        <f ca="1">IFERROR(__xludf.DUMMYFUNCTION("""COMPUTED_VALUE"""),440013)</f>
        <v>440013</v>
      </c>
      <c r="D1292" s="3" t="str">
        <f ca="1">IFERROR(__xludf.DUMMYFUNCTION("""COMPUTED_VALUE"""),"Male")</f>
        <v>Male</v>
      </c>
      <c r="E1292" s="1" t="str">
        <f ca="1">IFERROR(__xludf.DUMMYFUNCTION("""COMPUTED_VALUE"""),"Influencers who had successful careers")</f>
        <v>Influencers who had successful careers</v>
      </c>
      <c r="F1292" s="1" t="str">
        <f ca="1">IFERROR(__xludf.DUMMYFUNCTION("""COMPUTED_VALUE"""),"No, But if someone could bare the cost I will")</f>
        <v>No, But if someone could bare the cost I will</v>
      </c>
      <c r="G1292" s="1" t="str">
        <f ca="1">IFERROR(__xludf.DUMMYFUNCTION("""COMPUTED_VALUE"""),"This will be hard to do, but if it is the right company I would try")</f>
        <v>This will be hard to do, but if it is the right company I would try</v>
      </c>
      <c r="H1292" s="1" t="str">
        <f ca="1">IFERROR(__xludf.DUMMYFUNCTION("""COMPUTED_VALUE"""),"No")</f>
        <v>No</v>
      </c>
      <c r="I1292" s="1" t="str">
        <f ca="1">IFERROR(__xludf.DUMMYFUNCTION("""COMPUTED_VALUE"""),"Will NOT work for them")</f>
        <v>Will NOT work for them</v>
      </c>
      <c r="J1292" s="1">
        <f ca="1">IFERROR(__xludf.DUMMYFUNCTION("""COMPUTED_VALUE"""),10)</f>
        <v>10</v>
      </c>
      <c r="K1292" s="1" t="str">
        <f ca="1">IFERROR(__xludf.DUMMYFUNCTION("""COMPUTED_VALUE"""),"Every Day Office Environment")</f>
        <v>Every Day Office Environment</v>
      </c>
      <c r="L1292" s="1" t="str">
        <f ca="1">IFERROR(__xludf.DUMMYFUNCTION("""COMPUTED_VALUE"""),"Employer who appreciates learning and enables that environment")</f>
        <v>Employer who appreciates learning and enables that environment</v>
      </c>
      <c r="M1292" s="1" t="str">
        <f ca="1">IFERROR(__xludf.DUMMYFUNCTION("""COMPUTED_VALUE"""),"Self Paced Learning Portals of the Company, Instructor or Expert Learning Programs, Manager Teaching you")</f>
        <v>Self Paced Learning Portals of the Company, Instructor or Expert Learning Programs, Manager Teaching you</v>
      </c>
      <c r="N129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292" s="1" t="str">
        <f ca="1">IFERROR(__xludf.DUMMYFUNCTION("""COMPUTED_VALUE"""),"Manager who sets goal and helps me achieve it")</f>
        <v>Manager who sets goal and helps me achieve it</v>
      </c>
      <c r="P1292" s="1" t="str">
        <f ca="1">IFERROR(__xludf.DUMMYFUNCTION("""COMPUTED_VALUE"""),"Work with 5 to 6 people in my team")</f>
        <v>Work with 5 to 6 people in my team</v>
      </c>
      <c r="Q1292" s="1"/>
    </row>
    <row r="1293" spans="1:17" ht="13.2" x14ac:dyDescent="0.25">
      <c r="A1293" s="2">
        <f ca="1">IFERROR(__xludf.DUMMYFUNCTION("""COMPUTED_VALUE"""),45044.611605)</f>
        <v>45044.611604999998</v>
      </c>
      <c r="B1293" s="1" t="str">
        <f ca="1">IFERROR(__xludf.DUMMYFUNCTION("""COMPUTED_VALUE"""),"India")</f>
        <v>India</v>
      </c>
      <c r="C1293" s="1">
        <f ca="1">IFERROR(__xludf.DUMMYFUNCTION("""COMPUTED_VALUE"""),110006)</f>
        <v>110006</v>
      </c>
      <c r="D1293" s="3" t="str">
        <f ca="1">IFERROR(__xludf.DUMMYFUNCTION("""COMPUTED_VALUE"""),"Male")</f>
        <v>Male</v>
      </c>
      <c r="E1293" s="1" t="str">
        <f ca="1">IFERROR(__xludf.DUMMYFUNCTION("""COMPUTED_VALUE"""),"People who have changed the world for better")</f>
        <v>People who have changed the world for better</v>
      </c>
      <c r="F1293" s="1" t="str">
        <f ca="1">IFERROR(__xludf.DUMMYFUNCTION("""COMPUTED_VALUE"""),"Yes, I will earn and do that")</f>
        <v>Yes, I will earn and do that</v>
      </c>
      <c r="G1293" s="1" t="str">
        <f ca="1">IFERROR(__xludf.DUMMYFUNCTION("""COMPUTED_VALUE"""),"Will work for 3 years or more")</f>
        <v>Will work for 3 years or more</v>
      </c>
      <c r="H1293" s="1" t="str">
        <f ca="1">IFERROR(__xludf.DUMMYFUNCTION("""COMPUTED_VALUE"""),"Yes")</f>
        <v>Yes</v>
      </c>
      <c r="I1293" s="1" t="str">
        <f ca="1">IFERROR(__xludf.DUMMYFUNCTION("""COMPUTED_VALUE"""),"Will NOT work for them")</f>
        <v>Will NOT work for them</v>
      </c>
      <c r="J1293" s="1">
        <f ca="1">IFERROR(__xludf.DUMMYFUNCTION("""COMPUTED_VALUE"""),5)</f>
        <v>5</v>
      </c>
      <c r="K1293" s="1" t="str">
        <f ca="1">IFERROR(__xludf.DUMMYFUNCTION("""COMPUTED_VALUE"""),"Fully Remote with Options to travel as and when needed")</f>
        <v>Fully Remote with Options to travel as and when needed</v>
      </c>
      <c r="L1293" s="1" t="str">
        <f ca="1">IFERROR(__xludf.DUMMYFUNCTION("""COMPUTED_VALUE"""),"Employer who pushes your limits by enabling an learning environment, and rewards you at the end")</f>
        <v>Employer who pushes your limits by enabling an learning environment, and rewards you at the end</v>
      </c>
      <c r="M1293" s="1" t="str">
        <f ca="1">IFERROR(__xludf.DUMMYFUNCTION("""COMPUTED_VALUE"""),"Instructor or Expert Learning Programs, Learning by observing others, Manager Teaching you")</f>
        <v>Instructor or Expert Learning Programs, Learning by observing others, Manager Teaching you</v>
      </c>
      <c r="N1293" s="1" t="str">
        <f ca="1">IFERROR(__xludf.DUMMYFUNCTION("""COMPUTED_VALUE"""),"Design and Develop amazing software, Work as a freelancer and do my thing my way, Become a content Creator in some platform, Entrepreneur or Start Up")</f>
        <v>Design and Develop amazing software, Work as a freelancer and do my thing my way, Become a content Creator in some platform, Entrepreneur or Start Up</v>
      </c>
      <c r="O1293" s="1" t="str">
        <f ca="1">IFERROR(__xludf.DUMMYFUNCTION("""COMPUTED_VALUE"""),"Manager who explains what is expected, sets a goal and helps achieve it")</f>
        <v>Manager who explains what is expected, sets a goal and helps achieve it</v>
      </c>
      <c r="P1293" s="1" t="str">
        <f ca="1">IFERROR(__xludf.DUMMYFUNCTION("""COMPUTED_VALUE"""),"Work with 2 to 3 people in my team")</f>
        <v>Work with 2 to 3 people in my team</v>
      </c>
      <c r="Q1293" s="1"/>
    </row>
    <row r="1294" spans="1:17" ht="13.2" x14ac:dyDescent="0.25">
      <c r="A1294" s="2">
        <f ca="1">IFERROR(__xludf.DUMMYFUNCTION("""COMPUTED_VALUE"""),45044.6116065972)</f>
        <v>45044.611606597202</v>
      </c>
      <c r="B1294" s="1" t="str">
        <f ca="1">IFERROR(__xludf.DUMMYFUNCTION("""COMPUTED_VALUE"""),"India")</f>
        <v>India</v>
      </c>
      <c r="C1294" s="1">
        <f ca="1">IFERROR(__xludf.DUMMYFUNCTION("""COMPUTED_VALUE"""),410210)</f>
        <v>410210</v>
      </c>
      <c r="D1294" s="3" t="str">
        <f ca="1">IFERROR(__xludf.DUMMYFUNCTION("""COMPUTED_VALUE"""),"Male")</f>
        <v>Male</v>
      </c>
      <c r="E1294" s="1" t="str">
        <f ca="1">IFERROR(__xludf.DUMMYFUNCTION("""COMPUTED_VALUE"""),"People who have changed the world for better")</f>
        <v>People who have changed the world for better</v>
      </c>
      <c r="F1294" s="1" t="str">
        <f ca="1">IFERROR(__xludf.DUMMYFUNCTION("""COMPUTED_VALUE"""),"No I would not be pursuing Higher Education outside of India")</f>
        <v>No I would not be pursuing Higher Education outside of India</v>
      </c>
      <c r="G1294" s="1" t="str">
        <f ca="1">IFERROR(__xludf.DUMMYFUNCTION("""COMPUTED_VALUE"""),"Will work for 3 years or more")</f>
        <v>Will work for 3 years or more</v>
      </c>
      <c r="H1294" s="1" t="str">
        <f ca="1">IFERROR(__xludf.DUMMYFUNCTION("""COMPUTED_VALUE"""),"Yes")</f>
        <v>Yes</v>
      </c>
      <c r="I1294" s="1" t="str">
        <f ca="1">IFERROR(__xludf.DUMMYFUNCTION("""COMPUTED_VALUE"""),"Will work for them")</f>
        <v>Will work for them</v>
      </c>
      <c r="J1294" s="1">
        <f ca="1">IFERROR(__xludf.DUMMYFUNCTION("""COMPUTED_VALUE"""),7)</f>
        <v>7</v>
      </c>
      <c r="K1294" s="1" t="str">
        <f ca="1">IFERROR(__xludf.DUMMYFUNCTION("""COMPUTED_VALUE"""),"Hybrid Working Environment with more than 15 days a month at office")</f>
        <v>Hybrid Working Environment with more than 15 days a month at office</v>
      </c>
      <c r="L1294" s="1" t="str">
        <f ca="1">IFERROR(__xludf.DUMMYFUNCTION("""COMPUTED_VALUE"""),"Employer who pushes your limits by enabling an learning environment, and rewards you at the end")</f>
        <v>Employer who pushes your limits by enabling an learning environment, and rewards you at the end</v>
      </c>
      <c r="M129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94" s="1" t="str">
        <f ca="1">IFERROR(__xludf.DUMMYFUNCTION("""COMPUTED_VALUE"""),"Manager who sets goal and helps me achieve it")</f>
        <v>Manager who sets goal and helps me achieve it</v>
      </c>
      <c r="P129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94" s="1"/>
    </row>
    <row r="1295" spans="1:17" ht="13.2" x14ac:dyDescent="0.25">
      <c r="A1295" s="2">
        <f ca="1">IFERROR(__xludf.DUMMYFUNCTION("""COMPUTED_VALUE"""),45044.6117060995)</f>
        <v>45044.611706099502</v>
      </c>
      <c r="B1295" s="1" t="str">
        <f ca="1">IFERROR(__xludf.DUMMYFUNCTION("""COMPUTED_VALUE"""),"India")</f>
        <v>India</v>
      </c>
      <c r="C1295" s="1">
        <f ca="1">IFERROR(__xludf.DUMMYFUNCTION("""COMPUTED_VALUE"""),603102)</f>
        <v>603102</v>
      </c>
      <c r="D1295" s="3" t="str">
        <f ca="1">IFERROR(__xludf.DUMMYFUNCTION("""COMPUTED_VALUE"""),"Male")</f>
        <v>Male</v>
      </c>
      <c r="E1295" s="1" t="str">
        <f ca="1">IFERROR(__xludf.DUMMYFUNCTION("""COMPUTED_VALUE"""),"People who have changed the world for better")</f>
        <v>People who have changed the world for better</v>
      </c>
      <c r="F1295" s="1" t="str">
        <f ca="1">IFERROR(__xludf.DUMMYFUNCTION("""COMPUTED_VALUE"""),"Yes, I will earn and do that")</f>
        <v>Yes, I will earn and do that</v>
      </c>
      <c r="G1295" s="1" t="str">
        <f ca="1">IFERROR(__xludf.DUMMYFUNCTION("""COMPUTED_VALUE"""),"This will be hard to do, but if it is the right company I would try")</f>
        <v>This will be hard to do, but if it is the right company I would try</v>
      </c>
      <c r="H1295" s="1" t="str">
        <f ca="1">IFERROR(__xludf.DUMMYFUNCTION("""COMPUTED_VALUE"""),"No")</f>
        <v>No</v>
      </c>
      <c r="I1295" s="1" t="str">
        <f ca="1">IFERROR(__xludf.DUMMYFUNCTION("""COMPUTED_VALUE"""),"Will NOT work for them")</f>
        <v>Will NOT work for them</v>
      </c>
      <c r="J1295" s="1">
        <f ca="1">IFERROR(__xludf.DUMMYFUNCTION("""COMPUTED_VALUE"""),2)</f>
        <v>2</v>
      </c>
      <c r="K1295" s="1" t="str">
        <f ca="1">IFERROR(__xludf.DUMMYFUNCTION("""COMPUTED_VALUE"""),"Hybrid Working Environment with more than 15 days a month at office")</f>
        <v>Hybrid Working Environment with more than 15 days a month at office</v>
      </c>
      <c r="L1295" s="1" t="str">
        <f ca="1">IFERROR(__xludf.DUMMYFUNCTION("""COMPUTED_VALUE"""),"Employer who appreciates learning and enables that environment")</f>
        <v>Employer who appreciates learning and enables that environment</v>
      </c>
      <c r="M129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95"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1295" s="1" t="str">
        <f ca="1">IFERROR(__xludf.DUMMYFUNCTION("""COMPUTED_VALUE"""),"Manager who explains what is expected, sets a goal and helps achieve it")</f>
        <v>Manager who explains what is expected, sets a goal and helps achieve it</v>
      </c>
      <c r="P1295" s="1" t="str">
        <f ca="1">IFERROR(__xludf.DUMMYFUNCTION("""COMPUTED_VALUE"""),"Work with 7 to 10 or more people in my team")</f>
        <v>Work with 7 to 10 or more people in my team</v>
      </c>
      <c r="Q1295" s="1"/>
    </row>
    <row r="1296" spans="1:17" ht="13.2" x14ac:dyDescent="0.25">
      <c r="A1296" s="2">
        <f ca="1">IFERROR(__xludf.DUMMYFUNCTION("""COMPUTED_VALUE"""),45044.6130770717)</f>
        <v>45044.613077071699</v>
      </c>
      <c r="B1296" s="1" t="str">
        <f ca="1">IFERROR(__xludf.DUMMYFUNCTION("""COMPUTED_VALUE"""),"India")</f>
        <v>India</v>
      </c>
      <c r="C1296" s="1">
        <f ca="1">IFERROR(__xludf.DUMMYFUNCTION("""COMPUTED_VALUE"""),828307)</f>
        <v>828307</v>
      </c>
      <c r="D1296" s="3" t="str">
        <f ca="1">IFERROR(__xludf.DUMMYFUNCTION("""COMPUTED_VALUE"""),"Female")</f>
        <v>Female</v>
      </c>
      <c r="E1296" s="1" t="str">
        <f ca="1">IFERROR(__xludf.DUMMYFUNCTION("""COMPUTED_VALUE"""),"People who have changed the world for better")</f>
        <v>People who have changed the world for better</v>
      </c>
      <c r="F1296" s="1" t="str">
        <f ca="1">IFERROR(__xludf.DUMMYFUNCTION("""COMPUTED_VALUE"""),"No I would not be pursuing Higher Education outside of India")</f>
        <v>No I would not be pursuing Higher Education outside of India</v>
      </c>
      <c r="G1296" s="1" t="str">
        <f ca="1">IFERROR(__xludf.DUMMYFUNCTION("""COMPUTED_VALUE"""),"This will be hard to do, but if it is the right company I would try")</f>
        <v>This will be hard to do, but if it is the right company I would try</v>
      </c>
      <c r="H1296" s="1" t="str">
        <f ca="1">IFERROR(__xludf.DUMMYFUNCTION("""COMPUTED_VALUE"""),"Yes")</f>
        <v>Yes</v>
      </c>
      <c r="I1296" s="1" t="str">
        <f ca="1">IFERROR(__xludf.DUMMYFUNCTION("""COMPUTED_VALUE"""),"Will NOT work for them")</f>
        <v>Will NOT work for them</v>
      </c>
      <c r="J1296" s="1">
        <f ca="1">IFERROR(__xludf.DUMMYFUNCTION("""COMPUTED_VALUE"""),5)</f>
        <v>5</v>
      </c>
      <c r="K1296" s="1" t="str">
        <f ca="1">IFERROR(__xludf.DUMMYFUNCTION("""COMPUTED_VALUE"""),"Fully Remote with Options to travel as and when needed")</f>
        <v>Fully Remote with Options to travel as and when needed</v>
      </c>
      <c r="L1296" s="1" t="str">
        <f ca="1">IFERROR(__xludf.DUMMYFUNCTION("""COMPUTED_VALUE"""),"Employer who appreciates learning and enables that environment")</f>
        <v>Employer who appreciates learning and enables that environment</v>
      </c>
      <c r="M129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96"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296" s="1" t="str">
        <f ca="1">IFERROR(__xludf.DUMMYFUNCTION("""COMPUTED_VALUE"""),"Manager who clearly describes what she/he needs")</f>
        <v>Manager who clearly describes what she/he needs</v>
      </c>
      <c r="P1296" s="1" t="str">
        <f ca="1">IFERROR(__xludf.DUMMYFUNCTION("""COMPUTED_VALUE"""),"Work with 2 to 3 people in my team")</f>
        <v>Work with 2 to 3 people in my team</v>
      </c>
      <c r="Q1296" s="1"/>
    </row>
    <row r="1297" spans="1:17" ht="13.2" x14ac:dyDescent="0.25">
      <c r="A1297" s="2">
        <f ca="1">IFERROR(__xludf.DUMMYFUNCTION("""COMPUTED_VALUE"""),45044.6144742708)</f>
        <v>45044.614474270798</v>
      </c>
      <c r="B1297" s="1" t="str">
        <f ca="1">IFERROR(__xludf.DUMMYFUNCTION("""COMPUTED_VALUE"""),"India")</f>
        <v>India</v>
      </c>
      <c r="C1297" s="1">
        <f ca="1">IFERROR(__xludf.DUMMYFUNCTION("""COMPUTED_VALUE"""),600049)</f>
        <v>600049</v>
      </c>
      <c r="D1297" s="3" t="str">
        <f ca="1">IFERROR(__xludf.DUMMYFUNCTION("""COMPUTED_VALUE"""),"Female")</f>
        <v>Female</v>
      </c>
      <c r="E1297" s="1" t="str">
        <f ca="1">IFERROR(__xludf.DUMMYFUNCTION("""COMPUTED_VALUE"""),"My Parents")</f>
        <v>My Parents</v>
      </c>
      <c r="F1297" s="1" t="str">
        <f ca="1">IFERROR(__xludf.DUMMYFUNCTION("""COMPUTED_VALUE"""),"No, But if someone could bare the cost I will")</f>
        <v>No, But if someone could bare the cost I will</v>
      </c>
      <c r="G1297" s="1" t="str">
        <f ca="1">IFERROR(__xludf.DUMMYFUNCTION("""COMPUTED_VALUE"""),"Will work for 3 years or more")</f>
        <v>Will work for 3 years or more</v>
      </c>
      <c r="H1297" s="1" t="str">
        <f ca="1">IFERROR(__xludf.DUMMYFUNCTION("""COMPUTED_VALUE"""),"No")</f>
        <v>No</v>
      </c>
      <c r="I1297" s="1" t="str">
        <f ca="1">IFERROR(__xludf.DUMMYFUNCTION("""COMPUTED_VALUE"""),"Will NOT work for them")</f>
        <v>Will NOT work for them</v>
      </c>
      <c r="J1297" s="1">
        <f ca="1">IFERROR(__xludf.DUMMYFUNCTION("""COMPUTED_VALUE"""),10)</f>
        <v>10</v>
      </c>
      <c r="K1297" s="1" t="str">
        <f ca="1">IFERROR(__xludf.DUMMYFUNCTION("""COMPUTED_VALUE"""),"Hybrid Working Environment with more than 15 days a month at office")</f>
        <v>Hybrid Working Environment with more than 15 days a month at office</v>
      </c>
      <c r="L1297" s="1" t="str">
        <f ca="1">IFERROR(__xludf.DUMMYFUNCTION("""COMPUTED_VALUE"""),"Employer who appreciates learning and enables that environment")</f>
        <v>Employer who appreciates learning and enables that environment</v>
      </c>
      <c r="M1297" s="1" t="str">
        <f ca="1">IFERROR(__xludf.DUMMYFUNCTION("""COMPUTED_VALUE"""),"Instructor or Expert Learning Programs, Learning by observing others, Manager Teaching you")</f>
        <v>Instructor or Expert Learning Programs, Learning by observing others, Manager Teaching you</v>
      </c>
      <c r="N1297" s="1" t="str">
        <f ca="1">IFERROR(__xludf.DUMMYFUNCTION("""COMPUTED_VALUE"""),"Business Operations in any organization, Manage and drive End-to-End Projects or Products, Build and develop a Team, Become a content Creator in some platform")</f>
        <v>Business Operations in any organization, Manage and drive End-to-End Projects or Products, Build and develop a Team, Become a content Creator in some platform</v>
      </c>
      <c r="O1297" s="1" t="str">
        <f ca="1">IFERROR(__xludf.DUMMYFUNCTION("""COMPUTED_VALUE"""),"Manager who sets goal and helps me achieve it")</f>
        <v>Manager who sets goal and helps me achieve it</v>
      </c>
      <c r="P1297" s="1" t="str">
        <f ca="1">IFERROR(__xludf.DUMMYFUNCTION("""COMPUTED_VALUE"""),"Work with more than 10 people in my team")</f>
        <v>Work with more than 10 people in my team</v>
      </c>
      <c r="Q1297" s="1"/>
    </row>
    <row r="1298" spans="1:17" ht="13.2" x14ac:dyDescent="0.25">
      <c r="A1298" s="2">
        <f ca="1">IFERROR(__xludf.DUMMYFUNCTION("""COMPUTED_VALUE"""),45044.6196870486)</f>
        <v>45044.619687048602</v>
      </c>
      <c r="B1298" s="1" t="str">
        <f ca="1">IFERROR(__xludf.DUMMYFUNCTION("""COMPUTED_VALUE"""),"India")</f>
        <v>India</v>
      </c>
      <c r="C1298" s="1">
        <f ca="1">IFERROR(__xludf.DUMMYFUNCTION("""COMPUTED_VALUE"""),600032)</f>
        <v>600032</v>
      </c>
      <c r="D1298" s="3" t="str">
        <f ca="1">IFERROR(__xludf.DUMMYFUNCTION("""COMPUTED_VALUE"""),"Male")</f>
        <v>Male</v>
      </c>
      <c r="E1298" s="1" t="str">
        <f ca="1">IFERROR(__xludf.DUMMYFUNCTION("""COMPUTED_VALUE"""),"People from my circle, but not family members")</f>
        <v>People from my circle, but not family members</v>
      </c>
      <c r="F1298" s="1" t="str">
        <f ca="1">IFERROR(__xludf.DUMMYFUNCTION("""COMPUTED_VALUE"""),"No I would not be pursuing Higher Education outside of India")</f>
        <v>No I would not be pursuing Higher Education outside of India</v>
      </c>
      <c r="G1298" s="1" t="str">
        <f ca="1">IFERROR(__xludf.DUMMYFUNCTION("""COMPUTED_VALUE"""),"This will be hard to do, but if it is the right company I would try")</f>
        <v>This will be hard to do, but if it is the right company I would try</v>
      </c>
      <c r="H1298" s="1" t="str">
        <f ca="1">IFERROR(__xludf.DUMMYFUNCTION("""COMPUTED_VALUE"""),"No")</f>
        <v>No</v>
      </c>
      <c r="I1298" s="1" t="str">
        <f ca="1">IFERROR(__xludf.DUMMYFUNCTION("""COMPUTED_VALUE"""),"Will NOT work for them")</f>
        <v>Will NOT work for them</v>
      </c>
      <c r="J1298" s="1">
        <f ca="1">IFERROR(__xludf.DUMMYFUNCTION("""COMPUTED_VALUE"""),8)</f>
        <v>8</v>
      </c>
      <c r="K1298" s="1" t="str">
        <f ca="1">IFERROR(__xludf.DUMMYFUNCTION("""COMPUTED_VALUE"""),"Hybrid Working Environment with less than 3 days a month at office")</f>
        <v>Hybrid Working Environment with less than 3 days a month at office</v>
      </c>
      <c r="L1298" s="1" t="str">
        <f ca="1">IFERROR(__xludf.DUMMYFUNCTION("""COMPUTED_VALUE"""),"Employer who appreciates learning and enables that environment")</f>
        <v>Employer who appreciates learning and enables that environment</v>
      </c>
      <c r="M1298" s="1" t="str">
        <f ca="1">IFERROR(__xludf.DUMMYFUNCTION("""COMPUTED_VALUE"""),"Self Paced Learning Portals of the Company, Instructor or Expert Learning Programs, Manager Teaching you")</f>
        <v>Self Paced Learning Portals of the Company, Instructor or Expert Learning Programs, Manager Teaching you</v>
      </c>
      <c r="N1298" s="1" t="str">
        <f ca="1">IFERROR(__xludf.DUMMYFUNCTION("""COMPUTED_VALUE"""),"Business Operations in any organization, Build and develop a Team, Look deeply into Data and generate insights, I Want to sell things/Sales")</f>
        <v>Business Operations in any organization, Build and develop a Team, Look deeply into Data and generate insights, I Want to sell things/Sales</v>
      </c>
      <c r="O1298" s="1" t="str">
        <f ca="1">IFERROR(__xludf.DUMMYFUNCTION("""COMPUTED_VALUE"""),"Manager who sets goal and helps me achieve it")</f>
        <v>Manager who sets goal and helps me achieve it</v>
      </c>
      <c r="P1298" s="1" t="str">
        <f ca="1">IFERROR(__xludf.DUMMYFUNCTION("""COMPUTED_VALUE"""),"Work with 7 to 10 or more people in my team")</f>
        <v>Work with 7 to 10 or more people in my team</v>
      </c>
      <c r="Q1298" s="1"/>
    </row>
    <row r="1299" spans="1:17" ht="13.2" x14ac:dyDescent="0.25">
      <c r="A1299" s="2">
        <f ca="1">IFERROR(__xludf.DUMMYFUNCTION("""COMPUTED_VALUE"""),45044.6204785185)</f>
        <v>45044.620478518496</v>
      </c>
      <c r="B1299" s="1" t="str">
        <f ca="1">IFERROR(__xludf.DUMMYFUNCTION("""COMPUTED_VALUE"""),"India")</f>
        <v>India</v>
      </c>
      <c r="C1299" s="1">
        <f ca="1">IFERROR(__xludf.DUMMYFUNCTION("""COMPUTED_VALUE"""),89)</f>
        <v>89</v>
      </c>
      <c r="D1299" s="3" t="str">
        <f ca="1">IFERROR(__xludf.DUMMYFUNCTION("""COMPUTED_VALUE"""),"Male")</f>
        <v>Male</v>
      </c>
      <c r="E1299" s="1" t="str">
        <f ca="1">IFERROR(__xludf.DUMMYFUNCTION("""COMPUTED_VALUE"""),"People from my circle, but not family members")</f>
        <v>People from my circle, but not family members</v>
      </c>
      <c r="F1299" s="1" t="str">
        <f ca="1">IFERROR(__xludf.DUMMYFUNCTION("""COMPUTED_VALUE"""),"Yes, I will earn and do that")</f>
        <v>Yes, I will earn and do that</v>
      </c>
      <c r="G1299" s="1" t="str">
        <f ca="1">IFERROR(__xludf.DUMMYFUNCTION("""COMPUTED_VALUE"""),"This will be hard to do, but if it is the right company I would try")</f>
        <v>This will be hard to do, but if it is the right company I would try</v>
      </c>
      <c r="H1299" s="1" t="str">
        <f ca="1">IFERROR(__xludf.DUMMYFUNCTION("""COMPUTED_VALUE"""),"Yes")</f>
        <v>Yes</v>
      </c>
      <c r="I1299" s="1" t="str">
        <f ca="1">IFERROR(__xludf.DUMMYFUNCTION("""COMPUTED_VALUE"""),"Will NOT work for them")</f>
        <v>Will NOT work for them</v>
      </c>
      <c r="J1299" s="1">
        <f ca="1">IFERROR(__xludf.DUMMYFUNCTION("""COMPUTED_VALUE"""),5)</f>
        <v>5</v>
      </c>
      <c r="K1299" s="1" t="str">
        <f ca="1">IFERROR(__xludf.DUMMYFUNCTION("""COMPUTED_VALUE"""),"Fully Remote with No option to visit offices")</f>
        <v>Fully Remote with No option to visit offices</v>
      </c>
      <c r="L1299" s="1" t="str">
        <f ca="1">IFERROR(__xludf.DUMMYFUNCTION("""COMPUTED_VALUE"""),"Employer who rewards learning and enables that environment")</f>
        <v>Employer who rewards learning and enables that environment</v>
      </c>
      <c r="M129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9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1299" s="1" t="str">
        <f ca="1">IFERROR(__xludf.DUMMYFUNCTION("""COMPUTED_VALUE"""),"Manager who sets goal and helps me achieve it")</f>
        <v>Manager who sets goal and helps me achieve it</v>
      </c>
      <c r="P1299" s="1" t="str">
        <f ca="1">IFERROR(__xludf.DUMMYFUNCTION("""COMPUTED_VALUE"""),"Work with 2 to 3 people in my team")</f>
        <v>Work with 2 to 3 people in my team</v>
      </c>
      <c r="Q1299" s="1"/>
    </row>
    <row r="1300" spans="1:17" ht="13.2" x14ac:dyDescent="0.25">
      <c r="A1300" s="2">
        <f ca="1">IFERROR(__xludf.DUMMYFUNCTION("""COMPUTED_VALUE"""),45044.6238727777)</f>
        <v>45044.623872777702</v>
      </c>
      <c r="B1300" s="1" t="str">
        <f ca="1">IFERROR(__xludf.DUMMYFUNCTION("""COMPUTED_VALUE"""),"India")</f>
        <v>India</v>
      </c>
      <c r="C1300" s="1">
        <f ca="1">IFERROR(__xludf.DUMMYFUNCTION("""COMPUTED_VALUE"""),600083)</f>
        <v>600083</v>
      </c>
      <c r="D1300" s="3" t="str">
        <f ca="1">IFERROR(__xludf.DUMMYFUNCTION("""COMPUTED_VALUE"""),"Female")</f>
        <v>Female</v>
      </c>
      <c r="E1300" s="1" t="str">
        <f ca="1">IFERROR(__xludf.DUMMYFUNCTION("""COMPUTED_VALUE"""),"People who have changed the world for better")</f>
        <v>People who have changed the world for better</v>
      </c>
      <c r="F1300" s="1" t="str">
        <f ca="1">IFERROR(__xludf.DUMMYFUNCTION("""COMPUTED_VALUE"""),"Yes, I will earn and do that")</f>
        <v>Yes, I will earn and do that</v>
      </c>
      <c r="G1300" s="1" t="str">
        <f ca="1">IFERROR(__xludf.DUMMYFUNCTION("""COMPUTED_VALUE"""),"Will work for 3 years or more")</f>
        <v>Will work for 3 years or more</v>
      </c>
      <c r="H1300" s="1" t="str">
        <f ca="1">IFERROR(__xludf.DUMMYFUNCTION("""COMPUTED_VALUE"""),"No")</f>
        <v>No</v>
      </c>
      <c r="I1300" s="1" t="str">
        <f ca="1">IFERROR(__xludf.DUMMYFUNCTION("""COMPUTED_VALUE"""),"Will NOT work for them")</f>
        <v>Will NOT work for them</v>
      </c>
      <c r="J1300" s="1">
        <f ca="1">IFERROR(__xludf.DUMMYFUNCTION("""COMPUTED_VALUE"""),3)</f>
        <v>3</v>
      </c>
      <c r="K1300" s="1" t="str">
        <f ca="1">IFERROR(__xludf.DUMMYFUNCTION("""COMPUTED_VALUE"""),"Fully Remote with Options to travel as and when needed")</f>
        <v>Fully Remote with Options to travel as and when needed</v>
      </c>
      <c r="L1300" s="1" t="str">
        <f ca="1">IFERROR(__xludf.DUMMYFUNCTION("""COMPUTED_VALUE"""),"Employer who pushes your limits and doesn't enables learning environment and never rewards you")</f>
        <v>Employer who pushes your limits and doesn't enables learning environment and never rewards you</v>
      </c>
      <c r="M130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00" s="1" t="str">
        <f ca="1">IFERROR(__xludf.DUMMYFUNCTION("""COMPUTED_VALUE"""),"Design and Creative strategy in any company, Manage and drive End-to-End Projects or Products, Work in a BPO setup for some well known client, I Want to sell things/Sales")</f>
        <v>Design and Creative strategy in any company, Manage and drive End-to-End Projects or Products, Work in a BPO setup for some well known client, I Want to sell things/Sales</v>
      </c>
      <c r="O1300" s="1" t="str">
        <f ca="1">IFERROR(__xludf.DUMMYFUNCTION("""COMPUTED_VALUE"""),"Manager who sets goal and helps me achieve it")</f>
        <v>Manager who sets goal and helps me achieve it</v>
      </c>
      <c r="P1300" s="1" t="str">
        <f ca="1">IFERROR(__xludf.DUMMYFUNCTION("""COMPUTED_VALUE"""),"Work with more than 10 people in my team")</f>
        <v>Work with more than 10 people in my team</v>
      </c>
      <c r="Q1300" s="1"/>
    </row>
    <row r="1301" spans="1:17" ht="13.2" x14ac:dyDescent="0.25">
      <c r="A1301" s="2">
        <f ca="1">IFERROR(__xludf.DUMMYFUNCTION("""COMPUTED_VALUE"""),45044.6260945486)</f>
        <v>45044.626094548599</v>
      </c>
      <c r="B1301" s="1" t="str">
        <f ca="1">IFERROR(__xludf.DUMMYFUNCTION("""COMPUTED_VALUE"""),"India")</f>
        <v>India</v>
      </c>
      <c r="C1301" s="1">
        <f ca="1">IFERROR(__xludf.DUMMYFUNCTION("""COMPUTED_VALUE"""),562106)</f>
        <v>562106</v>
      </c>
      <c r="D1301" s="3" t="str">
        <f ca="1">IFERROR(__xludf.DUMMYFUNCTION("""COMPUTED_VALUE"""),"Female")</f>
        <v>Female</v>
      </c>
      <c r="E1301" s="1" t="str">
        <f ca="1">IFERROR(__xludf.DUMMYFUNCTION("""COMPUTED_VALUE"""),"Social Media like LinkedIn")</f>
        <v>Social Media like LinkedIn</v>
      </c>
      <c r="F1301" s="1" t="str">
        <f ca="1">IFERROR(__xludf.DUMMYFUNCTION("""COMPUTED_VALUE"""),"Yes, I will earn and do that")</f>
        <v>Yes, I will earn and do that</v>
      </c>
      <c r="G1301" s="1" t="str">
        <f ca="1">IFERROR(__xludf.DUMMYFUNCTION("""COMPUTED_VALUE"""),"This will be hard to do, but if it is the right company I would try")</f>
        <v>This will be hard to do, but if it is the right company I would try</v>
      </c>
      <c r="H1301" s="1" t="str">
        <f ca="1">IFERROR(__xludf.DUMMYFUNCTION("""COMPUTED_VALUE"""),"No")</f>
        <v>No</v>
      </c>
      <c r="I1301" s="1" t="str">
        <f ca="1">IFERROR(__xludf.DUMMYFUNCTION("""COMPUTED_VALUE"""),"Will NOT work for them")</f>
        <v>Will NOT work for them</v>
      </c>
      <c r="J1301" s="1">
        <f ca="1">IFERROR(__xludf.DUMMYFUNCTION("""COMPUTED_VALUE"""),10)</f>
        <v>10</v>
      </c>
      <c r="K1301" s="1" t="str">
        <f ca="1">IFERROR(__xludf.DUMMYFUNCTION("""COMPUTED_VALUE"""),"Hybrid Working Environment with more than 15 days a month at office")</f>
        <v>Hybrid Working Environment with more than 15 days a month at office</v>
      </c>
      <c r="L1301" s="1" t="str">
        <f ca="1">IFERROR(__xludf.DUMMYFUNCTION("""COMPUTED_VALUE"""),"Employer who pushes your limits by enabling an learning environment, and rewards you at the end")</f>
        <v>Employer who pushes your limits by enabling an learning environment, and rewards you at the end</v>
      </c>
      <c r="M130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1" s="1" t="str">
        <f ca="1">IFERROR(__xludf.DUMMYFUNCTION("""COMPUTED_VALUE"""),"Manager who explains what is expected, sets a goal and helps achieve it")</f>
        <v>Manager who explains what is expected, sets a goal and helps achieve it</v>
      </c>
      <c r="P1301" s="1" t="str">
        <f ca="1">IFERROR(__xludf.DUMMYFUNCTION("""COMPUTED_VALUE"""),"Work with 5 to 6 people in my team")</f>
        <v>Work with 5 to 6 people in my team</v>
      </c>
      <c r="Q1301" s="1"/>
    </row>
    <row r="1302" spans="1:17" ht="13.2" x14ac:dyDescent="0.25">
      <c r="A1302" s="2">
        <f ca="1">IFERROR(__xludf.DUMMYFUNCTION("""COMPUTED_VALUE"""),45044.6261850115)</f>
        <v>45044.626185011497</v>
      </c>
      <c r="B1302" s="1" t="str">
        <f ca="1">IFERROR(__xludf.DUMMYFUNCTION("""COMPUTED_VALUE"""),"India")</f>
        <v>India</v>
      </c>
      <c r="C1302" s="1">
        <f ca="1">IFERROR(__xludf.DUMMYFUNCTION("""COMPUTED_VALUE"""),201003)</f>
        <v>201003</v>
      </c>
      <c r="D1302" s="3" t="str">
        <f ca="1">IFERROR(__xludf.DUMMYFUNCTION("""COMPUTED_VALUE"""),"Female")</f>
        <v>Female</v>
      </c>
      <c r="E1302" s="1" t="str">
        <f ca="1">IFERROR(__xludf.DUMMYFUNCTION("""COMPUTED_VALUE"""),"My Parents")</f>
        <v>My Parents</v>
      </c>
      <c r="F1302" s="1" t="str">
        <f ca="1">IFERROR(__xludf.DUMMYFUNCTION("""COMPUTED_VALUE"""),"Yes, I will earn and do that")</f>
        <v>Yes, I will earn and do that</v>
      </c>
      <c r="G1302" s="1" t="str">
        <f ca="1">IFERROR(__xludf.DUMMYFUNCTION("""COMPUTED_VALUE"""),"Will work for 3 years or more")</f>
        <v>Will work for 3 years or more</v>
      </c>
      <c r="H1302" s="1" t="str">
        <f ca="1">IFERROR(__xludf.DUMMYFUNCTION("""COMPUTED_VALUE"""),"No")</f>
        <v>No</v>
      </c>
      <c r="I1302" s="1" t="str">
        <f ca="1">IFERROR(__xludf.DUMMYFUNCTION("""COMPUTED_VALUE"""),"Will NOT work for them")</f>
        <v>Will NOT work for them</v>
      </c>
      <c r="J1302" s="1">
        <f ca="1">IFERROR(__xludf.DUMMYFUNCTION("""COMPUTED_VALUE"""),5)</f>
        <v>5</v>
      </c>
      <c r="K1302" s="1" t="str">
        <f ca="1">IFERROR(__xludf.DUMMYFUNCTION("""COMPUTED_VALUE"""),"Every Day Office Environment")</f>
        <v>Every Day Office Environment</v>
      </c>
      <c r="L1302" s="1" t="str">
        <f ca="1">IFERROR(__xludf.DUMMYFUNCTION("""COMPUTED_VALUE"""),"Employer who appreciates learning and enables that environment")</f>
        <v>Employer who appreciates learning and enables that environment</v>
      </c>
      <c r="M1302" s="1" t="str">
        <f ca="1">IFERROR(__xludf.DUMMYFUNCTION("""COMPUTED_VALUE"""),"Instructor or Expert Learning Programs, Learning by observing others, Manager Teaching you")</f>
        <v>Instructor or Expert Learning Programs, Learning by observing others, Manager Teaching you</v>
      </c>
      <c r="N130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302" s="1" t="str">
        <f ca="1">IFERROR(__xludf.DUMMYFUNCTION("""COMPUTED_VALUE"""),"Manager who explains what is expected, sets a goal and helps achieve it")</f>
        <v>Manager who explains what is expected, sets a goal and helps achieve it</v>
      </c>
      <c r="P1302" s="1" t="str">
        <f ca="1">IFERROR(__xludf.DUMMYFUNCTION("""COMPUTED_VALUE"""),"Work with 5 to 6 people in my team")</f>
        <v>Work with 5 to 6 people in my team</v>
      </c>
      <c r="Q1302" s="1"/>
    </row>
    <row r="1303" spans="1:17" ht="13.2" x14ac:dyDescent="0.25">
      <c r="A1303" s="2">
        <f ca="1">IFERROR(__xludf.DUMMYFUNCTION("""COMPUTED_VALUE"""),45044.6294174074)</f>
        <v>45044.629417407399</v>
      </c>
      <c r="B1303" s="1" t="str">
        <f ca="1">IFERROR(__xludf.DUMMYFUNCTION("""COMPUTED_VALUE"""),"India")</f>
        <v>India</v>
      </c>
      <c r="C1303" s="1">
        <f ca="1">IFERROR(__xludf.DUMMYFUNCTION("""COMPUTED_VALUE"""),500072)</f>
        <v>500072</v>
      </c>
      <c r="D1303" s="3" t="str">
        <f ca="1">IFERROR(__xludf.DUMMYFUNCTION("""COMPUTED_VALUE"""),"Male")</f>
        <v>Male</v>
      </c>
      <c r="E1303" s="1" t="str">
        <f ca="1">IFERROR(__xludf.DUMMYFUNCTION("""COMPUTED_VALUE"""),"Influencers who had successful careers")</f>
        <v>Influencers who had successful careers</v>
      </c>
      <c r="F1303" s="1" t="str">
        <f ca="1">IFERROR(__xludf.DUMMYFUNCTION("""COMPUTED_VALUE"""),"Yes, I will earn and do that")</f>
        <v>Yes, I will earn and do that</v>
      </c>
      <c r="G1303" s="1" t="str">
        <f ca="1">IFERROR(__xludf.DUMMYFUNCTION("""COMPUTED_VALUE"""),"This will be hard to do, but if it is the right company I would try")</f>
        <v>This will be hard to do, but if it is the right company I would try</v>
      </c>
      <c r="H1303" s="1" t="str">
        <f ca="1">IFERROR(__xludf.DUMMYFUNCTION("""COMPUTED_VALUE"""),"No")</f>
        <v>No</v>
      </c>
      <c r="I1303" s="1" t="str">
        <f ca="1">IFERROR(__xludf.DUMMYFUNCTION("""COMPUTED_VALUE"""),"Will NOT work for them")</f>
        <v>Will NOT work for them</v>
      </c>
      <c r="J1303" s="1">
        <f ca="1">IFERROR(__xludf.DUMMYFUNCTION("""COMPUTED_VALUE"""),5)</f>
        <v>5</v>
      </c>
      <c r="K1303" s="1" t="str">
        <f ca="1">IFERROR(__xludf.DUMMYFUNCTION("""COMPUTED_VALUE"""),"Hybrid Working Environment with less than 3 days a month at office")</f>
        <v>Hybrid Working Environment with less than 3 days a month at office</v>
      </c>
      <c r="L1303" s="1" t="str">
        <f ca="1">IFERROR(__xludf.DUMMYFUNCTION("""COMPUTED_VALUE"""),"Employer who appreciates learning and enables that environment")</f>
        <v>Employer who appreciates learning and enables that environment</v>
      </c>
      <c r="M1303" s="1" t="str">
        <f ca="1">IFERROR(__xludf.DUMMYFUNCTION("""COMPUTED_VALUE"""),"Self Paced Learning Portals of the Company, Learning by observing others, Manager Teaching you")</f>
        <v>Self Paced Learning Portals of the Company, Learning by observing others, Manager Teaching you</v>
      </c>
      <c r="N1303" s="1" t="str">
        <f ca="1">IFERROR(__xludf.DUMMYFUNCTION("""COMPUTED_VALUE"""),"Business Operations in any organization, Manage and drive End-to-End Projects or Products, Work as a freelancer and do my thing my way, I Want to sell things/Sales")</f>
        <v>Business Operations in any organization, Manage and drive End-to-End Projects or Products, Work as a freelancer and do my thing my way, I Want to sell things/Sales</v>
      </c>
      <c r="O1303" s="1" t="str">
        <f ca="1">IFERROR(__xludf.DUMMYFUNCTION("""COMPUTED_VALUE"""),"Manager who explains what is expected, sets a goal and helps achieve it")</f>
        <v>Manager who explains what is expected, sets a goal and helps achieve it</v>
      </c>
      <c r="P1303" s="1" t="str">
        <f ca="1">IFERROR(__xludf.DUMMYFUNCTION("""COMPUTED_VALUE"""),"Work with 5 to 6 people in my team")</f>
        <v>Work with 5 to 6 people in my team</v>
      </c>
      <c r="Q1303" s="1"/>
    </row>
    <row r="1304" spans="1:17" ht="13.2" x14ac:dyDescent="0.25">
      <c r="A1304" s="2">
        <f ca="1">IFERROR(__xludf.DUMMYFUNCTION("""COMPUTED_VALUE"""),45044.6302281134)</f>
        <v>45044.630228113398</v>
      </c>
      <c r="B1304" s="1" t="str">
        <f ca="1">IFERROR(__xludf.DUMMYFUNCTION("""COMPUTED_VALUE"""),"India")</f>
        <v>India</v>
      </c>
      <c r="C1304" s="1">
        <f ca="1">IFERROR(__xludf.DUMMYFUNCTION("""COMPUTED_VALUE"""),520007)</f>
        <v>520007</v>
      </c>
      <c r="D1304" s="3" t="str">
        <f ca="1">IFERROR(__xludf.DUMMYFUNCTION("""COMPUTED_VALUE"""),"Male")</f>
        <v>Male</v>
      </c>
      <c r="E1304" s="1" t="str">
        <f ca="1">IFERROR(__xludf.DUMMYFUNCTION("""COMPUTED_VALUE"""),"My Parents")</f>
        <v>My Parents</v>
      </c>
      <c r="F1304" s="1" t="str">
        <f ca="1">IFERROR(__xludf.DUMMYFUNCTION("""COMPUTED_VALUE"""),"Yes, I will earn and do that")</f>
        <v>Yes, I will earn and do that</v>
      </c>
      <c r="G1304" s="1" t="str">
        <f ca="1">IFERROR(__xludf.DUMMYFUNCTION("""COMPUTED_VALUE"""),"Will work for 3 years or more")</f>
        <v>Will work for 3 years or more</v>
      </c>
      <c r="H1304" s="1" t="str">
        <f ca="1">IFERROR(__xludf.DUMMYFUNCTION("""COMPUTED_VALUE"""),"No")</f>
        <v>No</v>
      </c>
      <c r="I1304" s="1" t="str">
        <f ca="1">IFERROR(__xludf.DUMMYFUNCTION("""COMPUTED_VALUE"""),"Will NOT work for them")</f>
        <v>Will NOT work for them</v>
      </c>
      <c r="J1304" s="1">
        <f ca="1">IFERROR(__xludf.DUMMYFUNCTION("""COMPUTED_VALUE"""),3)</f>
        <v>3</v>
      </c>
      <c r="K1304" s="1" t="str">
        <f ca="1">IFERROR(__xludf.DUMMYFUNCTION("""COMPUTED_VALUE"""),"Hybrid Working Environment with more than 15 days a month at office")</f>
        <v>Hybrid Working Environment with more than 15 days a month at office</v>
      </c>
      <c r="L1304" s="1" t="str">
        <f ca="1">IFERROR(__xludf.DUMMYFUNCTION("""COMPUTED_VALUE"""),"Employer who pushes your limits by enabling an learning environment, and rewards you at the end")</f>
        <v>Employer who pushes your limits by enabling an learning environment, and rewards you at the end</v>
      </c>
      <c r="M130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4" s="1" t="str">
        <f ca="1">IFERROR(__xludf.DUMMYFUNCTION("""COMPUTED_VALUE"""),"Manager who clearly describes what she/he needs")</f>
        <v>Manager who clearly describes what she/he needs</v>
      </c>
      <c r="P1304" s="1" t="str">
        <f ca="1">IFERROR(__xludf.DUMMYFUNCTION("""COMPUTED_VALUE"""),"Work with 2 to 3 people in my team, Work with more than 10 people in my team")</f>
        <v>Work with 2 to 3 people in my team, Work with more than 10 people in my team</v>
      </c>
      <c r="Q1304" s="1"/>
    </row>
    <row r="1305" spans="1:17" ht="13.2" x14ac:dyDescent="0.25">
      <c r="A1305" s="2">
        <f ca="1">IFERROR(__xludf.DUMMYFUNCTION("""COMPUTED_VALUE"""),45044.6357211574)</f>
        <v>45044.6357211574</v>
      </c>
      <c r="B1305" s="1" t="str">
        <f ca="1">IFERROR(__xludf.DUMMYFUNCTION("""COMPUTED_VALUE"""),"India")</f>
        <v>India</v>
      </c>
      <c r="C1305" s="1">
        <f ca="1">IFERROR(__xludf.DUMMYFUNCTION("""COMPUTED_VALUE"""),600095)</f>
        <v>600095</v>
      </c>
      <c r="D1305" s="3" t="str">
        <f ca="1">IFERROR(__xludf.DUMMYFUNCTION("""COMPUTED_VALUE"""),"Male")</f>
        <v>Male</v>
      </c>
      <c r="E1305" s="1" t="str">
        <f ca="1">IFERROR(__xludf.DUMMYFUNCTION("""COMPUTED_VALUE"""),"People from my circle, but not family members")</f>
        <v>People from my circle, but not family members</v>
      </c>
      <c r="F1305" s="1" t="str">
        <f ca="1">IFERROR(__xludf.DUMMYFUNCTION("""COMPUTED_VALUE"""),"No I would not be pursuing Higher Education outside of India")</f>
        <v>No I would not be pursuing Higher Education outside of India</v>
      </c>
      <c r="G1305" s="1" t="str">
        <f ca="1">IFERROR(__xludf.DUMMYFUNCTION("""COMPUTED_VALUE"""),"This will be hard to do, but if it is the right company I would try")</f>
        <v>This will be hard to do, but if it is the right company I would try</v>
      </c>
      <c r="H1305" s="1" t="str">
        <f ca="1">IFERROR(__xludf.DUMMYFUNCTION("""COMPUTED_VALUE"""),"No")</f>
        <v>No</v>
      </c>
      <c r="I1305" s="1" t="str">
        <f ca="1">IFERROR(__xludf.DUMMYFUNCTION("""COMPUTED_VALUE"""),"Will NOT work for them")</f>
        <v>Will NOT work for them</v>
      </c>
      <c r="J1305" s="1">
        <f ca="1">IFERROR(__xludf.DUMMYFUNCTION("""COMPUTED_VALUE"""),6)</f>
        <v>6</v>
      </c>
      <c r="K1305" s="1" t="str">
        <f ca="1">IFERROR(__xludf.DUMMYFUNCTION("""COMPUTED_VALUE"""),"Hybrid Working Environment with more than 15 days a month at office")</f>
        <v>Hybrid Working Environment with more than 15 days a month at office</v>
      </c>
      <c r="L1305" s="1" t="str">
        <f ca="1">IFERROR(__xludf.DUMMYFUNCTION("""COMPUTED_VALUE"""),"Employer who appreciates learning and enables that environment")</f>
        <v>Employer who appreciates learning and enables that environment</v>
      </c>
      <c r="M1305" s="1" t="str">
        <f ca="1">IFERROR(__xludf.DUMMYFUNCTION("""COMPUTED_VALUE"""),"Instructor or Expert Learning Programs, Learning by observing others, Manager Teaching you")</f>
        <v>Instructor or Expert Learning Programs, Learning by observing others, Manager Teaching you</v>
      </c>
      <c r="N130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05" s="1" t="str">
        <f ca="1">IFERROR(__xludf.DUMMYFUNCTION("""COMPUTED_VALUE"""),"Manager who explains what is expected, sets a goal and helps achieve it")</f>
        <v>Manager who explains what is expected, sets a goal and helps achieve it</v>
      </c>
      <c r="P1305" s="1" t="str">
        <f ca="1">IFERROR(__xludf.DUMMYFUNCTION("""COMPUTED_VALUE"""),"Work with 5 to 6 people in my team")</f>
        <v>Work with 5 to 6 people in my team</v>
      </c>
      <c r="Q1305" s="1"/>
    </row>
    <row r="1306" spans="1:17" ht="13.2" x14ac:dyDescent="0.25">
      <c r="A1306" s="2">
        <f ca="1">IFERROR(__xludf.DUMMYFUNCTION("""COMPUTED_VALUE"""),45044.6384857986)</f>
        <v>45044.638485798598</v>
      </c>
      <c r="B1306" s="1" t="str">
        <f ca="1">IFERROR(__xludf.DUMMYFUNCTION("""COMPUTED_VALUE"""),"India")</f>
        <v>India</v>
      </c>
      <c r="C1306" s="1">
        <f ca="1">IFERROR(__xludf.DUMMYFUNCTION("""COMPUTED_VALUE"""),400601)</f>
        <v>400601</v>
      </c>
      <c r="D1306" s="3" t="str">
        <f ca="1">IFERROR(__xludf.DUMMYFUNCTION("""COMPUTED_VALUE"""),"Male")</f>
        <v>Male</v>
      </c>
      <c r="E1306" s="1" t="str">
        <f ca="1">IFERROR(__xludf.DUMMYFUNCTION("""COMPUTED_VALUE"""),"People who have changed the world for better")</f>
        <v>People who have changed the world for better</v>
      </c>
      <c r="F1306" s="1" t="str">
        <f ca="1">IFERROR(__xludf.DUMMYFUNCTION("""COMPUTED_VALUE"""),"Yes, I will earn and do that")</f>
        <v>Yes, I will earn and do that</v>
      </c>
      <c r="G1306" s="1" t="str">
        <f ca="1">IFERROR(__xludf.DUMMYFUNCTION("""COMPUTED_VALUE"""),"Will work for 3 years or more")</f>
        <v>Will work for 3 years or more</v>
      </c>
      <c r="H1306" s="1" t="str">
        <f ca="1">IFERROR(__xludf.DUMMYFUNCTION("""COMPUTED_VALUE"""),"No")</f>
        <v>No</v>
      </c>
      <c r="I1306" s="1" t="str">
        <f ca="1">IFERROR(__xludf.DUMMYFUNCTION("""COMPUTED_VALUE"""),"Will NOT work for them")</f>
        <v>Will NOT work for them</v>
      </c>
      <c r="J1306" s="1">
        <f ca="1">IFERROR(__xludf.DUMMYFUNCTION("""COMPUTED_VALUE"""),3)</f>
        <v>3</v>
      </c>
      <c r="K1306" s="1" t="str">
        <f ca="1">IFERROR(__xludf.DUMMYFUNCTION("""COMPUTED_VALUE"""),"Every Day Office Environment")</f>
        <v>Every Day Office Environment</v>
      </c>
      <c r="L1306" s="1" t="str">
        <f ca="1">IFERROR(__xludf.DUMMYFUNCTION("""COMPUTED_VALUE"""),"Employer who appreciates learning and enables that environment")</f>
        <v>Employer who appreciates learning and enables that environment</v>
      </c>
      <c r="M13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06"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06" s="1" t="str">
        <f ca="1">IFERROR(__xludf.DUMMYFUNCTION("""COMPUTED_VALUE"""),"Manager who sets targets and expects me to achieve it")</f>
        <v>Manager who sets targets and expects me to achieve it</v>
      </c>
      <c r="P1306" s="1" t="str">
        <f ca="1">IFERROR(__xludf.DUMMYFUNCTION("""COMPUTED_VALUE"""),"Work alone, Work with 7 to 10 or more people in my team")</f>
        <v>Work alone, Work with 7 to 10 or more people in my team</v>
      </c>
      <c r="Q1306" s="1"/>
    </row>
    <row r="1307" spans="1:17" ht="13.2" x14ac:dyDescent="0.25">
      <c r="A1307" s="2">
        <f ca="1">IFERROR(__xludf.DUMMYFUNCTION("""COMPUTED_VALUE"""),45044.6425078009)</f>
        <v>45044.642507800898</v>
      </c>
      <c r="B1307" s="1" t="str">
        <f ca="1">IFERROR(__xludf.DUMMYFUNCTION("""COMPUTED_VALUE"""),"India")</f>
        <v>India</v>
      </c>
      <c r="C1307" s="1">
        <f ca="1">IFERROR(__xludf.DUMMYFUNCTION("""COMPUTED_VALUE"""),410206)</f>
        <v>410206</v>
      </c>
      <c r="D1307" s="3" t="str">
        <f ca="1">IFERROR(__xludf.DUMMYFUNCTION("""COMPUTED_VALUE"""),"Male")</f>
        <v>Male</v>
      </c>
      <c r="E1307" s="1" t="str">
        <f ca="1">IFERROR(__xludf.DUMMYFUNCTION("""COMPUTED_VALUE"""),"People from my circle, but not family members")</f>
        <v>People from my circle, but not family members</v>
      </c>
      <c r="F1307" s="1" t="str">
        <f ca="1">IFERROR(__xludf.DUMMYFUNCTION("""COMPUTED_VALUE"""),"No I would not be pursuing Higher Education outside of India")</f>
        <v>No I would not be pursuing Higher Education outside of India</v>
      </c>
      <c r="G1307" s="1" t="str">
        <f ca="1">IFERROR(__xludf.DUMMYFUNCTION("""COMPUTED_VALUE"""),"This will be hard to do, but if it is the right company I would try")</f>
        <v>This will be hard to do, but if it is the right company I would try</v>
      </c>
      <c r="H1307" s="1" t="str">
        <f ca="1">IFERROR(__xludf.DUMMYFUNCTION("""COMPUTED_VALUE"""),"No")</f>
        <v>No</v>
      </c>
      <c r="I1307" s="1" t="str">
        <f ca="1">IFERROR(__xludf.DUMMYFUNCTION("""COMPUTED_VALUE"""),"Will NOT work for them")</f>
        <v>Will NOT work for them</v>
      </c>
      <c r="J1307" s="1">
        <f ca="1">IFERROR(__xludf.DUMMYFUNCTION("""COMPUTED_VALUE"""),3)</f>
        <v>3</v>
      </c>
      <c r="K1307" s="1" t="str">
        <f ca="1">IFERROR(__xludf.DUMMYFUNCTION("""COMPUTED_VALUE"""),"Hybrid Working Environment with more than 15 days a month at office")</f>
        <v>Hybrid Working Environment with more than 15 days a month at office</v>
      </c>
      <c r="L1307" s="1" t="str">
        <f ca="1">IFERROR(__xludf.DUMMYFUNCTION("""COMPUTED_VALUE"""),"Employer who pushes your limits by enabling an learning environment, and rewards you at the end")</f>
        <v>Employer who pushes your limits by enabling an learning environment, and rewards you at the end</v>
      </c>
      <c r="M130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07"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307" s="1" t="str">
        <f ca="1">IFERROR(__xludf.DUMMYFUNCTION("""COMPUTED_VALUE"""),"Manager who explains what is expected, sets a goal and helps achieve it")</f>
        <v>Manager who explains what is expected, sets a goal and helps achieve it</v>
      </c>
      <c r="P1307" s="1" t="str">
        <f ca="1">IFERROR(__xludf.DUMMYFUNCTION("""COMPUTED_VALUE"""),"Work with 7 to 10 or more people in my team")</f>
        <v>Work with 7 to 10 or more people in my team</v>
      </c>
      <c r="Q1307" s="1"/>
    </row>
    <row r="1308" spans="1:17" ht="13.2" x14ac:dyDescent="0.25">
      <c r="A1308" s="2">
        <f ca="1">IFERROR(__xludf.DUMMYFUNCTION("""COMPUTED_VALUE"""),45044.6582473611)</f>
        <v>45044.658247361098</v>
      </c>
      <c r="B1308" s="1" t="str">
        <f ca="1">IFERROR(__xludf.DUMMYFUNCTION("""COMPUTED_VALUE"""),"India")</f>
        <v>India</v>
      </c>
      <c r="C1308" s="1">
        <f ca="1">IFERROR(__xludf.DUMMYFUNCTION("""COMPUTED_VALUE"""),122101)</f>
        <v>122101</v>
      </c>
      <c r="D1308" s="3" t="str">
        <f ca="1">IFERROR(__xludf.DUMMYFUNCTION("""COMPUTED_VALUE"""),"Male")</f>
        <v>Male</v>
      </c>
      <c r="E1308" s="1" t="str">
        <f ca="1">IFERROR(__xludf.DUMMYFUNCTION("""COMPUTED_VALUE"""),"People who have changed the world for better")</f>
        <v>People who have changed the world for better</v>
      </c>
      <c r="F1308" s="1" t="str">
        <f ca="1">IFERROR(__xludf.DUMMYFUNCTION("""COMPUTED_VALUE"""),"No, But if someone could bare the cost I will")</f>
        <v>No, But if someone could bare the cost I will</v>
      </c>
      <c r="G1308" s="1" t="str">
        <f ca="1">IFERROR(__xludf.DUMMYFUNCTION("""COMPUTED_VALUE"""),"This will be hard to do, but if it is the right company I would try")</f>
        <v>This will be hard to do, but if it is the right company I would try</v>
      </c>
      <c r="H1308" s="1" t="str">
        <f ca="1">IFERROR(__xludf.DUMMYFUNCTION("""COMPUTED_VALUE"""),"Yes")</f>
        <v>Yes</v>
      </c>
      <c r="I1308" s="1" t="str">
        <f ca="1">IFERROR(__xludf.DUMMYFUNCTION("""COMPUTED_VALUE"""),"Will NOT work for them")</f>
        <v>Will NOT work for them</v>
      </c>
      <c r="J1308" s="1">
        <f ca="1">IFERROR(__xludf.DUMMYFUNCTION("""COMPUTED_VALUE"""),10)</f>
        <v>10</v>
      </c>
      <c r="K1308" s="1" t="str">
        <f ca="1">IFERROR(__xludf.DUMMYFUNCTION("""COMPUTED_VALUE"""),"Fully Remote with Options to travel as and when needed")</f>
        <v>Fully Remote with Options to travel as and when needed</v>
      </c>
      <c r="L1308" s="1" t="str">
        <f ca="1">IFERROR(__xludf.DUMMYFUNCTION("""COMPUTED_VALUE"""),"Employer who pushes your limits by enabling an learning environment, and rewards you at the end")</f>
        <v>Employer who pushes your limits by enabling an learning environment, and rewards you at the end</v>
      </c>
      <c r="M1308" s="1" t="str">
        <f ca="1">IFERROR(__xludf.DUMMYFUNCTION("""COMPUTED_VALUE"""),"Self Paced Learning Portals of the Company, Instructor or Expert Learning Programs, Manager Teaching you")</f>
        <v>Self Paced Learning Portals of the Company, Instructor or Expert Learning Programs, Manager Teaching you</v>
      </c>
      <c r="N130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308" s="1" t="str">
        <f ca="1">IFERROR(__xludf.DUMMYFUNCTION("""COMPUTED_VALUE"""),"Manager who explains what is expected, sets a goal and helps achieve it")</f>
        <v>Manager who explains what is expected, sets a goal and helps achieve it</v>
      </c>
      <c r="P1308" s="1" t="str">
        <f ca="1">IFERROR(__xludf.DUMMYFUNCTION("""COMPUTED_VALUE"""),"Work with 2 to 3 people in my team")</f>
        <v>Work with 2 to 3 people in my team</v>
      </c>
      <c r="Q1308" s="1"/>
    </row>
    <row r="1309" spans="1:17" ht="13.2" x14ac:dyDescent="0.25">
      <c r="A1309" s="2">
        <f ca="1">IFERROR(__xludf.DUMMYFUNCTION("""COMPUTED_VALUE"""),45044.6650627893)</f>
        <v>45044.665062789303</v>
      </c>
      <c r="B1309" s="1" t="str">
        <f ca="1">IFERROR(__xludf.DUMMYFUNCTION("""COMPUTED_VALUE"""),"UAE")</f>
        <v>UAE</v>
      </c>
      <c r="C1309" s="1">
        <f ca="1">IFERROR(__xludf.DUMMYFUNCTION("""COMPUTED_VALUE"""),21228)</f>
        <v>21228</v>
      </c>
      <c r="D1309" s="3" t="str">
        <f ca="1">IFERROR(__xludf.DUMMYFUNCTION("""COMPUTED_VALUE"""),"Female")</f>
        <v>Female</v>
      </c>
      <c r="E1309" s="1" t="str">
        <f ca="1">IFERROR(__xludf.DUMMYFUNCTION("""COMPUTED_VALUE"""),"People who have changed the world for better")</f>
        <v>People who have changed the world for better</v>
      </c>
      <c r="F1309" s="1" t="str">
        <f ca="1">IFERROR(__xludf.DUMMYFUNCTION("""COMPUTED_VALUE"""),"Yes, I will earn and do that")</f>
        <v>Yes, I will earn and do that</v>
      </c>
      <c r="G1309" s="1" t="str">
        <f ca="1">IFERROR(__xludf.DUMMYFUNCTION("""COMPUTED_VALUE"""),"This will be hard to do, but if it is the right company I would try")</f>
        <v>This will be hard to do, but if it is the right company I would try</v>
      </c>
      <c r="H1309" s="1" t="str">
        <f ca="1">IFERROR(__xludf.DUMMYFUNCTION("""COMPUTED_VALUE"""),"No")</f>
        <v>No</v>
      </c>
      <c r="I1309" s="1" t="str">
        <f ca="1">IFERROR(__xludf.DUMMYFUNCTION("""COMPUTED_VALUE"""),"Will NOT work for them")</f>
        <v>Will NOT work for them</v>
      </c>
      <c r="J1309" s="1">
        <f ca="1">IFERROR(__xludf.DUMMYFUNCTION("""COMPUTED_VALUE"""),3)</f>
        <v>3</v>
      </c>
      <c r="K1309" s="1" t="str">
        <f ca="1">IFERROR(__xludf.DUMMYFUNCTION("""COMPUTED_VALUE"""),"Hybrid Working Environment with more than 15 days a month at office")</f>
        <v>Hybrid Working Environment with more than 15 days a month at office</v>
      </c>
      <c r="L1309" s="1" t="str">
        <f ca="1">IFERROR(__xludf.DUMMYFUNCTION("""COMPUTED_VALUE"""),"Employer who appreciates learning and enables that environment")</f>
        <v>Employer who appreciates learning and enables that environment</v>
      </c>
      <c r="M1309" s="1" t="str">
        <f ca="1">IFERROR(__xludf.DUMMYFUNCTION("""COMPUTED_VALUE"""),"Instructor or Expert Learning Programs, Learning by observing others, Manager Teaching you")</f>
        <v>Instructor or Expert Learning Programs, Learning by observing others, Manager Teaching you</v>
      </c>
      <c r="N1309" s="1" t="str">
        <f ca="1">IFERROR(__xludf.DUMMYFUNCTION("""COMPUTED_VALUE"""),"Teaching in any of the institutes/colleges/online or offline, Work as a freelancer and do my thing my way, Become a content Creator in some platform, I Want to sell things/Sales")</f>
        <v>Teaching in any of the institutes/colleges/online or offline, Work as a freelancer and do my thing my way, Become a content Creator in some platform, I Want to sell things/Sales</v>
      </c>
      <c r="O1309" s="1" t="str">
        <f ca="1">IFERROR(__xludf.DUMMYFUNCTION("""COMPUTED_VALUE"""),"Manager who explains what is expected, sets a goal and helps achieve it")</f>
        <v>Manager who explains what is expected, sets a goal and helps achieve it</v>
      </c>
      <c r="P1309" s="1" t="str">
        <f ca="1">IFERROR(__xludf.DUMMYFUNCTION("""COMPUTED_VALUE"""),"Work alone, Work with 2 to 3 people in my team")</f>
        <v>Work alone, Work with 2 to 3 people in my team</v>
      </c>
      <c r="Q1309" s="1"/>
    </row>
    <row r="1310" spans="1:17" ht="13.2" x14ac:dyDescent="0.25">
      <c r="A1310" s="2">
        <f ca="1">IFERROR(__xludf.DUMMYFUNCTION("""COMPUTED_VALUE"""),45044.6667686458)</f>
        <v>45044.666768645802</v>
      </c>
      <c r="B1310" s="1" t="str">
        <f ca="1">IFERROR(__xludf.DUMMYFUNCTION("""COMPUTED_VALUE"""),"India")</f>
        <v>India</v>
      </c>
      <c r="C1310" s="1">
        <f ca="1">IFERROR(__xludf.DUMMYFUNCTION("""COMPUTED_VALUE"""),600083)</f>
        <v>600083</v>
      </c>
      <c r="D1310" s="3" t="str">
        <f ca="1">IFERROR(__xludf.DUMMYFUNCTION("""COMPUTED_VALUE"""),"Male")</f>
        <v>Male</v>
      </c>
      <c r="E1310" s="1" t="str">
        <f ca="1">IFERROR(__xludf.DUMMYFUNCTION("""COMPUTED_VALUE"""),"Influencers who had successful careers")</f>
        <v>Influencers who had successful careers</v>
      </c>
      <c r="F1310" s="1" t="str">
        <f ca="1">IFERROR(__xludf.DUMMYFUNCTION("""COMPUTED_VALUE"""),"No I would not be pursuing Higher Education outside of India")</f>
        <v>No I would not be pursuing Higher Education outside of India</v>
      </c>
      <c r="G1310" s="1" t="str">
        <f ca="1">IFERROR(__xludf.DUMMYFUNCTION("""COMPUTED_VALUE"""),"This will be hard to do, but if it is the right company I would try")</f>
        <v>This will be hard to do, but if it is the right company I would try</v>
      </c>
      <c r="H1310" s="1" t="str">
        <f ca="1">IFERROR(__xludf.DUMMYFUNCTION("""COMPUTED_VALUE"""),"No")</f>
        <v>No</v>
      </c>
      <c r="I1310" s="1" t="str">
        <f ca="1">IFERROR(__xludf.DUMMYFUNCTION("""COMPUTED_VALUE"""),"Will NOT work for them")</f>
        <v>Will NOT work for them</v>
      </c>
      <c r="J1310" s="1">
        <f ca="1">IFERROR(__xludf.DUMMYFUNCTION("""COMPUTED_VALUE"""),6)</f>
        <v>6</v>
      </c>
      <c r="K1310" s="1" t="str">
        <f ca="1">IFERROR(__xludf.DUMMYFUNCTION("""COMPUTED_VALUE"""),"Hybrid Working Environment with more than 15 days a month at office")</f>
        <v>Hybrid Working Environment with more than 15 days a month at office</v>
      </c>
      <c r="L1310" s="1" t="str">
        <f ca="1">IFERROR(__xludf.DUMMYFUNCTION("""COMPUTED_VALUE"""),"Employer who pushes your limits and doesn't enables learning environment and never rewards you")</f>
        <v>Employer who pushes your limits and doesn't enables learning environment and never rewards you</v>
      </c>
      <c r="M131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10"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310" s="1" t="str">
        <f ca="1">IFERROR(__xludf.DUMMYFUNCTION("""COMPUTED_VALUE"""),"Manager who explains what is expected, sets a goal and helps achieve it")</f>
        <v>Manager who explains what is expected, sets a goal and helps achieve it</v>
      </c>
      <c r="P1310" s="1" t="str">
        <f ca="1">IFERROR(__xludf.DUMMYFUNCTION("""COMPUTED_VALUE"""),"Work with 7 to 10 or more people in my team")</f>
        <v>Work with 7 to 10 or more people in my team</v>
      </c>
      <c r="Q1310" s="1"/>
    </row>
    <row r="1311" spans="1:17" ht="13.2" x14ac:dyDescent="0.25">
      <c r="A1311" s="2">
        <f ca="1">IFERROR(__xludf.DUMMYFUNCTION("""COMPUTED_VALUE"""),45044.6694953472)</f>
        <v>45044.669495347203</v>
      </c>
      <c r="B1311" s="1" t="str">
        <f ca="1">IFERROR(__xludf.DUMMYFUNCTION("""COMPUTED_VALUE"""),"India")</f>
        <v>India</v>
      </c>
      <c r="C1311" s="1">
        <f ca="1">IFERROR(__xludf.DUMMYFUNCTION("""COMPUTED_VALUE"""),110045)</f>
        <v>110045</v>
      </c>
      <c r="D1311" s="3" t="str">
        <f ca="1">IFERROR(__xludf.DUMMYFUNCTION("""COMPUTED_VALUE"""),"Male")</f>
        <v>Male</v>
      </c>
      <c r="E1311" s="1" t="str">
        <f ca="1">IFERROR(__xludf.DUMMYFUNCTION("""COMPUTED_VALUE"""),"My Parents")</f>
        <v>My Parents</v>
      </c>
      <c r="F1311" s="1" t="str">
        <f ca="1">IFERROR(__xludf.DUMMYFUNCTION("""COMPUTED_VALUE"""),"Yes, I will earn and do that")</f>
        <v>Yes, I will earn and do that</v>
      </c>
      <c r="G1311" s="1" t="str">
        <f ca="1">IFERROR(__xludf.DUMMYFUNCTION("""COMPUTED_VALUE"""),"Will work for 3 years or more")</f>
        <v>Will work for 3 years or more</v>
      </c>
      <c r="H1311" s="1" t="str">
        <f ca="1">IFERROR(__xludf.DUMMYFUNCTION("""COMPUTED_VALUE"""),"No")</f>
        <v>No</v>
      </c>
      <c r="I1311" s="1" t="str">
        <f ca="1">IFERROR(__xludf.DUMMYFUNCTION("""COMPUTED_VALUE"""),"Will work for them")</f>
        <v>Will work for them</v>
      </c>
      <c r="J1311" s="1">
        <f ca="1">IFERROR(__xludf.DUMMYFUNCTION("""COMPUTED_VALUE"""),3)</f>
        <v>3</v>
      </c>
      <c r="K1311" s="1" t="str">
        <f ca="1">IFERROR(__xludf.DUMMYFUNCTION("""COMPUTED_VALUE"""),"Hybrid Working Environment with more than 15 days a month at office")</f>
        <v>Hybrid Working Environment with more than 15 days a month at office</v>
      </c>
      <c r="L1311" s="1" t="str">
        <f ca="1">IFERROR(__xludf.DUMMYFUNCTION("""COMPUTED_VALUE"""),"Employer who appreciates learning and enables that environment")</f>
        <v>Employer who appreciates learning and enables that environment</v>
      </c>
      <c r="M131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311" s="1" t="str">
        <f ca="1">IFERROR(__xludf.DUMMYFUNCTION("""COMPUTED_VALUE"""),"Manager who clearly describes what she/he needs")</f>
        <v>Manager who clearly describes what she/he needs</v>
      </c>
      <c r="P1311" s="1" t="str">
        <f ca="1">IFERROR(__xludf.DUMMYFUNCTION("""COMPUTED_VALUE"""),"Work with 7 to 10 or more people in my team")</f>
        <v>Work with 7 to 10 or more people in my team</v>
      </c>
      <c r="Q1311" s="1"/>
    </row>
    <row r="1312" spans="1:17" ht="13.2" x14ac:dyDescent="0.25">
      <c r="A1312" s="2">
        <f ca="1">IFERROR(__xludf.DUMMYFUNCTION("""COMPUTED_VALUE"""),45044.6698394791)</f>
        <v>45044.669839479102</v>
      </c>
      <c r="B1312" s="1" t="str">
        <f ca="1">IFERROR(__xludf.DUMMYFUNCTION("""COMPUTED_VALUE"""),"India")</f>
        <v>India</v>
      </c>
      <c r="C1312" s="1">
        <f ca="1">IFERROR(__xludf.DUMMYFUNCTION("""COMPUTED_VALUE"""),522007)</f>
        <v>522007</v>
      </c>
      <c r="D1312" s="3" t="str">
        <f ca="1">IFERROR(__xludf.DUMMYFUNCTION("""COMPUTED_VALUE"""),"Male")</f>
        <v>Male</v>
      </c>
      <c r="E1312" s="1" t="str">
        <f ca="1">IFERROR(__xludf.DUMMYFUNCTION("""COMPUTED_VALUE"""),"My Parents")</f>
        <v>My Parents</v>
      </c>
      <c r="F1312" s="1" t="str">
        <f ca="1">IFERROR(__xludf.DUMMYFUNCTION("""COMPUTED_VALUE"""),"No, But if someone could bare the cost I will")</f>
        <v>No, But if someone could bare the cost I will</v>
      </c>
      <c r="G1312" s="1" t="str">
        <f ca="1">IFERROR(__xludf.DUMMYFUNCTION("""COMPUTED_VALUE"""),"Will work for 3 years or more")</f>
        <v>Will work for 3 years or more</v>
      </c>
      <c r="H1312" s="1" t="str">
        <f ca="1">IFERROR(__xludf.DUMMYFUNCTION("""COMPUTED_VALUE"""),"No")</f>
        <v>No</v>
      </c>
      <c r="I1312" s="1" t="str">
        <f ca="1">IFERROR(__xludf.DUMMYFUNCTION("""COMPUTED_VALUE"""),"Will NOT work for them")</f>
        <v>Will NOT work for them</v>
      </c>
      <c r="J1312" s="1">
        <f ca="1">IFERROR(__xludf.DUMMYFUNCTION("""COMPUTED_VALUE"""),5)</f>
        <v>5</v>
      </c>
      <c r="K1312" s="1" t="str">
        <f ca="1">IFERROR(__xludf.DUMMYFUNCTION("""COMPUTED_VALUE"""),"Every Day Office Environment")</f>
        <v>Every Day Office Environment</v>
      </c>
      <c r="L1312" s="1" t="str">
        <f ca="1">IFERROR(__xludf.DUMMYFUNCTION("""COMPUTED_VALUE"""),"Employer who pushes your limits by enabling an learning environment, and rewards you at the end")</f>
        <v>Employer who pushes your limits by enabling an learning environment, and rewards you at the end</v>
      </c>
      <c r="M131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2"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12" s="1" t="str">
        <f ca="1">IFERROR(__xludf.DUMMYFUNCTION("""COMPUTED_VALUE"""),"Manager who explains what is expected, sets a goal and helps achieve it")</f>
        <v>Manager who explains what is expected, sets a goal and helps achieve it</v>
      </c>
      <c r="P1312" s="1" t="str">
        <f ca="1">IFERROR(__xludf.DUMMYFUNCTION("""COMPUTED_VALUE"""),"Work with more than 10 people in my team")</f>
        <v>Work with more than 10 people in my team</v>
      </c>
      <c r="Q1312" s="1"/>
    </row>
    <row r="1313" spans="1:17" ht="13.2" x14ac:dyDescent="0.25">
      <c r="A1313" s="2">
        <f ca="1">IFERROR(__xludf.DUMMYFUNCTION("""COMPUTED_VALUE"""),45044.6701403009)</f>
        <v>45044.670140300899</v>
      </c>
      <c r="B1313" s="1" t="str">
        <f ca="1">IFERROR(__xludf.DUMMYFUNCTION("""COMPUTED_VALUE"""),"India")</f>
        <v>India</v>
      </c>
      <c r="C1313" s="1">
        <f ca="1">IFERROR(__xludf.DUMMYFUNCTION("""COMPUTED_VALUE"""),636302)</f>
        <v>636302</v>
      </c>
      <c r="D1313" s="3" t="str">
        <f ca="1">IFERROR(__xludf.DUMMYFUNCTION("""COMPUTED_VALUE"""),"Male")</f>
        <v>Male</v>
      </c>
      <c r="E1313" s="1" t="str">
        <f ca="1">IFERROR(__xludf.DUMMYFUNCTION("""COMPUTED_VALUE"""),"People who have changed the world for better")</f>
        <v>People who have changed the world for better</v>
      </c>
      <c r="F1313" s="1" t="str">
        <f ca="1">IFERROR(__xludf.DUMMYFUNCTION("""COMPUTED_VALUE"""),"Yes, I will earn and do that")</f>
        <v>Yes, I will earn and do that</v>
      </c>
      <c r="G1313" s="1" t="str">
        <f ca="1">IFERROR(__xludf.DUMMYFUNCTION("""COMPUTED_VALUE"""),"This will be hard to do, but if it is the right company I would try")</f>
        <v>This will be hard to do, but if it is the right company I would try</v>
      </c>
      <c r="H1313" s="1" t="str">
        <f ca="1">IFERROR(__xludf.DUMMYFUNCTION("""COMPUTED_VALUE"""),"Yes")</f>
        <v>Yes</v>
      </c>
      <c r="I1313" s="1" t="str">
        <f ca="1">IFERROR(__xludf.DUMMYFUNCTION("""COMPUTED_VALUE"""),"Will NOT work for them")</f>
        <v>Will NOT work for them</v>
      </c>
      <c r="J1313" s="1">
        <f ca="1">IFERROR(__xludf.DUMMYFUNCTION("""COMPUTED_VALUE"""),3)</f>
        <v>3</v>
      </c>
      <c r="K1313" s="1" t="str">
        <f ca="1">IFERROR(__xludf.DUMMYFUNCTION("""COMPUTED_VALUE"""),"Hybrid Working Environment with less than 3 days a month at office")</f>
        <v>Hybrid Working Environment with less than 3 days a month at office</v>
      </c>
      <c r="L1313" s="1" t="str">
        <f ca="1">IFERROR(__xludf.DUMMYFUNCTION("""COMPUTED_VALUE"""),"Employer who appreciates learning and enables that environment")</f>
        <v>Employer who appreciates learning and enables that environment</v>
      </c>
      <c r="M131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13"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1313" s="1" t="str">
        <f ca="1">IFERROR(__xludf.DUMMYFUNCTION("""COMPUTED_VALUE"""),"Manager who explains what is expected, sets a goal and helps achieve it")</f>
        <v>Manager who explains what is expected, sets a goal and helps achieve it</v>
      </c>
      <c r="P1313" s="1" t="str">
        <f ca="1">IFERROR(__xludf.DUMMYFUNCTION("""COMPUTED_VALUE"""),"Work with 5 to 6 people in my team")</f>
        <v>Work with 5 to 6 people in my team</v>
      </c>
      <c r="Q1313" s="1"/>
    </row>
    <row r="1314" spans="1:17" ht="13.2" x14ac:dyDescent="0.25">
      <c r="A1314" s="2">
        <f ca="1">IFERROR(__xludf.DUMMYFUNCTION("""COMPUTED_VALUE"""),45044.6724894444)</f>
        <v>45044.672489444398</v>
      </c>
      <c r="B1314" s="1" t="str">
        <f ca="1">IFERROR(__xludf.DUMMYFUNCTION("""COMPUTED_VALUE"""),"India")</f>
        <v>India</v>
      </c>
      <c r="C1314" s="1">
        <f ca="1">IFERROR(__xludf.DUMMYFUNCTION("""COMPUTED_VALUE"""),492008)</f>
        <v>492008</v>
      </c>
      <c r="D1314" s="3" t="str">
        <f ca="1">IFERROR(__xludf.DUMMYFUNCTION("""COMPUTED_VALUE"""),"Female")</f>
        <v>Female</v>
      </c>
      <c r="E1314" s="1" t="str">
        <f ca="1">IFERROR(__xludf.DUMMYFUNCTION("""COMPUTED_VALUE"""),"Influencers who had successful careers")</f>
        <v>Influencers who had successful careers</v>
      </c>
      <c r="F1314" s="1" t="str">
        <f ca="1">IFERROR(__xludf.DUMMYFUNCTION("""COMPUTED_VALUE"""),"Yes, I will earn and do that")</f>
        <v>Yes, I will earn and do that</v>
      </c>
      <c r="G1314" s="1" t="str">
        <f ca="1">IFERROR(__xludf.DUMMYFUNCTION("""COMPUTED_VALUE"""),"Will work for 3 years or more")</f>
        <v>Will work for 3 years or more</v>
      </c>
      <c r="H1314" s="1" t="str">
        <f ca="1">IFERROR(__xludf.DUMMYFUNCTION("""COMPUTED_VALUE"""),"No")</f>
        <v>No</v>
      </c>
      <c r="I1314" s="1" t="str">
        <f ca="1">IFERROR(__xludf.DUMMYFUNCTION("""COMPUTED_VALUE"""),"Will NOT work for them")</f>
        <v>Will NOT work for them</v>
      </c>
      <c r="J1314" s="1">
        <f ca="1">IFERROR(__xludf.DUMMYFUNCTION("""COMPUTED_VALUE"""),7)</f>
        <v>7</v>
      </c>
      <c r="K1314" s="1" t="str">
        <f ca="1">IFERROR(__xludf.DUMMYFUNCTION("""COMPUTED_VALUE"""),"Fully Remote with Options to travel as and when needed")</f>
        <v>Fully Remote with Options to travel as and when needed</v>
      </c>
      <c r="L1314" s="1" t="str">
        <f ca="1">IFERROR(__xludf.DUMMYFUNCTION("""COMPUTED_VALUE"""),"Employer who rewards learning and enables that environment")</f>
        <v>Employer who rewards learning and enables that environment</v>
      </c>
      <c r="M13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4" s="1" t="str">
        <f ca="1">IFERROR(__xludf.DUMMYFUNCTION("""COMPUTED_VALUE"""),"Teaching in any of the institutes/colleges/online or offline, Business Operations in any organization, An Artificial Intelligence Specialist / Talking to Robots, Manufacturing / Oil and Gas/ Construction / Hard Physical Work related")</f>
        <v>Teaching in any of the institutes/colleges/online or offline, Business Operations in any organization, An Artificial Intelligence Specialist / Talking to Robots, Manufacturing / Oil and Gas/ Construction / Hard Physical Work related</v>
      </c>
      <c r="O1314" s="1" t="str">
        <f ca="1">IFERROR(__xludf.DUMMYFUNCTION("""COMPUTED_VALUE"""),"Manager who explains what is expected, sets a goal and helps achieve it")</f>
        <v>Manager who explains what is expected, sets a goal and helps achieve it</v>
      </c>
      <c r="P1314" s="1" t="str">
        <f ca="1">IFERROR(__xludf.DUMMYFUNCTION("""COMPUTED_VALUE"""),"Work with 2 to 3 people in my team")</f>
        <v>Work with 2 to 3 people in my team</v>
      </c>
      <c r="Q1314" s="1"/>
    </row>
    <row r="1315" spans="1:17" ht="13.2" x14ac:dyDescent="0.25">
      <c r="A1315" s="2">
        <f ca="1">IFERROR(__xludf.DUMMYFUNCTION("""COMPUTED_VALUE"""),45044.6731247222)</f>
        <v>45044.673124722198</v>
      </c>
      <c r="B1315" s="1" t="str">
        <f ca="1">IFERROR(__xludf.DUMMYFUNCTION("""COMPUTED_VALUE"""),"India")</f>
        <v>India</v>
      </c>
      <c r="C1315" s="1">
        <f ca="1">IFERROR(__xludf.DUMMYFUNCTION("""COMPUTED_VALUE"""),500074)</f>
        <v>500074</v>
      </c>
      <c r="D1315" s="3" t="str">
        <f ca="1">IFERROR(__xludf.DUMMYFUNCTION("""COMPUTED_VALUE"""),"Male")</f>
        <v>Male</v>
      </c>
      <c r="E1315" s="1" t="str">
        <f ca="1">IFERROR(__xludf.DUMMYFUNCTION("""COMPUTED_VALUE"""),"My Parents")</f>
        <v>My Parents</v>
      </c>
      <c r="F1315" s="1" t="str">
        <f ca="1">IFERROR(__xludf.DUMMYFUNCTION("""COMPUTED_VALUE"""),"Yes, I will earn and do that")</f>
        <v>Yes, I will earn and do that</v>
      </c>
      <c r="G1315" s="1" t="str">
        <f ca="1">IFERROR(__xludf.DUMMYFUNCTION("""COMPUTED_VALUE"""),"Will work for 3 years or more")</f>
        <v>Will work for 3 years or more</v>
      </c>
      <c r="H1315" s="1" t="str">
        <f ca="1">IFERROR(__xludf.DUMMYFUNCTION("""COMPUTED_VALUE"""),"Yes")</f>
        <v>Yes</v>
      </c>
      <c r="I1315" s="1" t="str">
        <f ca="1">IFERROR(__xludf.DUMMYFUNCTION("""COMPUTED_VALUE"""),"Will work for them")</f>
        <v>Will work for them</v>
      </c>
      <c r="J1315" s="1">
        <f ca="1">IFERROR(__xludf.DUMMYFUNCTION("""COMPUTED_VALUE"""),10)</f>
        <v>10</v>
      </c>
      <c r="K1315" s="1" t="str">
        <f ca="1">IFERROR(__xludf.DUMMYFUNCTION("""COMPUTED_VALUE"""),"Every Day Office Environment")</f>
        <v>Every Day Office Environment</v>
      </c>
      <c r="L1315" s="1" t="str">
        <f ca="1">IFERROR(__xludf.DUMMYFUNCTION("""COMPUTED_VALUE"""),"Employer who appreciates learning and enables that environment")</f>
        <v>Employer who appreciates learning and enables that environment</v>
      </c>
      <c r="M1315" s="1" t="str">
        <f ca="1">IFERROR(__xludf.DUMMYFUNCTION("""COMPUTED_VALUE"""),"Self Paced Learning Portals of the Company, Learning by observing others, Manager Teaching you")</f>
        <v>Self Paced Learning Portals of the Company, Learning by observing others, Manager Teaching you</v>
      </c>
      <c r="N131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5" s="1" t="str">
        <f ca="1">IFERROR(__xludf.DUMMYFUNCTION("""COMPUTED_VALUE"""),"Manager who explains what is expected, sets a goal and helps achieve it")</f>
        <v>Manager who explains what is expected, sets a goal and helps achieve it</v>
      </c>
      <c r="P1315" s="1" t="str">
        <f ca="1">IFERROR(__xludf.DUMMYFUNCTION("""COMPUTED_VALUE"""),"Work with 5 to 6 people in my team, Work with more than 10 people in my team")</f>
        <v>Work with 5 to 6 people in my team, Work with more than 10 people in my team</v>
      </c>
      <c r="Q1315" s="1"/>
    </row>
    <row r="1316" spans="1:17" ht="13.2" x14ac:dyDescent="0.25">
      <c r="A1316" s="2">
        <f ca="1">IFERROR(__xludf.DUMMYFUNCTION("""COMPUTED_VALUE"""),45044.6737376851)</f>
        <v>45044.673737685102</v>
      </c>
      <c r="B1316" s="1" t="str">
        <f ca="1">IFERROR(__xludf.DUMMYFUNCTION("""COMPUTED_VALUE"""),"India")</f>
        <v>India</v>
      </c>
      <c r="C1316" s="1">
        <f ca="1">IFERROR(__xludf.DUMMYFUNCTION("""COMPUTED_VALUE"""),482003)</f>
        <v>482003</v>
      </c>
      <c r="D1316" s="3" t="str">
        <f ca="1">IFERROR(__xludf.DUMMYFUNCTION("""COMPUTED_VALUE"""),"Female")</f>
        <v>Female</v>
      </c>
      <c r="E1316" s="1" t="str">
        <f ca="1">IFERROR(__xludf.DUMMYFUNCTION("""COMPUTED_VALUE"""),"Influencers who had successful careers")</f>
        <v>Influencers who had successful careers</v>
      </c>
      <c r="F1316" s="1" t="str">
        <f ca="1">IFERROR(__xludf.DUMMYFUNCTION("""COMPUTED_VALUE"""),"No I would not be pursuing Higher Education outside of India")</f>
        <v>No I would not be pursuing Higher Education outside of India</v>
      </c>
      <c r="G1316" s="1" t="str">
        <f ca="1">IFERROR(__xludf.DUMMYFUNCTION("""COMPUTED_VALUE"""),"Will work for 3 years or more")</f>
        <v>Will work for 3 years or more</v>
      </c>
      <c r="H1316" s="1" t="str">
        <f ca="1">IFERROR(__xludf.DUMMYFUNCTION("""COMPUTED_VALUE"""),"No")</f>
        <v>No</v>
      </c>
      <c r="I1316" s="1" t="str">
        <f ca="1">IFERROR(__xludf.DUMMYFUNCTION("""COMPUTED_VALUE"""),"Will NOT work for them")</f>
        <v>Will NOT work for them</v>
      </c>
      <c r="J1316" s="1">
        <f ca="1">IFERROR(__xludf.DUMMYFUNCTION("""COMPUTED_VALUE"""),6)</f>
        <v>6</v>
      </c>
      <c r="K1316" s="1" t="str">
        <f ca="1">IFERROR(__xludf.DUMMYFUNCTION("""COMPUTED_VALUE"""),"Every Day Office Environment")</f>
        <v>Every Day Office Environment</v>
      </c>
      <c r="L1316" s="1" t="str">
        <f ca="1">IFERROR(__xludf.DUMMYFUNCTION("""COMPUTED_VALUE"""),"Employer who appreciates learning and enables that environment")</f>
        <v>Employer who appreciates learning and enables that environment</v>
      </c>
      <c r="M13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316" s="1" t="str">
        <f ca="1">IFERROR(__xludf.DUMMYFUNCTION("""COMPUTED_VALUE"""),"Manager who sets goal and helps me achieve it")</f>
        <v>Manager who sets goal and helps me achieve it</v>
      </c>
      <c r="P1316" s="1" t="str">
        <f ca="1">IFERROR(__xludf.DUMMYFUNCTION("""COMPUTED_VALUE"""),"Work with 5 to 6 people in my team")</f>
        <v>Work with 5 to 6 people in my team</v>
      </c>
      <c r="Q1316" s="1"/>
    </row>
    <row r="1317" spans="1:17" ht="13.2" x14ac:dyDescent="0.25">
      <c r="A1317" s="2">
        <f ca="1">IFERROR(__xludf.DUMMYFUNCTION("""COMPUTED_VALUE"""),45044.6748163078)</f>
        <v>45044.674816307801</v>
      </c>
      <c r="B1317" s="1" t="str">
        <f ca="1">IFERROR(__xludf.DUMMYFUNCTION("""COMPUTED_VALUE"""),"India")</f>
        <v>India</v>
      </c>
      <c r="C1317" s="1">
        <f ca="1">IFERROR(__xludf.DUMMYFUNCTION("""COMPUTED_VALUE"""),760002)</f>
        <v>760002</v>
      </c>
      <c r="D1317" s="3" t="str">
        <f ca="1">IFERROR(__xludf.DUMMYFUNCTION("""COMPUTED_VALUE"""),"Male")</f>
        <v>Male</v>
      </c>
      <c r="E1317" s="1" t="str">
        <f ca="1">IFERROR(__xludf.DUMMYFUNCTION("""COMPUTED_VALUE"""),"My Parents")</f>
        <v>My Parents</v>
      </c>
      <c r="F1317" s="1" t="str">
        <f ca="1">IFERROR(__xludf.DUMMYFUNCTION("""COMPUTED_VALUE"""),"No I would not be pursuing Higher Education outside of India")</f>
        <v>No I would not be pursuing Higher Education outside of India</v>
      </c>
      <c r="G1317" s="1" t="str">
        <f ca="1">IFERROR(__xludf.DUMMYFUNCTION("""COMPUTED_VALUE"""),"Will work for 3 years or more")</f>
        <v>Will work for 3 years or more</v>
      </c>
      <c r="H1317" s="1" t="str">
        <f ca="1">IFERROR(__xludf.DUMMYFUNCTION("""COMPUTED_VALUE"""),"No")</f>
        <v>No</v>
      </c>
      <c r="I1317" s="1" t="str">
        <f ca="1">IFERROR(__xludf.DUMMYFUNCTION("""COMPUTED_VALUE"""),"Will NOT work for them")</f>
        <v>Will NOT work for them</v>
      </c>
      <c r="J1317" s="1">
        <f ca="1">IFERROR(__xludf.DUMMYFUNCTION("""COMPUTED_VALUE"""),3)</f>
        <v>3</v>
      </c>
      <c r="K1317" s="1" t="str">
        <f ca="1">IFERROR(__xludf.DUMMYFUNCTION("""COMPUTED_VALUE"""),"Every Day Office Environment")</f>
        <v>Every Day Office Environment</v>
      </c>
      <c r="L1317" s="1" t="str">
        <f ca="1">IFERROR(__xludf.DUMMYFUNCTION("""COMPUTED_VALUE"""),"Employer who pushes your limits by enabling an learning environment, and rewards you at the end")</f>
        <v>Employer who pushes your limits by enabling an learning environment, and rewards you at the end</v>
      </c>
      <c r="M13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7" s="1" t="str">
        <f ca="1">IFERROR(__xludf.DUMMYFUNCTION("""COMPUTED_VALUE"""),"Manager who explains what is expected, sets a goal and helps achieve it")</f>
        <v>Manager who explains what is expected, sets a goal and helps achieve it</v>
      </c>
      <c r="P131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317" s="1"/>
    </row>
    <row r="1318" spans="1:17" ht="13.2" x14ac:dyDescent="0.25">
      <c r="A1318" s="2">
        <f ca="1">IFERROR(__xludf.DUMMYFUNCTION("""COMPUTED_VALUE"""),45044.6749024884)</f>
        <v>45044.674902488397</v>
      </c>
      <c r="B1318" s="1" t="str">
        <f ca="1">IFERROR(__xludf.DUMMYFUNCTION("""COMPUTED_VALUE"""),"India")</f>
        <v>India</v>
      </c>
      <c r="C1318" s="1">
        <f ca="1">IFERROR(__xludf.DUMMYFUNCTION("""COMPUTED_VALUE"""),600033)</f>
        <v>600033</v>
      </c>
      <c r="D1318" s="3" t="str">
        <f ca="1">IFERROR(__xludf.DUMMYFUNCTION("""COMPUTED_VALUE"""),"Female")</f>
        <v>Female</v>
      </c>
      <c r="E1318" s="1" t="str">
        <f ca="1">IFERROR(__xludf.DUMMYFUNCTION("""COMPUTED_VALUE"""),"Social Media like LinkedIn")</f>
        <v>Social Media like LinkedIn</v>
      </c>
      <c r="F1318" s="1" t="str">
        <f ca="1">IFERROR(__xludf.DUMMYFUNCTION("""COMPUTED_VALUE"""),"Yes, I will earn and do that")</f>
        <v>Yes, I will earn and do that</v>
      </c>
      <c r="G1318" s="1" t="str">
        <f ca="1">IFERROR(__xludf.DUMMYFUNCTION("""COMPUTED_VALUE"""),"Will work for 3 years or more")</f>
        <v>Will work for 3 years or more</v>
      </c>
      <c r="H1318" s="1" t="str">
        <f ca="1">IFERROR(__xludf.DUMMYFUNCTION("""COMPUTED_VALUE"""),"No")</f>
        <v>No</v>
      </c>
      <c r="I1318" s="1" t="str">
        <f ca="1">IFERROR(__xludf.DUMMYFUNCTION("""COMPUTED_VALUE"""),"Will NOT work for them")</f>
        <v>Will NOT work for them</v>
      </c>
      <c r="J1318" s="1">
        <f ca="1">IFERROR(__xludf.DUMMYFUNCTION("""COMPUTED_VALUE"""),5)</f>
        <v>5</v>
      </c>
      <c r="K1318" s="1" t="str">
        <f ca="1">IFERROR(__xludf.DUMMYFUNCTION("""COMPUTED_VALUE"""),"Every Day Office Environment")</f>
        <v>Every Day Office Environment</v>
      </c>
      <c r="L1318" s="1" t="str">
        <f ca="1">IFERROR(__xludf.DUMMYFUNCTION("""COMPUTED_VALUE"""),"Employer who pushes your limits by enabling an learning environment, and rewards you at the end")</f>
        <v>Employer who pushes your limits by enabling an learning environment, and rewards you at the end</v>
      </c>
      <c r="M131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1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8" s="1" t="str">
        <f ca="1">IFERROR(__xludf.DUMMYFUNCTION("""COMPUTED_VALUE"""),"Manager who explains what is expected, sets a goal and helps achieve it")</f>
        <v>Manager who explains what is expected, sets a goal and helps achieve it</v>
      </c>
      <c r="P1318" s="1" t="str">
        <f ca="1">IFERROR(__xludf.DUMMYFUNCTION("""COMPUTED_VALUE"""),"Work with 2 to 3 people in my team")</f>
        <v>Work with 2 to 3 people in my team</v>
      </c>
      <c r="Q1318" s="1"/>
    </row>
    <row r="1319" spans="1:17" ht="13.2" x14ac:dyDescent="0.25">
      <c r="A1319" s="2">
        <f ca="1">IFERROR(__xludf.DUMMYFUNCTION("""COMPUTED_VALUE"""),45044.6759563078)</f>
        <v>45044.675956307801</v>
      </c>
      <c r="B1319" s="1" t="str">
        <f ca="1">IFERROR(__xludf.DUMMYFUNCTION("""COMPUTED_VALUE"""),"India")</f>
        <v>India</v>
      </c>
      <c r="C1319" s="1">
        <f ca="1">IFERROR(__xludf.DUMMYFUNCTION("""COMPUTED_VALUE"""),411041)</f>
        <v>411041</v>
      </c>
      <c r="D1319" s="3" t="str">
        <f ca="1">IFERROR(__xludf.DUMMYFUNCTION("""COMPUTED_VALUE"""),"Female")</f>
        <v>Female</v>
      </c>
      <c r="E1319" s="1" t="str">
        <f ca="1">IFERROR(__xludf.DUMMYFUNCTION("""COMPUTED_VALUE"""),"People from my circle, but not family members")</f>
        <v>People from my circle, but not family members</v>
      </c>
      <c r="F1319" s="1" t="str">
        <f ca="1">IFERROR(__xludf.DUMMYFUNCTION("""COMPUTED_VALUE"""),"No I would not be pursuing Higher Education outside of India")</f>
        <v>No I would not be pursuing Higher Education outside of India</v>
      </c>
      <c r="G1319" s="1" t="str">
        <f ca="1">IFERROR(__xludf.DUMMYFUNCTION("""COMPUTED_VALUE"""),"Will work for 3 years or more")</f>
        <v>Will work for 3 years or more</v>
      </c>
      <c r="H1319" s="1" t="str">
        <f ca="1">IFERROR(__xludf.DUMMYFUNCTION("""COMPUTED_VALUE"""),"No")</f>
        <v>No</v>
      </c>
      <c r="I1319" s="1" t="str">
        <f ca="1">IFERROR(__xludf.DUMMYFUNCTION("""COMPUTED_VALUE"""),"Will NOT work for them")</f>
        <v>Will NOT work for them</v>
      </c>
      <c r="J1319" s="1">
        <f ca="1">IFERROR(__xludf.DUMMYFUNCTION("""COMPUTED_VALUE"""),4)</f>
        <v>4</v>
      </c>
      <c r="K1319" s="1" t="str">
        <f ca="1">IFERROR(__xludf.DUMMYFUNCTION("""COMPUTED_VALUE"""),"Hybrid Working Environment with more than 15 days a month at office")</f>
        <v>Hybrid Working Environment with more than 15 days a month at office</v>
      </c>
      <c r="L1319" s="1" t="str">
        <f ca="1">IFERROR(__xludf.DUMMYFUNCTION("""COMPUTED_VALUE"""),"Employer who pushes your limits by enabling an learning environment, and rewards you at the end")</f>
        <v>Employer who pushes your limits by enabling an learning environment, and rewards you at the end</v>
      </c>
      <c r="M131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9"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19" s="1" t="str">
        <f ca="1">IFERROR(__xludf.DUMMYFUNCTION("""COMPUTED_VALUE"""),"Manager who explains what is expected, sets a goal and helps achieve it")</f>
        <v>Manager who explains what is expected, sets a goal and helps achieve it</v>
      </c>
      <c r="P1319" s="1" t="str">
        <f ca="1">IFERROR(__xludf.DUMMYFUNCTION("""COMPUTED_VALUE"""),"Work with 2 to 3 people in my team")</f>
        <v>Work with 2 to 3 people in my team</v>
      </c>
      <c r="Q1319" s="1"/>
    </row>
    <row r="1320" spans="1:17" ht="13.2" x14ac:dyDescent="0.25">
      <c r="A1320" s="2">
        <f ca="1">IFERROR(__xludf.DUMMYFUNCTION("""COMPUTED_VALUE"""),45044.6763970601)</f>
        <v>45044.676397060102</v>
      </c>
      <c r="B1320" s="1" t="str">
        <f ca="1">IFERROR(__xludf.DUMMYFUNCTION("""COMPUTED_VALUE"""),"India")</f>
        <v>India</v>
      </c>
      <c r="C1320" s="1">
        <f ca="1">IFERROR(__xludf.DUMMYFUNCTION("""COMPUTED_VALUE"""),560100)</f>
        <v>560100</v>
      </c>
      <c r="D1320" s="3" t="str">
        <f ca="1">IFERROR(__xludf.DUMMYFUNCTION("""COMPUTED_VALUE"""),"Female")</f>
        <v>Female</v>
      </c>
      <c r="E1320" s="1" t="str">
        <f ca="1">IFERROR(__xludf.DUMMYFUNCTION("""COMPUTED_VALUE"""),"My Parents")</f>
        <v>My Parents</v>
      </c>
      <c r="F1320" s="1" t="str">
        <f ca="1">IFERROR(__xludf.DUMMYFUNCTION("""COMPUTED_VALUE"""),"No I would not be pursuing Higher Education outside of India")</f>
        <v>No I would not be pursuing Higher Education outside of India</v>
      </c>
      <c r="G1320" s="1" t="str">
        <f ca="1">IFERROR(__xludf.DUMMYFUNCTION("""COMPUTED_VALUE"""),"This will be hard to do, but if it is the right company I would try")</f>
        <v>This will be hard to do, but if it is the right company I would try</v>
      </c>
      <c r="H1320" s="1" t="str">
        <f ca="1">IFERROR(__xludf.DUMMYFUNCTION("""COMPUTED_VALUE"""),"No")</f>
        <v>No</v>
      </c>
      <c r="I1320" s="1" t="str">
        <f ca="1">IFERROR(__xludf.DUMMYFUNCTION("""COMPUTED_VALUE"""),"Will NOT work for them")</f>
        <v>Will NOT work for them</v>
      </c>
      <c r="J1320" s="1">
        <f ca="1">IFERROR(__xludf.DUMMYFUNCTION("""COMPUTED_VALUE"""),1)</f>
        <v>1</v>
      </c>
      <c r="K1320" s="1" t="str">
        <f ca="1">IFERROR(__xludf.DUMMYFUNCTION("""COMPUTED_VALUE"""),"Hybrid Working Environment with more than 15 days a month at office")</f>
        <v>Hybrid Working Environment with more than 15 days a month at office</v>
      </c>
      <c r="L1320" s="1" t="str">
        <f ca="1">IFERROR(__xludf.DUMMYFUNCTION("""COMPUTED_VALUE"""),"Employer who pushes your limits by enabling an learning environment, and rewards you at the end")</f>
        <v>Employer who pushes your limits by enabling an learning environment, and rewards you at the end</v>
      </c>
      <c r="M132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0"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20" s="1" t="str">
        <f ca="1">IFERROR(__xludf.DUMMYFUNCTION("""COMPUTED_VALUE"""),"Manager who clearly describes what she/he needs")</f>
        <v>Manager who clearly describes what she/he needs</v>
      </c>
      <c r="P1320" s="1" t="str">
        <f ca="1">IFERROR(__xludf.DUMMYFUNCTION("""COMPUTED_VALUE"""),"Work with 5 to 6 people in my team")</f>
        <v>Work with 5 to 6 people in my team</v>
      </c>
      <c r="Q1320" s="1"/>
    </row>
    <row r="1321" spans="1:17" ht="13.2" x14ac:dyDescent="0.25">
      <c r="A1321" s="2">
        <f ca="1">IFERROR(__xludf.DUMMYFUNCTION("""COMPUTED_VALUE"""),45044.6849245717)</f>
        <v>45044.684924571702</v>
      </c>
      <c r="B1321" s="1" t="str">
        <f ca="1">IFERROR(__xludf.DUMMYFUNCTION("""COMPUTED_VALUE"""),"India")</f>
        <v>India</v>
      </c>
      <c r="C1321" s="1">
        <f ca="1">IFERROR(__xludf.DUMMYFUNCTION("""COMPUTED_VALUE"""),505208)</f>
        <v>505208</v>
      </c>
      <c r="D1321" s="3" t="str">
        <f ca="1">IFERROR(__xludf.DUMMYFUNCTION("""COMPUTED_VALUE"""),"Female")</f>
        <v>Female</v>
      </c>
      <c r="E1321" s="1" t="str">
        <f ca="1">IFERROR(__xludf.DUMMYFUNCTION("""COMPUTED_VALUE"""),"People from my circle, but not family members")</f>
        <v>People from my circle, but not family members</v>
      </c>
      <c r="F1321" s="1" t="str">
        <f ca="1">IFERROR(__xludf.DUMMYFUNCTION("""COMPUTED_VALUE"""),"Yes, I will earn and do that")</f>
        <v>Yes, I will earn and do that</v>
      </c>
      <c r="G1321" s="1" t="str">
        <f ca="1">IFERROR(__xludf.DUMMYFUNCTION("""COMPUTED_VALUE"""),"This will be hard to do, but if it is the right company I would try")</f>
        <v>This will be hard to do, but if it is the right company I would try</v>
      </c>
      <c r="H1321" s="1" t="str">
        <f ca="1">IFERROR(__xludf.DUMMYFUNCTION("""COMPUTED_VALUE"""),"No")</f>
        <v>No</v>
      </c>
      <c r="I1321" s="1" t="str">
        <f ca="1">IFERROR(__xludf.DUMMYFUNCTION("""COMPUTED_VALUE"""),"Will NOT work for them")</f>
        <v>Will NOT work for them</v>
      </c>
      <c r="J1321" s="1">
        <f ca="1">IFERROR(__xludf.DUMMYFUNCTION("""COMPUTED_VALUE"""),4)</f>
        <v>4</v>
      </c>
      <c r="K1321" s="1" t="str">
        <f ca="1">IFERROR(__xludf.DUMMYFUNCTION("""COMPUTED_VALUE"""),"Fully Remote with Options to travel as and when needed")</f>
        <v>Fully Remote with Options to travel as and when needed</v>
      </c>
      <c r="L1321" s="1" t="str">
        <f ca="1">IFERROR(__xludf.DUMMYFUNCTION("""COMPUTED_VALUE"""),"Employer who pushes your limits by enabling an learning environment, and rewards you at the end")</f>
        <v>Employer who pushes your limits by enabling an learning environment, and rewards you at the end</v>
      </c>
      <c r="M132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21"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321" s="1" t="str">
        <f ca="1">IFERROR(__xludf.DUMMYFUNCTION("""COMPUTED_VALUE"""),"Manager who clearly describes what she/he needs")</f>
        <v>Manager who clearly describes what she/he needs</v>
      </c>
      <c r="P1321" s="1" t="str">
        <f ca="1">IFERROR(__xludf.DUMMYFUNCTION("""COMPUTED_VALUE"""),"Work with 5 to 6 people in my team")</f>
        <v>Work with 5 to 6 people in my team</v>
      </c>
      <c r="Q1321" s="1"/>
    </row>
    <row r="1322" spans="1:17" ht="13.2" x14ac:dyDescent="0.25">
      <c r="A1322" s="2">
        <f ca="1">IFERROR(__xludf.DUMMYFUNCTION("""COMPUTED_VALUE"""),45044.6873048379)</f>
        <v>45044.687304837898</v>
      </c>
      <c r="B1322" s="1" t="str">
        <f ca="1">IFERROR(__xludf.DUMMYFUNCTION("""COMPUTED_VALUE"""),"India")</f>
        <v>India</v>
      </c>
      <c r="C1322" s="1">
        <f ca="1">IFERROR(__xludf.DUMMYFUNCTION("""COMPUTED_VALUE"""),637107)</f>
        <v>637107</v>
      </c>
      <c r="D1322" s="3" t="str">
        <f ca="1">IFERROR(__xludf.DUMMYFUNCTION("""COMPUTED_VALUE"""),"Female")</f>
        <v>Female</v>
      </c>
      <c r="E1322" s="1" t="str">
        <f ca="1">IFERROR(__xludf.DUMMYFUNCTION("""COMPUTED_VALUE"""),"People who have changed the world for better")</f>
        <v>People who have changed the world for better</v>
      </c>
      <c r="F1322" s="1" t="str">
        <f ca="1">IFERROR(__xludf.DUMMYFUNCTION("""COMPUTED_VALUE"""),"Yes, I will earn and do that")</f>
        <v>Yes, I will earn and do that</v>
      </c>
      <c r="G1322" s="1" t="str">
        <f ca="1">IFERROR(__xludf.DUMMYFUNCTION("""COMPUTED_VALUE"""),"This will be hard to do, but if it is the right company I would try")</f>
        <v>This will be hard to do, but if it is the right company I would try</v>
      </c>
      <c r="H1322" s="1" t="str">
        <f ca="1">IFERROR(__xludf.DUMMYFUNCTION("""COMPUTED_VALUE"""),"No")</f>
        <v>No</v>
      </c>
      <c r="I1322" s="1" t="str">
        <f ca="1">IFERROR(__xludf.DUMMYFUNCTION("""COMPUTED_VALUE"""),"Will NOT work for them")</f>
        <v>Will NOT work for them</v>
      </c>
      <c r="J1322" s="1">
        <f ca="1">IFERROR(__xludf.DUMMYFUNCTION("""COMPUTED_VALUE"""),5)</f>
        <v>5</v>
      </c>
      <c r="K1322" s="1" t="str">
        <f ca="1">IFERROR(__xludf.DUMMYFUNCTION("""COMPUTED_VALUE"""),"Every Day Office Environment")</f>
        <v>Every Day Office Environment</v>
      </c>
      <c r="L1322" s="1" t="str">
        <f ca="1">IFERROR(__xludf.DUMMYFUNCTION("""COMPUTED_VALUE"""),"Employer who rewards learning and enables that environment")</f>
        <v>Employer who rewards learning and enables that environment</v>
      </c>
      <c r="M13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22" s="1" t="str">
        <f ca="1">IFERROR(__xludf.DUMMYFUNCTION("""COMPUTED_VALUE"""),"Manager who sets goal and helps me achieve it")</f>
        <v>Manager who sets goal and helps me achieve it</v>
      </c>
      <c r="P1322" s="1" t="str">
        <f ca="1">IFERROR(__xludf.DUMMYFUNCTION("""COMPUTED_VALUE"""),"Work with 2 to 3 people in my team")</f>
        <v>Work with 2 to 3 people in my team</v>
      </c>
      <c r="Q1322" s="1"/>
    </row>
    <row r="1323" spans="1:17" ht="13.2" x14ac:dyDescent="0.25">
      <c r="A1323" s="2">
        <f ca="1">IFERROR(__xludf.DUMMYFUNCTION("""COMPUTED_VALUE"""),45044.6894450463)</f>
        <v>45044.689445046301</v>
      </c>
      <c r="B1323" s="1" t="str">
        <f ca="1">IFERROR(__xludf.DUMMYFUNCTION("""COMPUTED_VALUE"""),"India")</f>
        <v>India</v>
      </c>
      <c r="C1323" s="1">
        <f ca="1">IFERROR(__xludf.DUMMYFUNCTION("""COMPUTED_VALUE"""),678706)</f>
        <v>678706</v>
      </c>
      <c r="D1323" s="3" t="str">
        <f ca="1">IFERROR(__xludf.DUMMYFUNCTION("""COMPUTED_VALUE"""),"Male")</f>
        <v>Male</v>
      </c>
      <c r="E1323" s="1" t="str">
        <f ca="1">IFERROR(__xludf.DUMMYFUNCTION("""COMPUTED_VALUE"""),"People from my circle, but not family members")</f>
        <v>People from my circle, but not family members</v>
      </c>
      <c r="F1323" s="1" t="str">
        <f ca="1">IFERROR(__xludf.DUMMYFUNCTION("""COMPUTED_VALUE"""),"No, But if someone could bare the cost I will")</f>
        <v>No, But if someone could bare the cost I will</v>
      </c>
      <c r="G1323" s="1" t="str">
        <f ca="1">IFERROR(__xludf.DUMMYFUNCTION("""COMPUTED_VALUE"""),"This will be hard to do, but if it is the right company I would try")</f>
        <v>This will be hard to do, but if it is the right company I would try</v>
      </c>
      <c r="H1323" s="1" t="str">
        <f ca="1">IFERROR(__xludf.DUMMYFUNCTION("""COMPUTED_VALUE"""),"No")</f>
        <v>No</v>
      </c>
      <c r="I1323" s="1" t="str">
        <f ca="1">IFERROR(__xludf.DUMMYFUNCTION("""COMPUTED_VALUE"""),"Will NOT work for them")</f>
        <v>Will NOT work for them</v>
      </c>
      <c r="J1323" s="1">
        <f ca="1">IFERROR(__xludf.DUMMYFUNCTION("""COMPUTED_VALUE"""),10)</f>
        <v>10</v>
      </c>
      <c r="K1323" s="1" t="str">
        <f ca="1">IFERROR(__xludf.DUMMYFUNCTION("""COMPUTED_VALUE"""),"Hybrid Working Environment with more than 15 days a month at office")</f>
        <v>Hybrid Working Environment with more than 15 days a month at office</v>
      </c>
      <c r="L1323" s="1" t="str">
        <f ca="1">IFERROR(__xludf.DUMMYFUNCTION("""COMPUTED_VALUE"""),"Employer who pushes your limits by enabling an learning environment, and rewards you at the end")</f>
        <v>Employer who pushes your limits by enabling an learning environment, and rewards you at the end</v>
      </c>
      <c r="M132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3" s="1" t="str">
        <f ca="1">IFERROR(__xludf.DUMMYFUNCTION("""COMPUTED_VALUE"""),"Teaching in any of the institutes/colleges/online or offline, Look deeply into Data and generate insights, Work in a BPO setup for some well known client, An Artificial Intelligence Specialist / Talking to Robots")</f>
        <v>Teaching in any of the institutes/colleges/online or offline, Look deeply into Data and generate insights, Work in a BPO setup for some well known client, An Artificial Intelligence Specialist / Talking to Robots</v>
      </c>
      <c r="O1323" s="1" t="str">
        <f ca="1">IFERROR(__xludf.DUMMYFUNCTION("""COMPUTED_VALUE"""),"Manager who sets goal and helps me achieve it")</f>
        <v>Manager who sets goal and helps me achieve it</v>
      </c>
      <c r="P1323" s="1" t="str">
        <f ca="1">IFERROR(__xludf.DUMMYFUNCTION("""COMPUTED_VALUE"""),"Work with 2 to 3 people in my team, Work with 5 to 6 people in my team")</f>
        <v>Work with 2 to 3 people in my team, Work with 5 to 6 people in my team</v>
      </c>
      <c r="Q1323" s="1"/>
    </row>
    <row r="1324" spans="1:17" ht="13.2" x14ac:dyDescent="0.25">
      <c r="A1324" s="2">
        <f ca="1">IFERROR(__xludf.DUMMYFUNCTION("""COMPUTED_VALUE"""),45044.6924717592)</f>
        <v>45044.692471759197</v>
      </c>
      <c r="B1324" s="1" t="str">
        <f ca="1">IFERROR(__xludf.DUMMYFUNCTION("""COMPUTED_VALUE"""),"India")</f>
        <v>India</v>
      </c>
      <c r="C1324" s="1">
        <f ca="1">IFERROR(__xludf.DUMMYFUNCTION("""COMPUTED_VALUE"""),506366)</f>
        <v>506366</v>
      </c>
      <c r="D1324" s="3" t="str">
        <f ca="1">IFERROR(__xludf.DUMMYFUNCTION("""COMPUTED_VALUE"""),"Male")</f>
        <v>Male</v>
      </c>
      <c r="E1324" s="1" t="str">
        <f ca="1">IFERROR(__xludf.DUMMYFUNCTION("""COMPUTED_VALUE"""),"My Parents")</f>
        <v>My Parents</v>
      </c>
      <c r="F1324" s="1" t="str">
        <f ca="1">IFERROR(__xludf.DUMMYFUNCTION("""COMPUTED_VALUE"""),"No I would not be pursuing Higher Education outside of India")</f>
        <v>No I would not be pursuing Higher Education outside of India</v>
      </c>
      <c r="G1324" s="1" t="str">
        <f ca="1">IFERROR(__xludf.DUMMYFUNCTION("""COMPUTED_VALUE"""),"Will work for 3 years or more")</f>
        <v>Will work for 3 years or more</v>
      </c>
      <c r="H1324" s="1" t="str">
        <f ca="1">IFERROR(__xludf.DUMMYFUNCTION("""COMPUTED_VALUE"""),"No")</f>
        <v>No</v>
      </c>
      <c r="I1324" s="1" t="str">
        <f ca="1">IFERROR(__xludf.DUMMYFUNCTION("""COMPUTED_VALUE"""),"Will work for them")</f>
        <v>Will work for them</v>
      </c>
      <c r="J1324" s="1">
        <f ca="1">IFERROR(__xludf.DUMMYFUNCTION("""COMPUTED_VALUE"""),5)</f>
        <v>5</v>
      </c>
      <c r="K1324" s="1" t="str">
        <f ca="1">IFERROR(__xludf.DUMMYFUNCTION("""COMPUTED_VALUE"""),"Fully Remote with Options to travel as and when needed")</f>
        <v>Fully Remote with Options to travel as and when needed</v>
      </c>
      <c r="L1324" s="1" t="str">
        <f ca="1">IFERROR(__xludf.DUMMYFUNCTION("""COMPUTED_VALUE"""),"Employer who appreciates learning and enables that environment")</f>
        <v>Employer who appreciates learning and enables that environment</v>
      </c>
      <c r="M13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4"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324" s="1" t="str">
        <f ca="1">IFERROR(__xludf.DUMMYFUNCTION("""COMPUTED_VALUE"""),"Manager who explains what is expected, sets a goal and helps achieve it")</f>
        <v>Manager who explains what is expected, sets a goal and helps achieve it</v>
      </c>
      <c r="P1324" s="1" t="str">
        <f ca="1">IFERROR(__xludf.DUMMYFUNCTION("""COMPUTED_VALUE"""),"Work with 7 to 10 or more people in my team")</f>
        <v>Work with 7 to 10 or more people in my team</v>
      </c>
      <c r="Q1324" s="1"/>
    </row>
    <row r="1325" spans="1:17" ht="13.2" x14ac:dyDescent="0.25">
      <c r="A1325" s="2">
        <f ca="1">IFERROR(__xludf.DUMMYFUNCTION("""COMPUTED_VALUE"""),45044.6924887847)</f>
        <v>45044.692488784698</v>
      </c>
      <c r="B1325" s="1" t="str">
        <f ca="1">IFERROR(__xludf.DUMMYFUNCTION("""COMPUTED_VALUE"""),"India")</f>
        <v>India</v>
      </c>
      <c r="C1325" s="1">
        <f ca="1">IFERROR(__xludf.DUMMYFUNCTION("""COMPUTED_VALUE"""),600056)</f>
        <v>600056</v>
      </c>
      <c r="D1325" s="3" t="str">
        <f ca="1">IFERROR(__xludf.DUMMYFUNCTION("""COMPUTED_VALUE"""),"Male")</f>
        <v>Male</v>
      </c>
      <c r="E1325" s="1" t="str">
        <f ca="1">IFERROR(__xludf.DUMMYFUNCTION("""COMPUTED_VALUE"""),"Influencers who had successful careers")</f>
        <v>Influencers who had successful careers</v>
      </c>
      <c r="F1325" s="1" t="str">
        <f ca="1">IFERROR(__xludf.DUMMYFUNCTION("""COMPUTED_VALUE"""),"No I would not be pursuing Higher Education outside of India")</f>
        <v>No I would not be pursuing Higher Education outside of India</v>
      </c>
      <c r="G1325" s="1" t="str">
        <f ca="1">IFERROR(__xludf.DUMMYFUNCTION("""COMPUTED_VALUE"""),"Will work for 3 years or more")</f>
        <v>Will work for 3 years or more</v>
      </c>
      <c r="H1325" s="1" t="str">
        <f ca="1">IFERROR(__xludf.DUMMYFUNCTION("""COMPUTED_VALUE"""),"No")</f>
        <v>No</v>
      </c>
      <c r="I1325" s="1" t="str">
        <f ca="1">IFERROR(__xludf.DUMMYFUNCTION("""COMPUTED_VALUE"""),"Will NOT work for them")</f>
        <v>Will NOT work for them</v>
      </c>
      <c r="J1325" s="1">
        <f ca="1">IFERROR(__xludf.DUMMYFUNCTION("""COMPUTED_VALUE"""),3)</f>
        <v>3</v>
      </c>
      <c r="K1325" s="1" t="str">
        <f ca="1">IFERROR(__xludf.DUMMYFUNCTION("""COMPUTED_VALUE"""),"Hybrid Working Environment with less than 3 days a month at office")</f>
        <v>Hybrid Working Environment with less than 3 days a month at office</v>
      </c>
      <c r="L1325" s="1" t="str">
        <f ca="1">IFERROR(__xludf.DUMMYFUNCTION("""COMPUTED_VALUE"""),"Employer who pushes your limits and doesn't enables learning environment and never rewards you")</f>
        <v>Employer who pushes your limits and doesn't enables learning environment and never rewards you</v>
      </c>
      <c r="M13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25" s="1" t="str">
        <f ca="1">IFERROR(__xludf.DUMMYFUNCTION("""COMPUTED_VALUE"""),"Manager who explains what is expected, sets a goal and helps achieve it")</f>
        <v>Manager who explains what is expected, sets a goal and helps achieve it</v>
      </c>
      <c r="P132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325" s="1"/>
    </row>
    <row r="1326" spans="1:17" ht="13.2" x14ac:dyDescent="0.25">
      <c r="A1326" s="2">
        <f ca="1">IFERROR(__xludf.DUMMYFUNCTION("""COMPUTED_VALUE"""),45044.6937636574)</f>
        <v>45044.6937636574</v>
      </c>
      <c r="B1326" s="1" t="str">
        <f ca="1">IFERROR(__xludf.DUMMYFUNCTION("""COMPUTED_VALUE"""),"India")</f>
        <v>India</v>
      </c>
      <c r="C1326" s="1">
        <f ca="1">IFERROR(__xludf.DUMMYFUNCTION("""COMPUTED_VALUE"""),627117)</f>
        <v>627117</v>
      </c>
      <c r="D1326" s="3" t="str">
        <f ca="1">IFERROR(__xludf.DUMMYFUNCTION("""COMPUTED_VALUE"""),"Female")</f>
        <v>Female</v>
      </c>
      <c r="E1326" s="1" t="str">
        <f ca="1">IFERROR(__xludf.DUMMYFUNCTION("""COMPUTED_VALUE"""),"My Parents")</f>
        <v>My Parents</v>
      </c>
      <c r="F1326" s="1" t="str">
        <f ca="1">IFERROR(__xludf.DUMMYFUNCTION("""COMPUTED_VALUE"""),"No, But if someone could bare the cost I will")</f>
        <v>No, But if someone could bare the cost I will</v>
      </c>
      <c r="G1326" s="1" t="str">
        <f ca="1">IFERROR(__xludf.DUMMYFUNCTION("""COMPUTED_VALUE"""),"Will work for 3 years or more")</f>
        <v>Will work for 3 years or more</v>
      </c>
      <c r="H1326" s="1" t="str">
        <f ca="1">IFERROR(__xludf.DUMMYFUNCTION("""COMPUTED_VALUE"""),"No")</f>
        <v>No</v>
      </c>
      <c r="I1326" s="1" t="str">
        <f ca="1">IFERROR(__xludf.DUMMYFUNCTION("""COMPUTED_VALUE"""),"Will NOT work for them")</f>
        <v>Will NOT work for them</v>
      </c>
      <c r="J1326" s="1">
        <f ca="1">IFERROR(__xludf.DUMMYFUNCTION("""COMPUTED_VALUE"""),5)</f>
        <v>5</v>
      </c>
      <c r="K1326" s="1" t="str">
        <f ca="1">IFERROR(__xludf.DUMMYFUNCTION("""COMPUTED_VALUE"""),"Fully Remote with No option to visit offices")</f>
        <v>Fully Remote with No option to visit offices</v>
      </c>
      <c r="L1326" s="1" t="str">
        <f ca="1">IFERROR(__xludf.DUMMYFUNCTION("""COMPUTED_VALUE"""),"Employer who appreciates learning and enables that environment")</f>
        <v>Employer who appreciates learning and enables that environment</v>
      </c>
      <c r="M132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26"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326" s="1" t="str">
        <f ca="1">IFERROR(__xludf.DUMMYFUNCTION("""COMPUTED_VALUE"""),"Manager who explains what is expected, sets a goal and helps achieve it")</f>
        <v>Manager who explains what is expected, sets a goal and helps achieve it</v>
      </c>
      <c r="P1326" s="1" t="str">
        <f ca="1">IFERROR(__xludf.DUMMYFUNCTION("""COMPUTED_VALUE"""),"Work with 5 to 6 people in my team")</f>
        <v>Work with 5 to 6 people in my team</v>
      </c>
      <c r="Q1326" s="1"/>
    </row>
    <row r="1327" spans="1:17" ht="13.2" x14ac:dyDescent="0.25">
      <c r="A1327" s="2">
        <f ca="1">IFERROR(__xludf.DUMMYFUNCTION("""COMPUTED_VALUE"""),45044.6943559027)</f>
        <v>45044.694355902699</v>
      </c>
      <c r="B1327" s="1" t="str">
        <f ca="1">IFERROR(__xludf.DUMMYFUNCTION("""COMPUTED_VALUE"""),"India")</f>
        <v>India</v>
      </c>
      <c r="C1327" s="1">
        <f ca="1">IFERROR(__xludf.DUMMYFUNCTION("""COMPUTED_VALUE"""),226017)</f>
        <v>226017</v>
      </c>
      <c r="D1327" s="3" t="str">
        <f ca="1">IFERROR(__xludf.DUMMYFUNCTION("""COMPUTED_VALUE"""),"Female")</f>
        <v>Female</v>
      </c>
      <c r="E1327" s="1" t="str">
        <f ca="1">IFERROR(__xludf.DUMMYFUNCTION("""COMPUTED_VALUE"""),"Influencers who had successful careers")</f>
        <v>Influencers who had successful careers</v>
      </c>
      <c r="F1327" s="1" t="str">
        <f ca="1">IFERROR(__xludf.DUMMYFUNCTION("""COMPUTED_VALUE"""),"Yes, I will earn and do that")</f>
        <v>Yes, I will earn and do that</v>
      </c>
      <c r="G1327" s="1" t="str">
        <f ca="1">IFERROR(__xludf.DUMMYFUNCTION("""COMPUTED_VALUE"""),"This will be hard to do, but if it is the right company I would try")</f>
        <v>This will be hard to do, but if it is the right company I would try</v>
      </c>
      <c r="H1327" s="1" t="str">
        <f ca="1">IFERROR(__xludf.DUMMYFUNCTION("""COMPUTED_VALUE"""),"No")</f>
        <v>No</v>
      </c>
      <c r="I1327" s="1" t="str">
        <f ca="1">IFERROR(__xludf.DUMMYFUNCTION("""COMPUTED_VALUE"""),"Will NOT work for them")</f>
        <v>Will NOT work for them</v>
      </c>
      <c r="J1327" s="1">
        <f ca="1">IFERROR(__xludf.DUMMYFUNCTION("""COMPUTED_VALUE"""),1)</f>
        <v>1</v>
      </c>
      <c r="K1327" s="1" t="str">
        <f ca="1">IFERROR(__xludf.DUMMYFUNCTION("""COMPUTED_VALUE"""),"Fully Remote with Options to travel as and when needed")</f>
        <v>Fully Remote with Options to travel as and when needed</v>
      </c>
      <c r="L1327" s="1" t="str">
        <f ca="1">IFERROR(__xludf.DUMMYFUNCTION("""COMPUTED_VALUE"""),"Employer who appreciates learning and enables that environment")</f>
        <v>Employer who appreciates learning and enables that environment</v>
      </c>
      <c r="M132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7"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327" s="1" t="str">
        <f ca="1">IFERROR(__xludf.DUMMYFUNCTION("""COMPUTED_VALUE"""),"Manager who explains what is expected, sets a goal and helps achieve it")</f>
        <v>Manager who explains what is expected, sets a goal and helps achieve it</v>
      </c>
      <c r="P1327" s="1" t="str">
        <f ca="1">IFERROR(__xludf.DUMMYFUNCTION("""COMPUTED_VALUE"""),"Work with 5 to 6 people in my team")</f>
        <v>Work with 5 to 6 people in my team</v>
      </c>
      <c r="Q1327" s="1"/>
    </row>
    <row r="1328" spans="1:17" ht="13.2" x14ac:dyDescent="0.25">
      <c r="A1328" s="2">
        <f ca="1">IFERROR(__xludf.DUMMYFUNCTION("""COMPUTED_VALUE"""),45044.6953382754)</f>
        <v>45044.6953382754</v>
      </c>
      <c r="B1328" s="1" t="str">
        <f ca="1">IFERROR(__xludf.DUMMYFUNCTION("""COMPUTED_VALUE"""),"India")</f>
        <v>India</v>
      </c>
      <c r="C1328" s="1">
        <f ca="1">IFERROR(__xludf.DUMMYFUNCTION("""COMPUTED_VALUE"""),201013)</f>
        <v>201013</v>
      </c>
      <c r="D1328" s="3" t="str">
        <f ca="1">IFERROR(__xludf.DUMMYFUNCTION("""COMPUTED_VALUE"""),"Female")</f>
        <v>Female</v>
      </c>
      <c r="E1328" s="1" t="str">
        <f ca="1">IFERROR(__xludf.DUMMYFUNCTION("""COMPUTED_VALUE"""),"My Parents")</f>
        <v>My Parents</v>
      </c>
      <c r="F1328" s="1" t="str">
        <f ca="1">IFERROR(__xludf.DUMMYFUNCTION("""COMPUTED_VALUE"""),"No, But if someone could bare the cost I will")</f>
        <v>No, But if someone could bare the cost I will</v>
      </c>
      <c r="G1328" s="1" t="str">
        <f ca="1">IFERROR(__xludf.DUMMYFUNCTION("""COMPUTED_VALUE"""),"Will work for 3 years or more")</f>
        <v>Will work for 3 years or more</v>
      </c>
      <c r="H1328" s="1" t="str">
        <f ca="1">IFERROR(__xludf.DUMMYFUNCTION("""COMPUTED_VALUE"""),"Yes")</f>
        <v>Yes</v>
      </c>
      <c r="I1328" s="1" t="str">
        <f ca="1">IFERROR(__xludf.DUMMYFUNCTION("""COMPUTED_VALUE"""),"Will work for them")</f>
        <v>Will work for them</v>
      </c>
      <c r="J1328" s="1">
        <f ca="1">IFERROR(__xludf.DUMMYFUNCTION("""COMPUTED_VALUE"""),8)</f>
        <v>8</v>
      </c>
      <c r="K1328" s="1" t="str">
        <f ca="1">IFERROR(__xludf.DUMMYFUNCTION("""COMPUTED_VALUE"""),"Hybrid Working Environment with less than 3 days a month at office")</f>
        <v>Hybrid Working Environment with less than 3 days a month at office</v>
      </c>
      <c r="L1328" s="1" t="str">
        <f ca="1">IFERROR(__xludf.DUMMYFUNCTION("""COMPUTED_VALUE"""),"Employer who pushes your limits by enabling an learning environment, and rewards you at the end")</f>
        <v>Employer who pushes your limits by enabling an learning environment, and rewards you at the end</v>
      </c>
      <c r="M1328" s="1" t="str">
        <f ca="1">IFERROR(__xludf.DUMMYFUNCTION("""COMPUTED_VALUE"""),"Self Paced Learning Portals of the Company, Instructor or Expert Learning Programs, Manager Teaching you")</f>
        <v>Self Paced Learning Portals of the Company, Instructor or Expert Learning Programs, Manager Teaching you</v>
      </c>
      <c r="N1328"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328" s="1" t="str">
        <f ca="1">IFERROR(__xludf.DUMMYFUNCTION("""COMPUTED_VALUE"""),"Manager who explains what is expected, sets a goal and helps achieve it")</f>
        <v>Manager who explains what is expected, sets a goal and helps achieve it</v>
      </c>
      <c r="P1328" s="1" t="str">
        <f ca="1">IFERROR(__xludf.DUMMYFUNCTION("""COMPUTED_VALUE"""),"Work with 5 to 6 people in my team")</f>
        <v>Work with 5 to 6 people in my team</v>
      </c>
      <c r="Q1328" s="1"/>
    </row>
    <row r="1329" spans="1:17" ht="13.2" x14ac:dyDescent="0.25">
      <c r="A1329" s="2">
        <f ca="1">IFERROR(__xludf.DUMMYFUNCTION("""COMPUTED_VALUE"""),45044.6964483564)</f>
        <v>45044.696448356401</v>
      </c>
      <c r="B1329" s="1" t="str">
        <f ca="1">IFERROR(__xludf.DUMMYFUNCTION("""COMPUTED_VALUE"""),"India")</f>
        <v>India</v>
      </c>
      <c r="C1329" s="1">
        <f ca="1">IFERROR(__xludf.DUMMYFUNCTION("""COMPUTED_VALUE"""),505001)</f>
        <v>505001</v>
      </c>
      <c r="D1329" s="3" t="str">
        <f ca="1">IFERROR(__xludf.DUMMYFUNCTION("""COMPUTED_VALUE"""),"Male")</f>
        <v>Male</v>
      </c>
      <c r="E1329" s="1" t="str">
        <f ca="1">IFERROR(__xludf.DUMMYFUNCTION("""COMPUTED_VALUE"""),"Influencers who had successful careers")</f>
        <v>Influencers who had successful careers</v>
      </c>
      <c r="F1329" s="1" t="str">
        <f ca="1">IFERROR(__xludf.DUMMYFUNCTION("""COMPUTED_VALUE"""),"Yes, I will earn and do that")</f>
        <v>Yes, I will earn and do that</v>
      </c>
      <c r="G1329" s="1" t="str">
        <f ca="1">IFERROR(__xludf.DUMMYFUNCTION("""COMPUTED_VALUE"""),"This will be hard to do, but if it is the right company I would try")</f>
        <v>This will be hard to do, but if it is the right company I would try</v>
      </c>
      <c r="H1329" s="1" t="str">
        <f ca="1">IFERROR(__xludf.DUMMYFUNCTION("""COMPUTED_VALUE"""),"Yes")</f>
        <v>Yes</v>
      </c>
      <c r="I1329" s="1" t="str">
        <f ca="1">IFERROR(__xludf.DUMMYFUNCTION("""COMPUTED_VALUE"""),"Will work for them")</f>
        <v>Will work for them</v>
      </c>
      <c r="J1329" s="1">
        <f ca="1">IFERROR(__xludf.DUMMYFUNCTION("""COMPUTED_VALUE"""),9)</f>
        <v>9</v>
      </c>
      <c r="K1329" s="1" t="str">
        <f ca="1">IFERROR(__xludf.DUMMYFUNCTION("""COMPUTED_VALUE"""),"Hybrid Working Environment with more than 15 days a month at office")</f>
        <v>Hybrid Working Environment with more than 15 days a month at office</v>
      </c>
      <c r="L1329" s="1" t="str">
        <f ca="1">IFERROR(__xludf.DUMMYFUNCTION("""COMPUTED_VALUE"""),"Employer who pushes your limits by enabling an learning environment, and rewards you at the end")</f>
        <v>Employer who pushes your limits by enabling an learning environment, and rewards you at the end</v>
      </c>
      <c r="M132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29"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29" s="1" t="str">
        <f ca="1">IFERROR(__xludf.DUMMYFUNCTION("""COMPUTED_VALUE"""),"Manager who explains what is expected, sets a goal and helps achieve it")</f>
        <v>Manager who explains what is expected, sets a goal and helps achieve it</v>
      </c>
      <c r="P1329" s="1" t="str">
        <f ca="1">IFERROR(__xludf.DUMMYFUNCTION("""COMPUTED_VALUE"""),"Work with 7 to 10 or more people in my team")</f>
        <v>Work with 7 to 10 or more people in my team</v>
      </c>
      <c r="Q1329" s="1"/>
    </row>
    <row r="1330" spans="1:17" ht="13.2" x14ac:dyDescent="0.25">
      <c r="A1330" s="2">
        <f ca="1">IFERROR(__xludf.DUMMYFUNCTION("""COMPUTED_VALUE"""),45044.696481875)</f>
        <v>45044.696481874998</v>
      </c>
      <c r="B1330" s="1" t="str">
        <f ca="1">IFERROR(__xludf.DUMMYFUNCTION("""COMPUTED_VALUE"""),"India")</f>
        <v>India</v>
      </c>
      <c r="C1330" s="1">
        <f ca="1">IFERROR(__xludf.DUMMYFUNCTION("""COMPUTED_VALUE"""),638401)</f>
        <v>638401</v>
      </c>
      <c r="D1330" s="3" t="str">
        <f ca="1">IFERROR(__xludf.DUMMYFUNCTION("""COMPUTED_VALUE"""),"Female")</f>
        <v>Female</v>
      </c>
      <c r="E1330" s="1" t="str">
        <f ca="1">IFERROR(__xludf.DUMMYFUNCTION("""COMPUTED_VALUE"""),"People from my circle, but not family members")</f>
        <v>People from my circle, but not family members</v>
      </c>
      <c r="F1330" s="1" t="str">
        <f ca="1">IFERROR(__xludf.DUMMYFUNCTION("""COMPUTED_VALUE"""),"Yes, I will earn and do that")</f>
        <v>Yes, I will earn and do that</v>
      </c>
      <c r="G1330" s="1" t="str">
        <f ca="1">IFERROR(__xludf.DUMMYFUNCTION("""COMPUTED_VALUE"""),"Will work for 3 years or more")</f>
        <v>Will work for 3 years or more</v>
      </c>
      <c r="H1330" s="1" t="str">
        <f ca="1">IFERROR(__xludf.DUMMYFUNCTION("""COMPUTED_VALUE"""),"No")</f>
        <v>No</v>
      </c>
      <c r="I1330" s="1" t="str">
        <f ca="1">IFERROR(__xludf.DUMMYFUNCTION("""COMPUTED_VALUE"""),"Will NOT work for them")</f>
        <v>Will NOT work for them</v>
      </c>
      <c r="J1330" s="1">
        <f ca="1">IFERROR(__xludf.DUMMYFUNCTION("""COMPUTED_VALUE"""),4)</f>
        <v>4</v>
      </c>
      <c r="K1330" s="1" t="str">
        <f ca="1">IFERROR(__xludf.DUMMYFUNCTION("""COMPUTED_VALUE"""),"Hybrid Working Environment with less than 3 days a month at office")</f>
        <v>Hybrid Working Environment with less than 3 days a month at office</v>
      </c>
      <c r="L1330" s="1" t="str">
        <f ca="1">IFERROR(__xludf.DUMMYFUNCTION("""COMPUTED_VALUE"""),"Employer who rewards learning and enables that environment")</f>
        <v>Employer who rewards learning and enables that environment</v>
      </c>
      <c r="M133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30" s="1" t="str">
        <f ca="1">IFERROR(__xludf.DUMMYFUNCTION("""COMPUTED_VALUE"""),"Business Operations in any organization, Manage and drive End-to-End Projects or Products, Work as a freelancer and do my thing my way, An Artificial Intelligence Specialist / Talking to Robots")</f>
        <v>Business Operations in any organization, Manage and drive End-to-End Projects or Products, Work as a freelancer and do my thing my way, An Artificial Intelligence Specialist / Talking to Robots</v>
      </c>
      <c r="O1330" s="1" t="str">
        <f ca="1">IFERROR(__xludf.DUMMYFUNCTION("""COMPUTED_VALUE"""),"Manager who sets targets and expects me to achieve it")</f>
        <v>Manager who sets targets and expects me to achieve it</v>
      </c>
      <c r="P1330" s="1" t="str">
        <f ca="1">IFERROR(__xludf.DUMMYFUNCTION("""COMPUTED_VALUE"""),"Work with more than 10 people in my team")</f>
        <v>Work with more than 10 people in my team</v>
      </c>
      <c r="Q1330" s="1"/>
    </row>
    <row r="1331" spans="1:17" ht="13.2" x14ac:dyDescent="0.25">
      <c r="A1331" s="2">
        <f ca="1">IFERROR(__xludf.DUMMYFUNCTION("""COMPUTED_VALUE"""),45044.6985170833)</f>
        <v>45044.6985170833</v>
      </c>
      <c r="B1331" s="1" t="str">
        <f ca="1">IFERROR(__xludf.DUMMYFUNCTION("""COMPUTED_VALUE"""),"India")</f>
        <v>India</v>
      </c>
      <c r="C1331" s="1">
        <f ca="1">IFERROR(__xludf.DUMMYFUNCTION("""COMPUTED_VALUE"""),505209)</f>
        <v>505209</v>
      </c>
      <c r="D1331" s="3" t="str">
        <f ca="1">IFERROR(__xludf.DUMMYFUNCTION("""COMPUTED_VALUE"""),"Female")</f>
        <v>Female</v>
      </c>
      <c r="E1331" s="1" t="str">
        <f ca="1">IFERROR(__xludf.DUMMYFUNCTION("""COMPUTED_VALUE"""),"Social Media like LinkedIn")</f>
        <v>Social Media like LinkedIn</v>
      </c>
      <c r="F1331" s="1" t="str">
        <f ca="1">IFERROR(__xludf.DUMMYFUNCTION("""COMPUTED_VALUE"""),"Yes, I will earn and do that")</f>
        <v>Yes, I will earn and do that</v>
      </c>
      <c r="G1331" s="1" t="str">
        <f ca="1">IFERROR(__xludf.DUMMYFUNCTION("""COMPUTED_VALUE"""),"This will be hard to do, but if it is the right company I would try")</f>
        <v>This will be hard to do, but if it is the right company I would try</v>
      </c>
      <c r="H1331" s="1" t="str">
        <f ca="1">IFERROR(__xludf.DUMMYFUNCTION("""COMPUTED_VALUE"""),"No")</f>
        <v>No</v>
      </c>
      <c r="I1331" s="1" t="str">
        <f ca="1">IFERROR(__xludf.DUMMYFUNCTION("""COMPUTED_VALUE"""),"Will NOT work for them")</f>
        <v>Will NOT work for them</v>
      </c>
      <c r="J1331" s="1">
        <f ca="1">IFERROR(__xludf.DUMMYFUNCTION("""COMPUTED_VALUE"""),8)</f>
        <v>8</v>
      </c>
      <c r="K1331" s="1" t="str">
        <f ca="1">IFERROR(__xludf.DUMMYFUNCTION("""COMPUTED_VALUE"""),"Fully Remote with Options to travel as and when needed")</f>
        <v>Fully Remote with Options to travel as and when needed</v>
      </c>
      <c r="L1331" s="1" t="str">
        <f ca="1">IFERROR(__xludf.DUMMYFUNCTION("""COMPUTED_VALUE"""),"Employer who appreciates learning and enables that environment")</f>
        <v>Employer who appreciates learning and enables that environment</v>
      </c>
      <c r="M133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331"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331" s="1" t="str">
        <f ca="1">IFERROR(__xludf.DUMMYFUNCTION("""COMPUTED_VALUE"""),"Manager who explains what is expected, sets a goal and helps achieve it")</f>
        <v>Manager who explains what is expected, sets a goal and helps achieve it</v>
      </c>
      <c r="P1331" s="1" t="str">
        <f ca="1">IFERROR(__xludf.DUMMYFUNCTION("""COMPUTED_VALUE"""),"Work with 5 to 6 people in my team")</f>
        <v>Work with 5 to 6 people in my team</v>
      </c>
      <c r="Q1331" s="1"/>
    </row>
    <row r="1332" spans="1:17" ht="13.2" x14ac:dyDescent="0.25">
      <c r="A1332" s="2">
        <f ca="1">IFERROR(__xludf.DUMMYFUNCTION("""COMPUTED_VALUE"""),45044.7001212268)</f>
        <v>45044.700121226801</v>
      </c>
      <c r="B1332" s="1" t="str">
        <f ca="1">IFERROR(__xludf.DUMMYFUNCTION("""COMPUTED_VALUE"""),"India")</f>
        <v>India</v>
      </c>
      <c r="C1332" s="1">
        <f ca="1">IFERROR(__xludf.DUMMYFUNCTION("""COMPUTED_VALUE"""),508111)</f>
        <v>508111</v>
      </c>
      <c r="D1332" s="3" t="str">
        <f ca="1">IFERROR(__xludf.DUMMYFUNCTION("""COMPUTED_VALUE"""),"Female")</f>
        <v>Female</v>
      </c>
      <c r="E1332" s="1" t="str">
        <f ca="1">IFERROR(__xludf.DUMMYFUNCTION("""COMPUTED_VALUE"""),"My Parents")</f>
        <v>My Parents</v>
      </c>
      <c r="F1332" s="1" t="str">
        <f ca="1">IFERROR(__xludf.DUMMYFUNCTION("""COMPUTED_VALUE"""),"No, But if someone could bare the cost I will")</f>
        <v>No, But if someone could bare the cost I will</v>
      </c>
      <c r="G1332" s="1" t="str">
        <f ca="1">IFERROR(__xludf.DUMMYFUNCTION("""COMPUTED_VALUE"""),"This will be hard to do, but if it is the right company I would try")</f>
        <v>This will be hard to do, but if it is the right company I would try</v>
      </c>
      <c r="H1332" s="1" t="str">
        <f ca="1">IFERROR(__xludf.DUMMYFUNCTION("""COMPUTED_VALUE"""),"No")</f>
        <v>No</v>
      </c>
      <c r="I1332" s="1" t="str">
        <f ca="1">IFERROR(__xludf.DUMMYFUNCTION("""COMPUTED_VALUE"""),"Will NOT work for them")</f>
        <v>Will NOT work for them</v>
      </c>
      <c r="J1332" s="1">
        <f ca="1">IFERROR(__xludf.DUMMYFUNCTION("""COMPUTED_VALUE"""),5)</f>
        <v>5</v>
      </c>
      <c r="K1332" s="1" t="str">
        <f ca="1">IFERROR(__xludf.DUMMYFUNCTION("""COMPUTED_VALUE"""),"Hybrid Working Environment with more than 15 days a month at office")</f>
        <v>Hybrid Working Environment with more than 15 days a month at office</v>
      </c>
      <c r="L1332" s="1" t="str">
        <f ca="1">IFERROR(__xludf.DUMMYFUNCTION("""COMPUTED_VALUE"""),"Employer who pushes your limits and doesn't enables learning environment and never rewards you")</f>
        <v>Employer who pushes your limits and doesn't enables learning environment and never rewards you</v>
      </c>
      <c r="M13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3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332" s="1" t="str">
        <f ca="1">IFERROR(__xludf.DUMMYFUNCTION("""COMPUTED_VALUE"""),"Manager who explains what is expected, sets a goal and helps achieve it")</f>
        <v>Manager who explains what is expected, sets a goal and helps achieve it</v>
      </c>
      <c r="P133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332" s="1"/>
    </row>
    <row r="1333" spans="1:17" ht="13.2" x14ac:dyDescent="0.25">
      <c r="A1333" s="2">
        <f ca="1">IFERROR(__xludf.DUMMYFUNCTION("""COMPUTED_VALUE"""),45044.702583912)</f>
        <v>45044.702583912003</v>
      </c>
      <c r="B1333" s="1" t="str">
        <f ca="1">IFERROR(__xludf.DUMMYFUNCTION("""COMPUTED_VALUE"""),"India")</f>
        <v>India</v>
      </c>
      <c r="C1333" s="1">
        <f ca="1">IFERROR(__xludf.DUMMYFUNCTION("""COMPUTED_VALUE"""),505209)</f>
        <v>505209</v>
      </c>
      <c r="D1333" s="3" t="str">
        <f ca="1">IFERROR(__xludf.DUMMYFUNCTION("""COMPUTED_VALUE"""),"Female")</f>
        <v>Female</v>
      </c>
      <c r="E1333" s="1" t="str">
        <f ca="1">IFERROR(__xludf.DUMMYFUNCTION("""COMPUTED_VALUE"""),"My Parents")</f>
        <v>My Parents</v>
      </c>
      <c r="F1333" s="1" t="str">
        <f ca="1">IFERROR(__xludf.DUMMYFUNCTION("""COMPUTED_VALUE"""),"Yes, I will earn and do that")</f>
        <v>Yes, I will earn and do that</v>
      </c>
      <c r="G1333" s="1" t="str">
        <f ca="1">IFERROR(__xludf.DUMMYFUNCTION("""COMPUTED_VALUE"""),"This will be hard to do, but if it is the right company I would try")</f>
        <v>This will be hard to do, but if it is the right company I would try</v>
      </c>
      <c r="H1333" s="1" t="str">
        <f ca="1">IFERROR(__xludf.DUMMYFUNCTION("""COMPUTED_VALUE"""),"No")</f>
        <v>No</v>
      </c>
      <c r="I1333" s="1" t="str">
        <f ca="1">IFERROR(__xludf.DUMMYFUNCTION("""COMPUTED_VALUE"""),"Will work for them")</f>
        <v>Will work for them</v>
      </c>
      <c r="J1333" s="1">
        <f ca="1">IFERROR(__xludf.DUMMYFUNCTION("""COMPUTED_VALUE"""),10)</f>
        <v>10</v>
      </c>
      <c r="K1333" s="1" t="str">
        <f ca="1">IFERROR(__xludf.DUMMYFUNCTION("""COMPUTED_VALUE"""),"Hybrid Working Environment with more than 15 days a month at office")</f>
        <v>Hybrid Working Environment with more than 15 days a month at office</v>
      </c>
      <c r="L1333" s="1" t="str">
        <f ca="1">IFERROR(__xludf.DUMMYFUNCTION("""COMPUTED_VALUE"""),"Employer who appreciates learning and enables that environment")</f>
        <v>Employer who appreciates learning and enables that environment</v>
      </c>
      <c r="M13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3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333" s="1" t="str">
        <f ca="1">IFERROR(__xludf.DUMMYFUNCTION("""COMPUTED_VALUE"""),"Manager who explains what is expected, sets a goal and helps achieve it")</f>
        <v>Manager who explains what is expected, sets a goal and helps achieve it</v>
      </c>
      <c r="P1333" s="1" t="str">
        <f ca="1">IFERROR(__xludf.DUMMYFUNCTION("""COMPUTED_VALUE"""),"Work with 2 to 3 people in my team, Work with 5 to 6 people in my team")</f>
        <v>Work with 2 to 3 people in my team, Work with 5 to 6 people in my team</v>
      </c>
      <c r="Q1333" s="1"/>
    </row>
    <row r="1334" spans="1:17" ht="13.2" x14ac:dyDescent="0.25">
      <c r="A1334" s="2">
        <f ca="1">IFERROR(__xludf.DUMMYFUNCTION("""COMPUTED_VALUE"""),45044.7042870833)</f>
        <v>45044.704287083303</v>
      </c>
      <c r="B1334" s="1" t="str">
        <f ca="1">IFERROR(__xludf.DUMMYFUNCTION("""COMPUTED_VALUE"""),"India")</f>
        <v>India</v>
      </c>
      <c r="C1334" s="1">
        <f ca="1">IFERROR(__xludf.DUMMYFUNCTION("""COMPUTED_VALUE"""),635801)</f>
        <v>635801</v>
      </c>
      <c r="D1334" s="3" t="str">
        <f ca="1">IFERROR(__xludf.DUMMYFUNCTION("""COMPUTED_VALUE"""),"Male")</f>
        <v>Male</v>
      </c>
      <c r="E1334" s="1" t="str">
        <f ca="1">IFERROR(__xludf.DUMMYFUNCTION("""COMPUTED_VALUE"""),"Influencers who had successful careers")</f>
        <v>Influencers who had successful careers</v>
      </c>
      <c r="F1334" s="1" t="str">
        <f ca="1">IFERROR(__xludf.DUMMYFUNCTION("""COMPUTED_VALUE"""),"No, But if someone could bare the cost I will")</f>
        <v>No, But if someone could bare the cost I will</v>
      </c>
      <c r="G1334" s="1" t="str">
        <f ca="1">IFERROR(__xludf.DUMMYFUNCTION("""COMPUTED_VALUE"""),"This will be hard to do, but if it is the right company I would try")</f>
        <v>This will be hard to do, but if it is the right company I would try</v>
      </c>
      <c r="H1334" s="1" t="str">
        <f ca="1">IFERROR(__xludf.DUMMYFUNCTION("""COMPUTED_VALUE"""),"No")</f>
        <v>No</v>
      </c>
      <c r="I1334" s="1" t="str">
        <f ca="1">IFERROR(__xludf.DUMMYFUNCTION("""COMPUTED_VALUE"""),"Will work for them")</f>
        <v>Will work for them</v>
      </c>
      <c r="J1334" s="1">
        <f ca="1">IFERROR(__xludf.DUMMYFUNCTION("""COMPUTED_VALUE"""),10)</f>
        <v>10</v>
      </c>
      <c r="K1334" s="1" t="str">
        <f ca="1">IFERROR(__xludf.DUMMYFUNCTION("""COMPUTED_VALUE"""),"Fully Remote with Options to travel as and when needed")</f>
        <v>Fully Remote with Options to travel as and when needed</v>
      </c>
      <c r="L1334" s="1" t="str">
        <f ca="1">IFERROR(__xludf.DUMMYFUNCTION("""COMPUTED_VALUE"""),"Employer who appreciates learning and enables that environment")</f>
        <v>Employer who appreciates learning and enables that environment</v>
      </c>
      <c r="M133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33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334" s="1" t="str">
        <f ca="1">IFERROR(__xludf.DUMMYFUNCTION("""COMPUTED_VALUE"""),"Manager who explains what is expected, sets a goal and helps achieve it")</f>
        <v>Manager who explains what is expected, sets a goal and helps achieve it</v>
      </c>
      <c r="P1334" s="1" t="str">
        <f ca="1">IFERROR(__xludf.DUMMYFUNCTION("""COMPUTED_VALUE"""),"Work with more than 10 people in my team")</f>
        <v>Work with more than 10 people in my team</v>
      </c>
      <c r="Q1334" s="1"/>
    </row>
    <row r="1335" spans="1:17" ht="13.2" x14ac:dyDescent="0.25">
      <c r="A1335" s="2">
        <f ca="1">IFERROR(__xludf.DUMMYFUNCTION("""COMPUTED_VALUE"""),45044.7062047222)</f>
        <v>45044.706204722199</v>
      </c>
      <c r="B1335" s="1" t="str">
        <f ca="1">IFERROR(__xludf.DUMMYFUNCTION("""COMPUTED_VALUE"""),"India")</f>
        <v>India</v>
      </c>
      <c r="C1335" s="1">
        <f ca="1">IFERROR(__xludf.DUMMYFUNCTION("""COMPUTED_VALUE"""),505209)</f>
        <v>505209</v>
      </c>
      <c r="D1335" s="3" t="str">
        <f ca="1">IFERROR(__xludf.DUMMYFUNCTION("""COMPUTED_VALUE"""),"Female")</f>
        <v>Female</v>
      </c>
      <c r="E1335" s="1" t="str">
        <f ca="1">IFERROR(__xludf.DUMMYFUNCTION("""COMPUTED_VALUE"""),"People who have changed the world for better")</f>
        <v>People who have changed the world for better</v>
      </c>
      <c r="F1335" s="1" t="str">
        <f ca="1">IFERROR(__xludf.DUMMYFUNCTION("""COMPUTED_VALUE"""),"Yes, I will earn and do that")</f>
        <v>Yes, I will earn and do that</v>
      </c>
      <c r="G1335" s="1" t="str">
        <f ca="1">IFERROR(__xludf.DUMMYFUNCTION("""COMPUTED_VALUE"""),"This will be hard to do, but if it is the right company I would try")</f>
        <v>This will be hard to do, but if it is the right company I would try</v>
      </c>
      <c r="H1335" s="1" t="str">
        <f ca="1">IFERROR(__xludf.DUMMYFUNCTION("""COMPUTED_VALUE"""),"Yes")</f>
        <v>Yes</v>
      </c>
      <c r="I1335" s="1" t="str">
        <f ca="1">IFERROR(__xludf.DUMMYFUNCTION("""COMPUTED_VALUE"""),"Will NOT work for them")</f>
        <v>Will NOT work for them</v>
      </c>
      <c r="J1335" s="1">
        <f ca="1">IFERROR(__xludf.DUMMYFUNCTION("""COMPUTED_VALUE"""),8)</f>
        <v>8</v>
      </c>
      <c r="K1335" s="1" t="str">
        <f ca="1">IFERROR(__xludf.DUMMYFUNCTION("""COMPUTED_VALUE"""),"Fully Remote with Options to travel as and when needed")</f>
        <v>Fully Remote with Options to travel as and when needed</v>
      </c>
      <c r="L1335" s="1" t="str">
        <f ca="1">IFERROR(__xludf.DUMMYFUNCTION("""COMPUTED_VALUE"""),"Employer who pushes your limits by enabling an learning environment, and rewards you at the end")</f>
        <v>Employer who pushes your limits by enabling an learning environment, and rewards you at the end</v>
      </c>
      <c r="M133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35"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335" s="1" t="str">
        <f ca="1">IFERROR(__xludf.DUMMYFUNCTION("""COMPUTED_VALUE"""),"Manager who explains what is expected, sets a goal and helps achieve it")</f>
        <v>Manager who explains what is expected, sets a goal and helps achieve it</v>
      </c>
      <c r="P1335" s="1" t="str">
        <f ca="1">IFERROR(__xludf.DUMMYFUNCTION("""COMPUTED_VALUE"""),"Work with 2 to 3 people in my team")</f>
        <v>Work with 2 to 3 people in my team</v>
      </c>
      <c r="Q1335" s="1"/>
    </row>
    <row r="1336" spans="1:17" ht="13.2" x14ac:dyDescent="0.25">
      <c r="A1336" s="2">
        <f ca="1">IFERROR(__xludf.DUMMYFUNCTION("""COMPUTED_VALUE"""),45044.7175548379)</f>
        <v>45044.717554837902</v>
      </c>
      <c r="B1336" s="1" t="str">
        <f ca="1">IFERROR(__xludf.DUMMYFUNCTION("""COMPUTED_VALUE"""),"India")</f>
        <v>India</v>
      </c>
      <c r="C1336" s="1">
        <f ca="1">IFERROR(__xludf.DUMMYFUNCTION("""COMPUTED_VALUE"""),508234)</f>
        <v>508234</v>
      </c>
      <c r="D1336" s="3" t="str">
        <f ca="1">IFERROR(__xludf.DUMMYFUNCTION("""COMPUTED_VALUE"""),"Male")</f>
        <v>Male</v>
      </c>
      <c r="E1336" s="1" t="str">
        <f ca="1">IFERROR(__xludf.DUMMYFUNCTION("""COMPUTED_VALUE"""),"Influencers who had successful careers")</f>
        <v>Influencers who had successful careers</v>
      </c>
      <c r="F1336" s="1" t="str">
        <f ca="1">IFERROR(__xludf.DUMMYFUNCTION("""COMPUTED_VALUE"""),"No I would not be pursuing Higher Education outside of India")</f>
        <v>No I would not be pursuing Higher Education outside of India</v>
      </c>
      <c r="G1336" s="1" t="str">
        <f ca="1">IFERROR(__xludf.DUMMYFUNCTION("""COMPUTED_VALUE"""),"This will be hard to do, but if it is the right company I would try")</f>
        <v>This will be hard to do, but if it is the right company I would try</v>
      </c>
      <c r="H1336" s="1" t="str">
        <f ca="1">IFERROR(__xludf.DUMMYFUNCTION("""COMPUTED_VALUE"""),"No")</f>
        <v>No</v>
      </c>
      <c r="I1336" s="1" t="str">
        <f ca="1">IFERROR(__xludf.DUMMYFUNCTION("""COMPUTED_VALUE"""),"Will work for them")</f>
        <v>Will work for them</v>
      </c>
      <c r="J1336" s="1">
        <f ca="1">IFERROR(__xludf.DUMMYFUNCTION("""COMPUTED_VALUE"""),10)</f>
        <v>10</v>
      </c>
      <c r="K1336" s="1" t="str">
        <f ca="1">IFERROR(__xludf.DUMMYFUNCTION("""COMPUTED_VALUE"""),"Fully Remote with Options to travel as and when needed")</f>
        <v>Fully Remote with Options to travel as and when needed</v>
      </c>
      <c r="L1336" s="1" t="str">
        <f ca="1">IFERROR(__xludf.DUMMYFUNCTION("""COMPUTED_VALUE"""),"Employer who rewards learning and enables that environment")</f>
        <v>Employer who rewards learning and enables that environment</v>
      </c>
      <c r="M133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36" s="1" t="str">
        <f ca="1">IFERROR(__xludf.DUMMYFUNCTION("""COMPUTED_VALUE"""),"Design and Creative strategy in any company, Teaching in any of the institutes/colleges/online or offline, Build and develop a Team, An Artificial Intelligence Specialist / Talking to Robots")</f>
        <v>Design and Creative strategy in any company, Teaching in any of the institutes/colleges/online or offline, Build and develop a Team, An Artificial Intelligence Specialist / Talking to Robots</v>
      </c>
      <c r="O1336" s="1" t="str">
        <f ca="1">IFERROR(__xludf.DUMMYFUNCTION("""COMPUTED_VALUE"""),"Manager who sets goal and helps me achieve it")</f>
        <v>Manager who sets goal and helps me achieve it</v>
      </c>
      <c r="P1336"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336" s="1"/>
    </row>
    <row r="1337" spans="1:17" ht="13.2" x14ac:dyDescent="0.25">
      <c r="A1337" s="2">
        <f ca="1">IFERROR(__xludf.DUMMYFUNCTION("""COMPUTED_VALUE"""),45044.7228526736)</f>
        <v>45044.7228526736</v>
      </c>
      <c r="B1337" s="1" t="str">
        <f ca="1">IFERROR(__xludf.DUMMYFUNCTION("""COMPUTED_VALUE"""),"India")</f>
        <v>India</v>
      </c>
      <c r="C1337" s="1">
        <f ca="1">IFERROR(__xludf.DUMMYFUNCTION("""COMPUTED_VALUE"""),826004)</f>
        <v>826004</v>
      </c>
      <c r="D1337" s="3" t="str">
        <f ca="1">IFERROR(__xludf.DUMMYFUNCTION("""COMPUTED_VALUE"""),"Male")</f>
        <v>Male</v>
      </c>
      <c r="E1337" s="1" t="str">
        <f ca="1">IFERROR(__xludf.DUMMYFUNCTION("""COMPUTED_VALUE"""),"People who have changed the world for better")</f>
        <v>People who have changed the world for better</v>
      </c>
      <c r="F1337" s="1" t="str">
        <f ca="1">IFERROR(__xludf.DUMMYFUNCTION("""COMPUTED_VALUE"""),"No I would not be pursuing Higher Education outside of India")</f>
        <v>No I would not be pursuing Higher Education outside of India</v>
      </c>
      <c r="G1337" s="1" t="str">
        <f ca="1">IFERROR(__xludf.DUMMYFUNCTION("""COMPUTED_VALUE"""),"This will be hard to do, but if it is the right company I would try")</f>
        <v>This will be hard to do, but if it is the right company I would try</v>
      </c>
      <c r="H1337" s="1" t="str">
        <f ca="1">IFERROR(__xludf.DUMMYFUNCTION("""COMPUTED_VALUE"""),"Yes")</f>
        <v>Yes</v>
      </c>
      <c r="I1337" s="1" t="str">
        <f ca="1">IFERROR(__xludf.DUMMYFUNCTION("""COMPUTED_VALUE"""),"Will work for them")</f>
        <v>Will work for them</v>
      </c>
      <c r="J1337" s="1">
        <f ca="1">IFERROR(__xludf.DUMMYFUNCTION("""COMPUTED_VALUE"""),8)</f>
        <v>8</v>
      </c>
      <c r="K1337" s="1" t="str">
        <f ca="1">IFERROR(__xludf.DUMMYFUNCTION("""COMPUTED_VALUE"""),"Fully Remote with Options to travel as and when needed")</f>
        <v>Fully Remote with Options to travel as and when needed</v>
      </c>
      <c r="L1337" s="1" t="str">
        <f ca="1">IFERROR(__xludf.DUMMYFUNCTION("""COMPUTED_VALUE"""),"Employer who rewards learning and enables that environment")</f>
        <v>Employer who rewards learning and enables that environment</v>
      </c>
      <c r="M133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3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337" s="1" t="str">
        <f ca="1">IFERROR(__xludf.DUMMYFUNCTION("""COMPUTED_VALUE"""),"Manager who explains what is expected, sets a goal and helps achieve it")</f>
        <v>Manager who explains what is expected, sets a goal and helps achieve it</v>
      </c>
      <c r="P1337" s="1" t="str">
        <f ca="1">IFERROR(__xludf.DUMMYFUNCTION("""COMPUTED_VALUE"""),"Work with 2 to 3 people in my team, Work with 5 to 6 people in my team")</f>
        <v>Work with 2 to 3 people in my team, Work with 5 to 6 people in my team</v>
      </c>
      <c r="Q1337" s="1"/>
    </row>
    <row r="1338" spans="1:17" ht="13.2" x14ac:dyDescent="0.25">
      <c r="A1338" s="2">
        <f ca="1">IFERROR(__xludf.DUMMYFUNCTION("""COMPUTED_VALUE"""),45044.7257193518)</f>
        <v>45044.725719351802</v>
      </c>
      <c r="B1338" s="1" t="str">
        <f ca="1">IFERROR(__xludf.DUMMYFUNCTION("""COMPUTED_VALUE"""),"India")</f>
        <v>India</v>
      </c>
      <c r="C1338" s="1">
        <f ca="1">IFERROR(__xludf.DUMMYFUNCTION("""COMPUTED_VALUE"""),201002)</f>
        <v>201002</v>
      </c>
      <c r="D1338" s="3" t="str">
        <f ca="1">IFERROR(__xludf.DUMMYFUNCTION("""COMPUTED_VALUE"""),"Female")</f>
        <v>Female</v>
      </c>
      <c r="E1338" s="1" t="str">
        <f ca="1">IFERROR(__xludf.DUMMYFUNCTION("""COMPUTED_VALUE"""),"My Parents")</f>
        <v>My Parents</v>
      </c>
      <c r="F1338" s="1" t="str">
        <f ca="1">IFERROR(__xludf.DUMMYFUNCTION("""COMPUTED_VALUE"""),"Yes, I will earn and do that")</f>
        <v>Yes, I will earn and do that</v>
      </c>
      <c r="G1338" s="1" t="str">
        <f ca="1">IFERROR(__xludf.DUMMYFUNCTION("""COMPUTED_VALUE"""),"This will be hard to do, but if it is the right company I would try")</f>
        <v>This will be hard to do, but if it is the right company I would try</v>
      </c>
      <c r="H1338" s="1" t="str">
        <f ca="1">IFERROR(__xludf.DUMMYFUNCTION("""COMPUTED_VALUE"""),"No")</f>
        <v>No</v>
      </c>
      <c r="I1338" s="1" t="str">
        <f ca="1">IFERROR(__xludf.DUMMYFUNCTION("""COMPUTED_VALUE"""),"Will NOT work for them")</f>
        <v>Will NOT work for them</v>
      </c>
      <c r="J1338" s="1">
        <f ca="1">IFERROR(__xludf.DUMMYFUNCTION("""COMPUTED_VALUE"""),1)</f>
        <v>1</v>
      </c>
      <c r="K1338" s="1" t="str">
        <f ca="1">IFERROR(__xludf.DUMMYFUNCTION("""COMPUTED_VALUE"""),"Every Day Office Environment")</f>
        <v>Every Day Office Environment</v>
      </c>
      <c r="L1338" s="1" t="str">
        <f ca="1">IFERROR(__xludf.DUMMYFUNCTION("""COMPUTED_VALUE"""),"Employer who pushes your limits by enabling an learning environment, and rewards you at the end")</f>
        <v>Employer who pushes your limits by enabling an learning environment, and rewards you at the end</v>
      </c>
      <c r="M1338" s="1" t="str">
        <f ca="1">IFERROR(__xludf.DUMMYFUNCTION("""COMPUTED_VALUE"""),"Instructor or Expert Learning Programs, Learning by observing others, Manager Teaching you")</f>
        <v>Instructor or Expert Learning Programs, Learning by observing others, Manager Teaching you</v>
      </c>
      <c r="N1338"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38" s="1" t="str">
        <f ca="1">IFERROR(__xludf.DUMMYFUNCTION("""COMPUTED_VALUE"""),"Manager who explains what is expected, sets a goal and helps achieve it")</f>
        <v>Manager who explains what is expected, sets a goal and helps achieve it</v>
      </c>
      <c r="P1338" s="1" t="str">
        <f ca="1">IFERROR(__xludf.DUMMYFUNCTION("""COMPUTED_VALUE"""),"Work with 7 to 10 or more people in my team, Work with more than 10 people in my team")</f>
        <v>Work with 7 to 10 or more people in my team, Work with more than 10 people in my team</v>
      </c>
      <c r="Q1338" s="1"/>
    </row>
    <row r="1339" spans="1:17" ht="13.2" x14ac:dyDescent="0.25">
      <c r="A1339" s="2">
        <f ca="1">IFERROR(__xludf.DUMMYFUNCTION("""COMPUTED_VALUE"""),45044.7266468981)</f>
        <v>45044.726646898103</v>
      </c>
      <c r="B1339" s="1" t="str">
        <f ca="1">IFERROR(__xludf.DUMMYFUNCTION("""COMPUTED_VALUE"""),"India")</f>
        <v>India</v>
      </c>
      <c r="C1339" s="1">
        <f ca="1">IFERROR(__xludf.DUMMYFUNCTION("""COMPUTED_VALUE"""),600049)</f>
        <v>600049</v>
      </c>
      <c r="D1339" s="3" t="str">
        <f ca="1">IFERROR(__xludf.DUMMYFUNCTION("""COMPUTED_VALUE"""),"Female")</f>
        <v>Female</v>
      </c>
      <c r="E1339" s="1" t="str">
        <f ca="1">IFERROR(__xludf.DUMMYFUNCTION("""COMPUTED_VALUE"""),"Influencers who had successful careers")</f>
        <v>Influencers who had successful careers</v>
      </c>
      <c r="F1339" s="1" t="str">
        <f ca="1">IFERROR(__xludf.DUMMYFUNCTION("""COMPUTED_VALUE"""),"No, But if someone could bare the cost I will")</f>
        <v>No, But if someone could bare the cost I will</v>
      </c>
      <c r="G1339" s="1" t="str">
        <f ca="1">IFERROR(__xludf.DUMMYFUNCTION("""COMPUTED_VALUE"""),"This will be hard to do, but if it is the right company I would try")</f>
        <v>This will be hard to do, but if it is the right company I would try</v>
      </c>
      <c r="H1339" s="1" t="str">
        <f ca="1">IFERROR(__xludf.DUMMYFUNCTION("""COMPUTED_VALUE"""),"No")</f>
        <v>No</v>
      </c>
      <c r="I1339" s="1" t="str">
        <f ca="1">IFERROR(__xludf.DUMMYFUNCTION("""COMPUTED_VALUE"""),"Will NOT work for them")</f>
        <v>Will NOT work for them</v>
      </c>
      <c r="J1339" s="1">
        <f ca="1">IFERROR(__xludf.DUMMYFUNCTION("""COMPUTED_VALUE"""),1)</f>
        <v>1</v>
      </c>
      <c r="K1339" s="1" t="str">
        <f ca="1">IFERROR(__xludf.DUMMYFUNCTION("""COMPUTED_VALUE"""),"Hybrid Working Environment with less than 3 days a month at office")</f>
        <v>Hybrid Working Environment with less than 3 days a month at office</v>
      </c>
      <c r="L1339" s="1" t="str">
        <f ca="1">IFERROR(__xludf.DUMMYFUNCTION("""COMPUTED_VALUE"""),"Employer who pushes your limits by enabling an learning environment, and rewards you at the end")</f>
        <v>Employer who pushes your limits by enabling an learning environment, and rewards you at the end</v>
      </c>
      <c r="M133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39"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1339" s="1" t="str">
        <f ca="1">IFERROR(__xludf.DUMMYFUNCTION("""COMPUTED_VALUE"""),"Manager who explains what is expected, sets a goal and helps achieve it")</f>
        <v>Manager who explains what is expected, sets a goal and helps achieve it</v>
      </c>
      <c r="P1339" s="1" t="str">
        <f ca="1">IFERROR(__xludf.DUMMYFUNCTION("""COMPUTED_VALUE"""),"Work with 2 to 3 people in my team")</f>
        <v>Work with 2 to 3 people in my team</v>
      </c>
      <c r="Q1339" s="1"/>
    </row>
    <row r="1340" spans="1:17" ht="13.2" x14ac:dyDescent="0.25">
      <c r="A1340" s="2">
        <f ca="1">IFERROR(__xludf.DUMMYFUNCTION("""COMPUTED_VALUE"""),45044.7291226851)</f>
        <v>45044.729122685101</v>
      </c>
      <c r="B1340" s="1" t="str">
        <f ca="1">IFERROR(__xludf.DUMMYFUNCTION("""COMPUTED_VALUE"""),"India")</f>
        <v>India</v>
      </c>
      <c r="C1340" s="1">
        <f ca="1">IFERROR(__xludf.DUMMYFUNCTION("""COMPUTED_VALUE"""),826001)</f>
        <v>826001</v>
      </c>
      <c r="D1340" s="3" t="str">
        <f ca="1">IFERROR(__xludf.DUMMYFUNCTION("""COMPUTED_VALUE"""),"Male")</f>
        <v>Male</v>
      </c>
      <c r="E1340" s="1" t="str">
        <f ca="1">IFERROR(__xludf.DUMMYFUNCTION("""COMPUTED_VALUE"""),"People who have changed the world for better")</f>
        <v>People who have changed the world for better</v>
      </c>
      <c r="F1340" s="1" t="str">
        <f ca="1">IFERROR(__xludf.DUMMYFUNCTION("""COMPUTED_VALUE"""),"Yes, I will earn and do that")</f>
        <v>Yes, I will earn and do that</v>
      </c>
      <c r="G1340" s="1" t="str">
        <f ca="1">IFERROR(__xludf.DUMMYFUNCTION("""COMPUTED_VALUE"""),"This will be hard to do, but if it is the right company I would try")</f>
        <v>This will be hard to do, but if it is the right company I would try</v>
      </c>
      <c r="H1340" s="1" t="str">
        <f ca="1">IFERROR(__xludf.DUMMYFUNCTION("""COMPUTED_VALUE"""),"No")</f>
        <v>No</v>
      </c>
      <c r="I1340" s="1" t="str">
        <f ca="1">IFERROR(__xludf.DUMMYFUNCTION("""COMPUTED_VALUE"""),"Will NOT work for them")</f>
        <v>Will NOT work for them</v>
      </c>
      <c r="J1340" s="1">
        <f ca="1">IFERROR(__xludf.DUMMYFUNCTION("""COMPUTED_VALUE"""),3)</f>
        <v>3</v>
      </c>
      <c r="K1340" s="1" t="str">
        <f ca="1">IFERROR(__xludf.DUMMYFUNCTION("""COMPUTED_VALUE"""),"Hybrid Working Environment with less than 3 days a month at office")</f>
        <v>Hybrid Working Environment with less than 3 days a month at office</v>
      </c>
      <c r="L1340" s="1" t="str">
        <f ca="1">IFERROR(__xludf.DUMMYFUNCTION("""COMPUTED_VALUE"""),"Employer who pushes your limits by enabling an learning environment, and rewards you at the end")</f>
        <v>Employer who pushes your limits by enabling an learning environment, and rewards you at the end</v>
      </c>
      <c r="M134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340" s="1" t="str">
        <f ca="1">IFERROR(__xludf.DUMMYFUNCTION("""COMPUTED_VALUE"""),"Manager who sets goal and helps me achieve it")</f>
        <v>Manager who sets goal and helps me achieve it</v>
      </c>
      <c r="P134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340" s="1"/>
    </row>
    <row r="1341" spans="1:17" ht="13.2" x14ac:dyDescent="0.25">
      <c r="A1341" s="2">
        <f ca="1">IFERROR(__xludf.DUMMYFUNCTION("""COMPUTED_VALUE"""),45044.7303440856)</f>
        <v>45044.730344085598</v>
      </c>
      <c r="B1341" s="1" t="str">
        <f ca="1">IFERROR(__xludf.DUMMYFUNCTION("""COMPUTED_VALUE"""),"India")</f>
        <v>India</v>
      </c>
      <c r="C1341" s="1">
        <f ca="1">IFERROR(__xludf.DUMMYFUNCTION("""COMPUTED_VALUE"""),492001)</f>
        <v>492001</v>
      </c>
      <c r="D1341" s="3" t="str">
        <f ca="1">IFERROR(__xludf.DUMMYFUNCTION("""COMPUTED_VALUE"""),"Male")</f>
        <v>Male</v>
      </c>
      <c r="E1341" s="1" t="str">
        <f ca="1">IFERROR(__xludf.DUMMYFUNCTION("""COMPUTED_VALUE"""),"People who have changed the world for better")</f>
        <v>People who have changed the world for better</v>
      </c>
      <c r="F1341" s="1" t="str">
        <f ca="1">IFERROR(__xludf.DUMMYFUNCTION("""COMPUTED_VALUE"""),"Yes, I will earn and do that")</f>
        <v>Yes, I will earn and do that</v>
      </c>
      <c r="G1341" s="1" t="str">
        <f ca="1">IFERROR(__xludf.DUMMYFUNCTION("""COMPUTED_VALUE"""),"This will be hard to do, but if it is the right company I would try")</f>
        <v>This will be hard to do, but if it is the right company I would try</v>
      </c>
      <c r="H1341" s="1" t="str">
        <f ca="1">IFERROR(__xludf.DUMMYFUNCTION("""COMPUTED_VALUE"""),"No")</f>
        <v>No</v>
      </c>
      <c r="I1341" s="1" t="str">
        <f ca="1">IFERROR(__xludf.DUMMYFUNCTION("""COMPUTED_VALUE"""),"Will NOT work for them")</f>
        <v>Will NOT work for them</v>
      </c>
      <c r="J1341" s="1">
        <f ca="1">IFERROR(__xludf.DUMMYFUNCTION("""COMPUTED_VALUE"""),8)</f>
        <v>8</v>
      </c>
      <c r="K1341" s="1" t="str">
        <f ca="1">IFERROR(__xludf.DUMMYFUNCTION("""COMPUTED_VALUE"""),"Fully Remote with Options to travel as and when needed")</f>
        <v>Fully Remote with Options to travel as and when needed</v>
      </c>
      <c r="L1341" s="1" t="str">
        <f ca="1">IFERROR(__xludf.DUMMYFUNCTION("""COMPUTED_VALUE"""),"Employer who pushes your limits by enabling an learning environment, and rewards you at the end")</f>
        <v>Employer who pushes your limits by enabling an learning environment, and rewards you at the end</v>
      </c>
      <c r="M134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41"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341" s="1" t="str">
        <f ca="1">IFERROR(__xludf.DUMMYFUNCTION("""COMPUTED_VALUE"""),"Manager who sets goal and helps me achieve it")</f>
        <v>Manager who sets goal and helps me achieve it</v>
      </c>
      <c r="P1341" s="1" t="str">
        <f ca="1">IFERROR(__xludf.DUMMYFUNCTION("""COMPUTED_VALUE"""),"Work with 5 to 6 people in my team")</f>
        <v>Work with 5 to 6 people in my team</v>
      </c>
      <c r="Q1341" s="1"/>
    </row>
    <row r="1342" spans="1:17" ht="13.2" x14ac:dyDescent="0.25">
      <c r="A1342" s="2">
        <f ca="1">IFERROR(__xludf.DUMMYFUNCTION("""COMPUTED_VALUE"""),45044.7341403125)</f>
        <v>45044.734140312503</v>
      </c>
      <c r="B1342" s="1" t="str">
        <f ca="1">IFERROR(__xludf.DUMMYFUNCTION("""COMPUTED_VALUE"""),"India")</f>
        <v>India</v>
      </c>
      <c r="C1342" s="1">
        <f ca="1">IFERROR(__xludf.DUMMYFUNCTION("""COMPUTED_VALUE"""),560073)</f>
        <v>560073</v>
      </c>
      <c r="D1342" s="3" t="str">
        <f ca="1">IFERROR(__xludf.DUMMYFUNCTION("""COMPUTED_VALUE"""),"Male")</f>
        <v>Male</v>
      </c>
      <c r="E1342" s="1" t="str">
        <f ca="1">IFERROR(__xludf.DUMMYFUNCTION("""COMPUTED_VALUE"""),"Social Media like LinkedIn")</f>
        <v>Social Media like LinkedIn</v>
      </c>
      <c r="F1342" s="1" t="str">
        <f ca="1">IFERROR(__xludf.DUMMYFUNCTION("""COMPUTED_VALUE"""),"No I would not be pursuing Higher Education outside of India")</f>
        <v>No I would not be pursuing Higher Education outside of India</v>
      </c>
      <c r="G1342" s="1" t="str">
        <f ca="1">IFERROR(__xludf.DUMMYFUNCTION("""COMPUTED_VALUE"""),"Will work for 3 years or more")</f>
        <v>Will work for 3 years or more</v>
      </c>
      <c r="H1342" s="1" t="str">
        <f ca="1">IFERROR(__xludf.DUMMYFUNCTION("""COMPUTED_VALUE"""),"Yes")</f>
        <v>Yes</v>
      </c>
      <c r="I1342" s="1" t="str">
        <f ca="1">IFERROR(__xludf.DUMMYFUNCTION("""COMPUTED_VALUE"""),"Will work for them")</f>
        <v>Will work for them</v>
      </c>
      <c r="J1342" s="1">
        <f ca="1">IFERROR(__xludf.DUMMYFUNCTION("""COMPUTED_VALUE"""),6)</f>
        <v>6</v>
      </c>
      <c r="K1342" s="1" t="str">
        <f ca="1">IFERROR(__xludf.DUMMYFUNCTION("""COMPUTED_VALUE"""),"Hybrid Working Environment with less than 3 days a month at office")</f>
        <v>Hybrid Working Environment with less than 3 days a month at office</v>
      </c>
      <c r="L1342" s="1" t="str">
        <f ca="1">IFERROR(__xludf.DUMMYFUNCTION("""COMPUTED_VALUE"""),"Employer who rewards learning and enables that environment")</f>
        <v>Employer who rewards learning and enables that environment</v>
      </c>
      <c r="M1342" s="1" t="str">
        <f ca="1">IFERROR(__xludf.DUMMYFUNCTION("""COMPUTED_VALUE"""),"Learning by observing others, Self Purchased Course from External Platforms, Manager Teaching you")</f>
        <v>Learning by observing others, Self Purchased Course from External Platforms, Manager Teaching you</v>
      </c>
      <c r="N1342"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342" s="1" t="str">
        <f ca="1">IFERROR(__xludf.DUMMYFUNCTION("""COMPUTED_VALUE"""),"Manager who explains what is expected, sets a goal and helps achieve it")</f>
        <v>Manager who explains what is expected, sets a goal and helps achieve it</v>
      </c>
      <c r="P1342" s="1" t="str">
        <f ca="1">IFERROR(__xludf.DUMMYFUNCTION("""COMPUTED_VALUE"""),"Work with more than 10 people in my team")</f>
        <v>Work with more than 10 people in my team</v>
      </c>
      <c r="Q1342" s="1"/>
    </row>
    <row r="1343" spans="1:17" ht="13.2" x14ac:dyDescent="0.25">
      <c r="A1343" s="2">
        <f ca="1">IFERROR(__xludf.DUMMYFUNCTION("""COMPUTED_VALUE"""),45044.7359324768)</f>
        <v>45044.735932476797</v>
      </c>
      <c r="B1343" s="1" t="str">
        <f ca="1">IFERROR(__xludf.DUMMYFUNCTION("""COMPUTED_VALUE"""),"India")</f>
        <v>India</v>
      </c>
      <c r="C1343" s="1">
        <f ca="1">IFERROR(__xludf.DUMMYFUNCTION("""COMPUTED_VALUE"""),759001)</f>
        <v>759001</v>
      </c>
      <c r="D1343" s="3" t="str">
        <f ca="1">IFERROR(__xludf.DUMMYFUNCTION("""COMPUTED_VALUE"""),"Male")</f>
        <v>Male</v>
      </c>
      <c r="E1343" s="1" t="str">
        <f ca="1">IFERROR(__xludf.DUMMYFUNCTION("""COMPUTED_VALUE"""),"People who have changed the world for better")</f>
        <v>People who have changed the world for better</v>
      </c>
      <c r="F1343" s="1" t="str">
        <f ca="1">IFERROR(__xludf.DUMMYFUNCTION("""COMPUTED_VALUE"""),"No I would not be pursuing Higher Education outside of India")</f>
        <v>No I would not be pursuing Higher Education outside of India</v>
      </c>
      <c r="G1343" s="1" t="str">
        <f ca="1">IFERROR(__xludf.DUMMYFUNCTION("""COMPUTED_VALUE"""),"Will work for 3 years or more")</f>
        <v>Will work for 3 years or more</v>
      </c>
      <c r="H1343" s="1" t="str">
        <f ca="1">IFERROR(__xludf.DUMMYFUNCTION("""COMPUTED_VALUE"""),"No")</f>
        <v>No</v>
      </c>
      <c r="I1343" s="1" t="str">
        <f ca="1">IFERROR(__xludf.DUMMYFUNCTION("""COMPUTED_VALUE"""),"Will NOT work for them")</f>
        <v>Will NOT work for them</v>
      </c>
      <c r="J1343" s="1">
        <f ca="1">IFERROR(__xludf.DUMMYFUNCTION("""COMPUTED_VALUE"""),8)</f>
        <v>8</v>
      </c>
      <c r="K1343" s="1" t="str">
        <f ca="1">IFERROR(__xludf.DUMMYFUNCTION("""COMPUTED_VALUE"""),"Fully Remote with Options to travel as and when needed")</f>
        <v>Fully Remote with Options to travel as and when needed</v>
      </c>
      <c r="L1343" s="1" t="str">
        <f ca="1">IFERROR(__xludf.DUMMYFUNCTION("""COMPUTED_VALUE"""),"Employer who rewards learning and enables that environment")</f>
        <v>Employer who rewards learning and enables that environment</v>
      </c>
      <c r="M13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343" s="1" t="str">
        <f ca="1">IFERROR(__xludf.DUMMYFUNCTION("""COMPUTED_VALUE"""),"Manager who clearly describes what she/he needs")</f>
        <v>Manager who clearly describes what she/he needs</v>
      </c>
      <c r="P1343" s="1" t="str">
        <f ca="1">IFERROR(__xludf.DUMMYFUNCTION("""COMPUTED_VALUE"""),"Work alone")</f>
        <v>Work alone</v>
      </c>
      <c r="Q1343" s="1"/>
    </row>
    <row r="1344" spans="1:17" ht="13.2" x14ac:dyDescent="0.25">
      <c r="A1344" s="2">
        <f ca="1">IFERROR(__xludf.DUMMYFUNCTION("""COMPUTED_VALUE"""),45044.7364354861)</f>
        <v>45044.736435486098</v>
      </c>
      <c r="B1344" s="1" t="str">
        <f ca="1">IFERROR(__xludf.DUMMYFUNCTION("""COMPUTED_VALUE"""),"India")</f>
        <v>India</v>
      </c>
      <c r="C1344" s="1">
        <f ca="1">IFERROR(__xludf.DUMMYFUNCTION("""COMPUTED_VALUE"""),505209)</f>
        <v>505209</v>
      </c>
      <c r="D1344" s="3" t="str">
        <f ca="1">IFERROR(__xludf.DUMMYFUNCTION("""COMPUTED_VALUE"""),"Male")</f>
        <v>Male</v>
      </c>
      <c r="E1344" s="1" t="str">
        <f ca="1">IFERROR(__xludf.DUMMYFUNCTION("""COMPUTED_VALUE"""),"My Parents")</f>
        <v>My Parents</v>
      </c>
      <c r="F1344" s="1" t="str">
        <f ca="1">IFERROR(__xludf.DUMMYFUNCTION("""COMPUTED_VALUE"""),"Yes, I will earn and do that")</f>
        <v>Yes, I will earn and do that</v>
      </c>
      <c r="G1344" s="1" t="str">
        <f ca="1">IFERROR(__xludf.DUMMYFUNCTION("""COMPUTED_VALUE"""),"This will be hard to do, but if it is the right company I would try")</f>
        <v>This will be hard to do, but if it is the right company I would try</v>
      </c>
      <c r="H1344" s="1" t="str">
        <f ca="1">IFERROR(__xludf.DUMMYFUNCTION("""COMPUTED_VALUE"""),"No")</f>
        <v>No</v>
      </c>
      <c r="I1344" s="1" t="str">
        <f ca="1">IFERROR(__xludf.DUMMYFUNCTION("""COMPUTED_VALUE"""),"Will NOT work for them")</f>
        <v>Will NOT work for them</v>
      </c>
      <c r="J1344" s="1">
        <f ca="1">IFERROR(__xludf.DUMMYFUNCTION("""COMPUTED_VALUE"""),5)</f>
        <v>5</v>
      </c>
      <c r="K1344" s="1" t="str">
        <f ca="1">IFERROR(__xludf.DUMMYFUNCTION("""COMPUTED_VALUE"""),"Fully Remote with Options to travel as and when needed")</f>
        <v>Fully Remote with Options to travel as and when needed</v>
      </c>
      <c r="L1344" s="1" t="str">
        <f ca="1">IFERROR(__xludf.DUMMYFUNCTION("""COMPUTED_VALUE"""),"Employer who pushes your limits and doesn't enables learning environment and never rewards you")</f>
        <v>Employer who pushes your limits and doesn't enables learning environment and never rewards you</v>
      </c>
      <c r="M134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344"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344" s="1" t="str">
        <f ca="1">IFERROR(__xludf.DUMMYFUNCTION("""COMPUTED_VALUE"""),"Manager who sets goal and helps me achieve it")</f>
        <v>Manager who sets goal and helps me achieve it</v>
      </c>
      <c r="P1344" s="1" t="str">
        <f ca="1">IFERROR(__xludf.DUMMYFUNCTION("""COMPUTED_VALUE"""),"Work with 5 to 6 people in my team")</f>
        <v>Work with 5 to 6 people in my team</v>
      </c>
      <c r="Q1344" s="1"/>
    </row>
    <row r="1345" spans="1:17" ht="13.2" x14ac:dyDescent="0.25">
      <c r="A1345" s="2">
        <f ca="1">IFERROR(__xludf.DUMMYFUNCTION("""COMPUTED_VALUE"""),45044.7385760532)</f>
        <v>45044.738576053198</v>
      </c>
      <c r="B1345" s="1" t="str">
        <f ca="1">IFERROR(__xludf.DUMMYFUNCTION("""COMPUTED_VALUE"""),"India")</f>
        <v>India</v>
      </c>
      <c r="C1345" s="1">
        <f ca="1">IFERROR(__xludf.DUMMYFUNCTION("""COMPUTED_VALUE"""),600005)</f>
        <v>600005</v>
      </c>
      <c r="D1345" s="3" t="str">
        <f ca="1">IFERROR(__xludf.DUMMYFUNCTION("""COMPUTED_VALUE"""),"Male")</f>
        <v>Male</v>
      </c>
      <c r="E1345" s="1" t="str">
        <f ca="1">IFERROR(__xludf.DUMMYFUNCTION("""COMPUTED_VALUE"""),"My Parents")</f>
        <v>My Parents</v>
      </c>
      <c r="F1345" s="1" t="str">
        <f ca="1">IFERROR(__xludf.DUMMYFUNCTION("""COMPUTED_VALUE"""),"No I would not be pursuing Higher Education outside of India")</f>
        <v>No I would not be pursuing Higher Education outside of India</v>
      </c>
      <c r="G1345" s="1" t="str">
        <f ca="1">IFERROR(__xludf.DUMMYFUNCTION("""COMPUTED_VALUE"""),"Will work for 3 years or more")</f>
        <v>Will work for 3 years or more</v>
      </c>
      <c r="H1345" s="1" t="str">
        <f ca="1">IFERROR(__xludf.DUMMYFUNCTION("""COMPUTED_VALUE"""),"No")</f>
        <v>No</v>
      </c>
      <c r="I1345" s="1" t="str">
        <f ca="1">IFERROR(__xludf.DUMMYFUNCTION("""COMPUTED_VALUE"""),"Will NOT work for them")</f>
        <v>Will NOT work for them</v>
      </c>
      <c r="J1345" s="1">
        <f ca="1">IFERROR(__xludf.DUMMYFUNCTION("""COMPUTED_VALUE"""),1)</f>
        <v>1</v>
      </c>
      <c r="K1345" s="1" t="str">
        <f ca="1">IFERROR(__xludf.DUMMYFUNCTION("""COMPUTED_VALUE"""),"Every Day Office Environment")</f>
        <v>Every Day Office Environment</v>
      </c>
      <c r="L1345" s="1" t="str">
        <f ca="1">IFERROR(__xludf.DUMMYFUNCTION("""COMPUTED_VALUE"""),"Employer who appreciates learning and enables that environment")</f>
        <v>Employer who appreciates learning and enables that environment</v>
      </c>
      <c r="M134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45"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5" s="1" t="str">
        <f ca="1">IFERROR(__xludf.DUMMYFUNCTION("""COMPUTED_VALUE"""),"Manager who clearly describes what she/he needs")</f>
        <v>Manager who clearly describes what she/he needs</v>
      </c>
      <c r="P1345" s="1" t="str">
        <f ca="1">IFERROR(__xludf.DUMMYFUNCTION("""COMPUTED_VALUE"""),"Work with more than 10 people in my team")</f>
        <v>Work with more than 10 people in my team</v>
      </c>
      <c r="Q1345" s="1"/>
    </row>
    <row r="1346" spans="1:17" ht="13.2" x14ac:dyDescent="0.25">
      <c r="A1346" s="2">
        <f ca="1">IFERROR(__xludf.DUMMYFUNCTION("""COMPUTED_VALUE"""),45044.7397248263)</f>
        <v>45044.739724826301</v>
      </c>
      <c r="B1346" s="1" t="str">
        <f ca="1">IFERROR(__xludf.DUMMYFUNCTION("""COMPUTED_VALUE"""),"India")</f>
        <v>India</v>
      </c>
      <c r="C1346" s="1">
        <f ca="1">IFERROR(__xludf.DUMMYFUNCTION("""COMPUTED_VALUE"""),607001)</f>
        <v>607001</v>
      </c>
      <c r="D1346" s="3" t="str">
        <f ca="1">IFERROR(__xludf.DUMMYFUNCTION("""COMPUTED_VALUE"""),"Male")</f>
        <v>Male</v>
      </c>
      <c r="E1346" s="1" t="str">
        <f ca="1">IFERROR(__xludf.DUMMYFUNCTION("""COMPUTED_VALUE"""),"People who have changed the world for better")</f>
        <v>People who have changed the world for better</v>
      </c>
      <c r="F1346" s="1" t="str">
        <f ca="1">IFERROR(__xludf.DUMMYFUNCTION("""COMPUTED_VALUE"""),"Yes, I will earn and do that")</f>
        <v>Yes, I will earn and do that</v>
      </c>
      <c r="G1346" s="1" t="str">
        <f ca="1">IFERROR(__xludf.DUMMYFUNCTION("""COMPUTED_VALUE"""),"This will be hard to do, but if it is the right company I would try")</f>
        <v>This will be hard to do, but if it is the right company I would try</v>
      </c>
      <c r="H1346" s="1" t="str">
        <f ca="1">IFERROR(__xludf.DUMMYFUNCTION("""COMPUTED_VALUE"""),"No")</f>
        <v>No</v>
      </c>
      <c r="I1346" s="1" t="str">
        <f ca="1">IFERROR(__xludf.DUMMYFUNCTION("""COMPUTED_VALUE"""),"Will NOT work for them")</f>
        <v>Will NOT work for them</v>
      </c>
      <c r="J1346" s="1">
        <f ca="1">IFERROR(__xludf.DUMMYFUNCTION("""COMPUTED_VALUE"""),5)</f>
        <v>5</v>
      </c>
      <c r="K1346" s="1" t="str">
        <f ca="1">IFERROR(__xludf.DUMMYFUNCTION("""COMPUTED_VALUE"""),"Fully Remote with Options to travel as and when needed")</f>
        <v>Fully Remote with Options to travel as and when needed</v>
      </c>
      <c r="L1346" s="1" t="str">
        <f ca="1">IFERROR(__xludf.DUMMYFUNCTION("""COMPUTED_VALUE"""),"Employer who pushes your limits by enabling an learning environment, and rewards you at the end")</f>
        <v>Employer who pushes your limits by enabling an learning environment, and rewards you at the end</v>
      </c>
      <c r="M13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6"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6" s="1" t="str">
        <f ca="1">IFERROR(__xludf.DUMMYFUNCTION("""COMPUTED_VALUE"""),"Manager who explains what is expected, sets a goal and helps achieve it")</f>
        <v>Manager who explains what is expected, sets a goal and helps achieve it</v>
      </c>
      <c r="P1346" s="1" t="str">
        <f ca="1">IFERROR(__xludf.DUMMYFUNCTION("""COMPUTED_VALUE"""),"Work with more than 10 people in my team")</f>
        <v>Work with more than 10 people in my team</v>
      </c>
      <c r="Q1346" s="1"/>
    </row>
    <row r="1347" spans="1:17" ht="13.2" x14ac:dyDescent="0.25">
      <c r="A1347" s="2">
        <f ca="1">IFERROR(__xludf.DUMMYFUNCTION("""COMPUTED_VALUE"""),45044.7416090277)</f>
        <v>45044.741609027697</v>
      </c>
      <c r="B1347" s="1" t="str">
        <f ca="1">IFERROR(__xludf.DUMMYFUNCTION("""COMPUTED_VALUE"""),"India")</f>
        <v>India</v>
      </c>
      <c r="C1347" s="1">
        <f ca="1">IFERROR(__xludf.DUMMYFUNCTION("""COMPUTED_VALUE"""),560096)</f>
        <v>560096</v>
      </c>
      <c r="D1347" s="3" t="str">
        <f ca="1">IFERROR(__xludf.DUMMYFUNCTION("""COMPUTED_VALUE"""),"Male")</f>
        <v>Male</v>
      </c>
      <c r="E1347" s="1" t="str">
        <f ca="1">IFERROR(__xludf.DUMMYFUNCTION("""COMPUTED_VALUE"""),"Influencers who had successful careers")</f>
        <v>Influencers who had successful careers</v>
      </c>
      <c r="F1347" s="1" t="str">
        <f ca="1">IFERROR(__xludf.DUMMYFUNCTION("""COMPUTED_VALUE"""),"No, But if someone could bare the cost I will")</f>
        <v>No, But if someone could bare the cost I will</v>
      </c>
      <c r="G1347" s="1" t="str">
        <f ca="1">IFERROR(__xludf.DUMMYFUNCTION("""COMPUTED_VALUE"""),"No way")</f>
        <v>No way</v>
      </c>
      <c r="H1347" s="1" t="str">
        <f ca="1">IFERROR(__xludf.DUMMYFUNCTION("""COMPUTED_VALUE"""),"Yes")</f>
        <v>Yes</v>
      </c>
      <c r="I1347" s="1" t="str">
        <f ca="1">IFERROR(__xludf.DUMMYFUNCTION("""COMPUTED_VALUE"""),"Will work for them")</f>
        <v>Will work for them</v>
      </c>
      <c r="J1347" s="1">
        <f ca="1">IFERROR(__xludf.DUMMYFUNCTION("""COMPUTED_VALUE"""),7)</f>
        <v>7</v>
      </c>
      <c r="K1347" s="1" t="str">
        <f ca="1">IFERROR(__xludf.DUMMYFUNCTION("""COMPUTED_VALUE"""),"Hybrid Working Environment with less than 3 days a month at office")</f>
        <v>Hybrid Working Environment with less than 3 days a month at office</v>
      </c>
      <c r="L1347" s="1" t="str">
        <f ca="1">IFERROR(__xludf.DUMMYFUNCTION("""COMPUTED_VALUE"""),"Employer who pushes your limits by enabling an learning environment, and rewards you at the end")</f>
        <v>Employer who pushes your limits by enabling an learning environment, and rewards you at the end</v>
      </c>
      <c r="M1347"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347"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347" s="1" t="str">
        <f ca="1">IFERROR(__xludf.DUMMYFUNCTION("""COMPUTED_VALUE"""),"Manager who sets goal and helps me achieve it")</f>
        <v>Manager who sets goal and helps me achieve it</v>
      </c>
      <c r="P1347" s="1" t="str">
        <f ca="1">IFERROR(__xludf.DUMMYFUNCTION("""COMPUTED_VALUE"""),"Work with 5 to 6 people in my team, Work with 7 to 10 or more people in my team")</f>
        <v>Work with 5 to 6 people in my team, Work with 7 to 10 or more people in my team</v>
      </c>
      <c r="Q1347" s="1"/>
    </row>
    <row r="1348" spans="1:17" ht="13.2" x14ac:dyDescent="0.25">
      <c r="A1348" s="2">
        <f ca="1">IFERROR(__xludf.DUMMYFUNCTION("""COMPUTED_VALUE"""),45044.7429262615)</f>
        <v>45044.742926261497</v>
      </c>
      <c r="B1348" s="1" t="str">
        <f ca="1">IFERROR(__xludf.DUMMYFUNCTION("""COMPUTED_VALUE"""),"India")</f>
        <v>India</v>
      </c>
      <c r="C1348" s="1">
        <f ca="1">IFERROR(__xludf.DUMMYFUNCTION("""COMPUTED_VALUE"""),500013)</f>
        <v>500013</v>
      </c>
      <c r="D1348" s="3" t="str">
        <f ca="1">IFERROR(__xludf.DUMMYFUNCTION("""COMPUTED_VALUE"""),"Female")</f>
        <v>Female</v>
      </c>
      <c r="E1348" s="1" t="str">
        <f ca="1">IFERROR(__xludf.DUMMYFUNCTION("""COMPUTED_VALUE"""),"Influencers who had successful careers")</f>
        <v>Influencers who had successful careers</v>
      </c>
      <c r="F1348" s="1" t="str">
        <f ca="1">IFERROR(__xludf.DUMMYFUNCTION("""COMPUTED_VALUE"""),"No I would not be pursuing Higher Education outside of India")</f>
        <v>No I would not be pursuing Higher Education outside of India</v>
      </c>
      <c r="G1348" s="1" t="str">
        <f ca="1">IFERROR(__xludf.DUMMYFUNCTION("""COMPUTED_VALUE"""),"This will be hard to do, but if it is the right company I would try")</f>
        <v>This will be hard to do, but if it is the right company I would try</v>
      </c>
      <c r="H1348" s="1" t="str">
        <f ca="1">IFERROR(__xludf.DUMMYFUNCTION("""COMPUTED_VALUE"""),"No")</f>
        <v>No</v>
      </c>
      <c r="I1348" s="1" t="str">
        <f ca="1">IFERROR(__xludf.DUMMYFUNCTION("""COMPUTED_VALUE"""),"Will NOT work for them")</f>
        <v>Will NOT work for them</v>
      </c>
      <c r="J1348" s="1">
        <f ca="1">IFERROR(__xludf.DUMMYFUNCTION("""COMPUTED_VALUE"""),8)</f>
        <v>8</v>
      </c>
      <c r="K1348" s="1" t="str">
        <f ca="1">IFERROR(__xludf.DUMMYFUNCTION("""COMPUTED_VALUE"""),"Fully Remote with No option to visit offices")</f>
        <v>Fully Remote with No option to visit offices</v>
      </c>
      <c r="L1348" s="1" t="str">
        <f ca="1">IFERROR(__xludf.DUMMYFUNCTION("""COMPUTED_VALUE"""),"Employer who appreciates learning and enables that environment")</f>
        <v>Employer who appreciates learning and enables that environment</v>
      </c>
      <c r="M134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348" s="1" t="str">
        <f ca="1">IFERROR(__xludf.DUMMYFUNCTION("""COMPUTED_VALUE"""),"Manager who sets goal and helps me achieve it")</f>
        <v>Manager who sets goal and helps me achieve it</v>
      </c>
      <c r="P1348" s="1" t="str">
        <f ca="1">IFERROR(__xludf.DUMMYFUNCTION("""COMPUTED_VALUE"""),"Work with 2 to 3 people in my team, Work with more than 10 people in my team")</f>
        <v>Work with 2 to 3 people in my team, Work with more than 10 people in my team</v>
      </c>
      <c r="Q1348" s="1"/>
    </row>
    <row r="1349" spans="1:17" ht="13.2" x14ac:dyDescent="0.25">
      <c r="A1349" s="2">
        <f ca="1">IFERROR(__xludf.DUMMYFUNCTION("""COMPUTED_VALUE"""),45044.7432067129)</f>
        <v>45044.743206712898</v>
      </c>
      <c r="B1349" s="1" t="str">
        <f ca="1">IFERROR(__xludf.DUMMYFUNCTION("""COMPUTED_VALUE"""),"India")</f>
        <v>India</v>
      </c>
      <c r="C1349" s="1">
        <f ca="1">IFERROR(__xludf.DUMMYFUNCTION("""COMPUTED_VALUE"""),765002)</f>
        <v>765002</v>
      </c>
      <c r="D1349" s="3" t="str">
        <f ca="1">IFERROR(__xludf.DUMMYFUNCTION("""COMPUTED_VALUE"""),"Male")</f>
        <v>Male</v>
      </c>
      <c r="E1349" s="1" t="str">
        <f ca="1">IFERROR(__xludf.DUMMYFUNCTION("""COMPUTED_VALUE"""),"People who have changed the world for better")</f>
        <v>People who have changed the world for better</v>
      </c>
      <c r="F1349" s="1" t="str">
        <f ca="1">IFERROR(__xludf.DUMMYFUNCTION("""COMPUTED_VALUE"""),"No I would not be pursuing Higher Education outside of India")</f>
        <v>No I would not be pursuing Higher Education outside of India</v>
      </c>
      <c r="G1349" s="1" t="str">
        <f ca="1">IFERROR(__xludf.DUMMYFUNCTION("""COMPUTED_VALUE"""),"This will be hard to do, but if it is the right company I would try")</f>
        <v>This will be hard to do, but if it is the right company I would try</v>
      </c>
      <c r="H1349" s="1" t="str">
        <f ca="1">IFERROR(__xludf.DUMMYFUNCTION("""COMPUTED_VALUE"""),"No")</f>
        <v>No</v>
      </c>
      <c r="I1349" s="1" t="str">
        <f ca="1">IFERROR(__xludf.DUMMYFUNCTION("""COMPUTED_VALUE"""),"Will NOT work for them")</f>
        <v>Will NOT work for them</v>
      </c>
      <c r="J1349" s="1">
        <f ca="1">IFERROR(__xludf.DUMMYFUNCTION("""COMPUTED_VALUE"""),4)</f>
        <v>4</v>
      </c>
      <c r="K1349" s="1" t="str">
        <f ca="1">IFERROR(__xludf.DUMMYFUNCTION("""COMPUTED_VALUE"""),"Hybrid Working Environment with more than 15 days a month at office")</f>
        <v>Hybrid Working Environment with more than 15 days a month at office</v>
      </c>
      <c r="L1349" s="1" t="str">
        <f ca="1">IFERROR(__xludf.DUMMYFUNCTION("""COMPUTED_VALUE"""),"Employer who pushes your limits by enabling an learning environment, and rewards you at the end")</f>
        <v>Employer who pushes your limits by enabling an learning environment, and rewards you at the end</v>
      </c>
      <c r="M13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9"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49" s="1" t="str">
        <f ca="1">IFERROR(__xludf.DUMMYFUNCTION("""COMPUTED_VALUE"""),"Manager who explains what is expected, sets a goal and helps achieve it")</f>
        <v>Manager who explains what is expected, sets a goal and helps achieve it</v>
      </c>
      <c r="P1349" s="1" t="str">
        <f ca="1">IFERROR(__xludf.DUMMYFUNCTION("""COMPUTED_VALUE"""),"Work with 5 to 6 people in my team")</f>
        <v>Work with 5 to 6 people in my team</v>
      </c>
      <c r="Q1349" s="1"/>
    </row>
    <row r="1350" spans="1:17" ht="13.2" x14ac:dyDescent="0.25">
      <c r="A1350" s="2">
        <f ca="1">IFERROR(__xludf.DUMMYFUNCTION("""COMPUTED_VALUE"""),45044.7446685069)</f>
        <v>45044.744668506901</v>
      </c>
      <c r="B1350" s="1" t="str">
        <f ca="1">IFERROR(__xludf.DUMMYFUNCTION("""COMPUTED_VALUE"""),"India")</f>
        <v>India</v>
      </c>
      <c r="C1350" s="1">
        <f ca="1">IFERROR(__xludf.DUMMYFUNCTION("""COMPUTED_VALUE"""),505209)</f>
        <v>505209</v>
      </c>
      <c r="D1350" s="3" t="str">
        <f ca="1">IFERROR(__xludf.DUMMYFUNCTION("""COMPUTED_VALUE"""),"Female")</f>
        <v>Female</v>
      </c>
      <c r="E1350" s="1" t="str">
        <f ca="1">IFERROR(__xludf.DUMMYFUNCTION("""COMPUTED_VALUE"""),"People who have changed the world for better")</f>
        <v>People who have changed the world for better</v>
      </c>
      <c r="F1350" s="1" t="str">
        <f ca="1">IFERROR(__xludf.DUMMYFUNCTION("""COMPUTED_VALUE"""),"Yes, I will earn and do that")</f>
        <v>Yes, I will earn and do that</v>
      </c>
      <c r="G1350" s="1" t="str">
        <f ca="1">IFERROR(__xludf.DUMMYFUNCTION("""COMPUTED_VALUE"""),"This will be hard to do, but if it is the right company I would try")</f>
        <v>This will be hard to do, but if it is the right company I would try</v>
      </c>
      <c r="H1350" s="1" t="str">
        <f ca="1">IFERROR(__xludf.DUMMYFUNCTION("""COMPUTED_VALUE"""),"No")</f>
        <v>No</v>
      </c>
      <c r="I1350" s="1" t="str">
        <f ca="1">IFERROR(__xludf.DUMMYFUNCTION("""COMPUTED_VALUE"""),"Will work for them")</f>
        <v>Will work for them</v>
      </c>
      <c r="J1350" s="1">
        <f ca="1">IFERROR(__xludf.DUMMYFUNCTION("""COMPUTED_VALUE"""),5)</f>
        <v>5</v>
      </c>
      <c r="K1350" s="1" t="str">
        <f ca="1">IFERROR(__xludf.DUMMYFUNCTION("""COMPUTED_VALUE"""),"Fully Remote with Options to travel as and when needed")</f>
        <v>Fully Remote with Options to travel as and when needed</v>
      </c>
      <c r="L1350" s="1" t="str">
        <f ca="1">IFERROR(__xludf.DUMMYFUNCTION("""COMPUTED_VALUE"""),"Employer who pushes your limits by enabling an learning environment, and rewards you at the end")</f>
        <v>Employer who pushes your limits by enabling an learning environment, and rewards you at the end</v>
      </c>
      <c r="M13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350" s="1" t="str">
        <f ca="1">IFERROR(__xludf.DUMMYFUNCTION("""COMPUTED_VALUE"""),"Manager who explains what is expected, sets a goal and helps achieve it")</f>
        <v>Manager who explains what is expected, sets a goal and helps achieve it</v>
      </c>
      <c r="P1350" s="1" t="str">
        <f ca="1">IFERROR(__xludf.DUMMYFUNCTION("""COMPUTED_VALUE"""),"Work with 5 to 6 people in my team")</f>
        <v>Work with 5 to 6 people in my team</v>
      </c>
      <c r="Q1350" s="1"/>
    </row>
    <row r="1351" spans="1:17" ht="13.2" x14ac:dyDescent="0.25">
      <c r="A1351" s="2">
        <f ca="1">IFERROR(__xludf.DUMMYFUNCTION("""COMPUTED_VALUE"""),45044.7457611921)</f>
        <v>45044.745761192098</v>
      </c>
      <c r="B1351" s="1" t="str">
        <f ca="1">IFERROR(__xludf.DUMMYFUNCTION("""COMPUTED_VALUE"""),"India")</f>
        <v>India</v>
      </c>
      <c r="C1351" s="1">
        <f ca="1">IFERROR(__xludf.DUMMYFUNCTION("""COMPUTED_VALUE"""),560107)</f>
        <v>560107</v>
      </c>
      <c r="D1351" s="3" t="str">
        <f ca="1">IFERROR(__xludf.DUMMYFUNCTION("""COMPUTED_VALUE"""),"Male")</f>
        <v>Male</v>
      </c>
      <c r="E1351" s="1" t="str">
        <f ca="1">IFERROR(__xludf.DUMMYFUNCTION("""COMPUTED_VALUE"""),"People from my circle, but not family members")</f>
        <v>People from my circle, but not family members</v>
      </c>
      <c r="F1351" s="1" t="str">
        <f ca="1">IFERROR(__xludf.DUMMYFUNCTION("""COMPUTED_VALUE"""),"Yes, I will earn and do that")</f>
        <v>Yes, I will earn and do that</v>
      </c>
      <c r="G1351" s="1" t="str">
        <f ca="1">IFERROR(__xludf.DUMMYFUNCTION("""COMPUTED_VALUE"""),"This will be hard to do, but if it is the right company I would try")</f>
        <v>This will be hard to do, but if it is the right company I would try</v>
      </c>
      <c r="H1351" s="1" t="str">
        <f ca="1">IFERROR(__xludf.DUMMYFUNCTION("""COMPUTED_VALUE"""),"No")</f>
        <v>No</v>
      </c>
      <c r="I1351" s="1" t="str">
        <f ca="1">IFERROR(__xludf.DUMMYFUNCTION("""COMPUTED_VALUE"""),"Will NOT work for them")</f>
        <v>Will NOT work for them</v>
      </c>
      <c r="J1351" s="1">
        <f ca="1">IFERROR(__xludf.DUMMYFUNCTION("""COMPUTED_VALUE"""),2)</f>
        <v>2</v>
      </c>
      <c r="K1351" s="1" t="str">
        <f ca="1">IFERROR(__xludf.DUMMYFUNCTION("""COMPUTED_VALUE"""),"Hybrid Working Environment with more than 15 days a month at office")</f>
        <v>Hybrid Working Environment with more than 15 days a month at office</v>
      </c>
      <c r="L1351" s="1" t="str">
        <f ca="1">IFERROR(__xludf.DUMMYFUNCTION("""COMPUTED_VALUE"""),"Employer who pushes your limits by enabling an learning environment, and rewards you at the end")</f>
        <v>Employer who pushes your limits by enabling an learning environment, and rewards you at the end</v>
      </c>
      <c r="M135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51"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351" s="1" t="str">
        <f ca="1">IFERROR(__xludf.DUMMYFUNCTION("""COMPUTED_VALUE"""),"Manager who explains what is expected, sets a goal and helps achieve it")</f>
        <v>Manager who explains what is expected, sets a goal and helps achieve it</v>
      </c>
      <c r="P1351" s="1" t="str">
        <f ca="1">IFERROR(__xludf.DUMMYFUNCTION("""COMPUTED_VALUE"""),"Work with 5 to 6 people in my team")</f>
        <v>Work with 5 to 6 people in my team</v>
      </c>
      <c r="Q1351" s="1"/>
    </row>
    <row r="1352" spans="1:17" ht="13.2" x14ac:dyDescent="0.25">
      <c r="A1352" s="2">
        <f ca="1">IFERROR(__xludf.DUMMYFUNCTION("""COMPUTED_VALUE"""),45044.7458025925)</f>
        <v>45044.745802592501</v>
      </c>
      <c r="B1352" s="1" t="str">
        <f ca="1">IFERROR(__xludf.DUMMYFUNCTION("""COMPUTED_VALUE"""),"India")</f>
        <v>India</v>
      </c>
      <c r="C1352" s="1">
        <f ca="1">IFERROR(__xludf.DUMMYFUNCTION("""COMPUTED_VALUE"""),505122)</f>
        <v>505122</v>
      </c>
      <c r="D1352" s="3" t="str">
        <f ca="1">IFERROR(__xludf.DUMMYFUNCTION("""COMPUTED_VALUE"""),"Male")</f>
        <v>Male</v>
      </c>
      <c r="E1352" s="1" t="str">
        <f ca="1">IFERROR(__xludf.DUMMYFUNCTION("""COMPUTED_VALUE"""),"People who have changed the world for better")</f>
        <v>People who have changed the world for better</v>
      </c>
      <c r="F1352" s="1" t="str">
        <f ca="1">IFERROR(__xludf.DUMMYFUNCTION("""COMPUTED_VALUE"""),"No I would not be pursuing Higher Education outside of India")</f>
        <v>No I would not be pursuing Higher Education outside of India</v>
      </c>
      <c r="G1352" s="1" t="str">
        <f ca="1">IFERROR(__xludf.DUMMYFUNCTION("""COMPUTED_VALUE"""),"Will work for 3 years or more")</f>
        <v>Will work for 3 years or more</v>
      </c>
      <c r="H1352" s="1" t="str">
        <f ca="1">IFERROR(__xludf.DUMMYFUNCTION("""COMPUTED_VALUE"""),"No")</f>
        <v>No</v>
      </c>
      <c r="I1352" s="1" t="str">
        <f ca="1">IFERROR(__xludf.DUMMYFUNCTION("""COMPUTED_VALUE"""),"Will NOT work for them")</f>
        <v>Will NOT work for them</v>
      </c>
      <c r="J1352" s="1">
        <f ca="1">IFERROR(__xludf.DUMMYFUNCTION("""COMPUTED_VALUE"""),5)</f>
        <v>5</v>
      </c>
      <c r="K1352" s="1" t="str">
        <f ca="1">IFERROR(__xludf.DUMMYFUNCTION("""COMPUTED_VALUE"""),"Fully Remote with Options to travel as and when needed")</f>
        <v>Fully Remote with Options to travel as and when needed</v>
      </c>
      <c r="L1352" s="1" t="str">
        <f ca="1">IFERROR(__xludf.DUMMYFUNCTION("""COMPUTED_VALUE"""),"Employer who pushes your limits by enabling an learning environment, and rewards you at the end")</f>
        <v>Employer who pushes your limits by enabling an learning environment, and rewards you at the end</v>
      </c>
      <c r="M135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52"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352" s="1" t="str">
        <f ca="1">IFERROR(__xludf.DUMMYFUNCTION("""COMPUTED_VALUE"""),"Manager who explains what is expected, sets a goal and helps achieve it")</f>
        <v>Manager who explains what is expected, sets a goal and helps achieve it</v>
      </c>
      <c r="P1352" s="1" t="str">
        <f ca="1">IFERROR(__xludf.DUMMYFUNCTION("""COMPUTED_VALUE"""),"Work with 2 to 3 people in my team")</f>
        <v>Work with 2 to 3 people in my team</v>
      </c>
      <c r="Q1352" s="1"/>
    </row>
    <row r="1353" spans="1:17" ht="13.2" x14ac:dyDescent="0.25">
      <c r="A1353" s="2">
        <f ca="1">IFERROR(__xludf.DUMMYFUNCTION("""COMPUTED_VALUE"""),45044.7481342129)</f>
        <v>45044.748134212903</v>
      </c>
      <c r="B1353" s="1" t="str">
        <f ca="1">IFERROR(__xludf.DUMMYFUNCTION("""COMPUTED_VALUE"""),"India")</f>
        <v>India</v>
      </c>
      <c r="C1353" s="1">
        <f ca="1">IFERROR(__xludf.DUMMYFUNCTION("""COMPUTED_VALUE"""),763002)</f>
        <v>763002</v>
      </c>
      <c r="D1353" s="3" t="str">
        <f ca="1">IFERROR(__xludf.DUMMYFUNCTION("""COMPUTED_VALUE"""),"Female")</f>
        <v>Female</v>
      </c>
      <c r="E1353" s="1" t="str">
        <f ca="1">IFERROR(__xludf.DUMMYFUNCTION("""COMPUTED_VALUE"""),"My Parents")</f>
        <v>My Parents</v>
      </c>
      <c r="F1353" s="1" t="str">
        <f ca="1">IFERROR(__xludf.DUMMYFUNCTION("""COMPUTED_VALUE"""),"Yes, I will earn and do that")</f>
        <v>Yes, I will earn and do that</v>
      </c>
      <c r="G1353" s="1" t="str">
        <f ca="1">IFERROR(__xludf.DUMMYFUNCTION("""COMPUTED_VALUE"""),"Will work for 3 years or more")</f>
        <v>Will work for 3 years or more</v>
      </c>
      <c r="H1353" s="1" t="str">
        <f ca="1">IFERROR(__xludf.DUMMYFUNCTION("""COMPUTED_VALUE"""),"No")</f>
        <v>No</v>
      </c>
      <c r="I1353" s="1" t="str">
        <f ca="1">IFERROR(__xludf.DUMMYFUNCTION("""COMPUTED_VALUE"""),"Will NOT work for them")</f>
        <v>Will NOT work for them</v>
      </c>
      <c r="J1353" s="1">
        <f ca="1">IFERROR(__xludf.DUMMYFUNCTION("""COMPUTED_VALUE"""),7)</f>
        <v>7</v>
      </c>
      <c r="K1353" s="1" t="str">
        <f ca="1">IFERROR(__xludf.DUMMYFUNCTION("""COMPUTED_VALUE"""),"Fully Remote with No option to visit offices")</f>
        <v>Fully Remote with No option to visit offices</v>
      </c>
      <c r="L1353" s="1" t="str">
        <f ca="1">IFERROR(__xludf.DUMMYFUNCTION("""COMPUTED_VALUE"""),"Employer who appreciates learning and enables that environment")</f>
        <v>Employer who appreciates learning and enables that environment</v>
      </c>
      <c r="M1353" s="1" t="str">
        <f ca="1">IFERROR(__xludf.DUMMYFUNCTION("""COMPUTED_VALUE"""),"Self Paced Learning Portals of the Company, Instructor or Expert Learning Programs, Manager Teaching you")</f>
        <v>Self Paced Learning Portals of the Company, Instructor or Expert Learning Programs, Manager Teaching you</v>
      </c>
      <c r="N1353"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353" s="1" t="str">
        <f ca="1">IFERROR(__xludf.DUMMYFUNCTION("""COMPUTED_VALUE"""),"Manager who sets targets and expects me to achieve it")</f>
        <v>Manager who sets targets and expects me to achieve it</v>
      </c>
      <c r="P1353" s="1" t="str">
        <f ca="1">IFERROR(__xludf.DUMMYFUNCTION("""COMPUTED_VALUE"""),"Work with 5 to 6 people in my team")</f>
        <v>Work with 5 to 6 people in my team</v>
      </c>
      <c r="Q1353" s="1"/>
    </row>
    <row r="1354" spans="1:17" ht="13.2" x14ac:dyDescent="0.25">
      <c r="A1354" s="2">
        <f ca="1">IFERROR(__xludf.DUMMYFUNCTION("""COMPUTED_VALUE"""),45044.7494698611)</f>
        <v>45044.749469861097</v>
      </c>
      <c r="B1354" s="1" t="str">
        <f ca="1">IFERROR(__xludf.DUMMYFUNCTION("""COMPUTED_VALUE"""),"India")</f>
        <v>India</v>
      </c>
      <c r="C1354" s="1">
        <f ca="1">IFERROR(__xludf.DUMMYFUNCTION("""COMPUTED_VALUE"""),500072)</f>
        <v>500072</v>
      </c>
      <c r="D1354" s="3" t="str">
        <f ca="1">IFERROR(__xludf.DUMMYFUNCTION("""COMPUTED_VALUE"""),"Female")</f>
        <v>Female</v>
      </c>
      <c r="E1354" s="1" t="str">
        <f ca="1">IFERROR(__xludf.DUMMYFUNCTION("""COMPUTED_VALUE"""),"My Parents")</f>
        <v>My Parents</v>
      </c>
      <c r="F1354" s="1" t="str">
        <f ca="1">IFERROR(__xludf.DUMMYFUNCTION("""COMPUTED_VALUE"""),"No I would not be pursuing Higher Education outside of India")</f>
        <v>No I would not be pursuing Higher Education outside of India</v>
      </c>
      <c r="G1354" s="1" t="str">
        <f ca="1">IFERROR(__xludf.DUMMYFUNCTION("""COMPUTED_VALUE"""),"Will work for 3 years or more")</f>
        <v>Will work for 3 years or more</v>
      </c>
      <c r="H1354" s="1" t="str">
        <f ca="1">IFERROR(__xludf.DUMMYFUNCTION("""COMPUTED_VALUE"""),"No")</f>
        <v>No</v>
      </c>
      <c r="I1354" s="1" t="str">
        <f ca="1">IFERROR(__xludf.DUMMYFUNCTION("""COMPUTED_VALUE"""),"Will NOT work for them")</f>
        <v>Will NOT work for them</v>
      </c>
      <c r="J1354" s="1">
        <f ca="1">IFERROR(__xludf.DUMMYFUNCTION("""COMPUTED_VALUE"""),1)</f>
        <v>1</v>
      </c>
      <c r="K1354" s="1" t="str">
        <f ca="1">IFERROR(__xludf.DUMMYFUNCTION("""COMPUTED_VALUE"""),"Fully Remote with No option to visit offices")</f>
        <v>Fully Remote with No option to visit offices</v>
      </c>
      <c r="L1354" s="1" t="str">
        <f ca="1">IFERROR(__xludf.DUMMYFUNCTION("""COMPUTED_VALUE"""),"Employer who appreciates learning and enables that environment")</f>
        <v>Employer who appreciates learning and enables that environment</v>
      </c>
      <c r="M1354" s="1" t="str">
        <f ca="1">IFERROR(__xludf.DUMMYFUNCTION("""COMPUTED_VALUE"""),"Instructor or Expert Learning Programs, Learning by observing others, Manager Teaching you")</f>
        <v>Instructor or Expert Learning Programs, Learning by observing others, Manager Teaching you</v>
      </c>
      <c r="N135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354" s="1" t="str">
        <f ca="1">IFERROR(__xludf.DUMMYFUNCTION("""COMPUTED_VALUE"""),"Manager who clearly describes what she/he needs")</f>
        <v>Manager who clearly describes what she/he needs</v>
      </c>
      <c r="P1354" s="1" t="str">
        <f ca="1">IFERROR(__xludf.DUMMYFUNCTION("""COMPUTED_VALUE"""),"Work with 5 to 6 people in my team")</f>
        <v>Work with 5 to 6 people in my team</v>
      </c>
      <c r="Q1354" s="1"/>
    </row>
    <row r="1355" spans="1:17" ht="13.2" x14ac:dyDescent="0.25">
      <c r="A1355" s="2">
        <f ca="1">IFERROR(__xludf.DUMMYFUNCTION("""COMPUTED_VALUE"""),45044.7495181481)</f>
        <v>45044.749518148099</v>
      </c>
      <c r="B1355" s="1" t="str">
        <f ca="1">IFERROR(__xludf.DUMMYFUNCTION("""COMPUTED_VALUE"""),"India")</f>
        <v>India</v>
      </c>
      <c r="C1355" s="1">
        <f ca="1">IFERROR(__xludf.DUMMYFUNCTION("""COMPUTED_VALUE"""),505208)</f>
        <v>505208</v>
      </c>
      <c r="D1355" s="3" t="str">
        <f ca="1">IFERROR(__xludf.DUMMYFUNCTION("""COMPUTED_VALUE"""),"Female")</f>
        <v>Female</v>
      </c>
      <c r="E1355" s="1" t="str">
        <f ca="1">IFERROR(__xludf.DUMMYFUNCTION("""COMPUTED_VALUE"""),"My Parents")</f>
        <v>My Parents</v>
      </c>
      <c r="F1355" s="1" t="str">
        <f ca="1">IFERROR(__xludf.DUMMYFUNCTION("""COMPUTED_VALUE"""),"Yes, I will earn and do that")</f>
        <v>Yes, I will earn and do that</v>
      </c>
      <c r="G1355" s="1" t="str">
        <f ca="1">IFERROR(__xludf.DUMMYFUNCTION("""COMPUTED_VALUE"""),"This will be hard to do, but if it is the right company I would try")</f>
        <v>This will be hard to do, but if it is the right company I would try</v>
      </c>
      <c r="H1355" s="1" t="str">
        <f ca="1">IFERROR(__xludf.DUMMYFUNCTION("""COMPUTED_VALUE"""),"No")</f>
        <v>No</v>
      </c>
      <c r="I1355" s="1" t="str">
        <f ca="1">IFERROR(__xludf.DUMMYFUNCTION("""COMPUTED_VALUE"""),"Will NOT work for them")</f>
        <v>Will NOT work for them</v>
      </c>
      <c r="J1355" s="1">
        <f ca="1">IFERROR(__xludf.DUMMYFUNCTION("""COMPUTED_VALUE"""),1)</f>
        <v>1</v>
      </c>
      <c r="K1355" s="1" t="str">
        <f ca="1">IFERROR(__xludf.DUMMYFUNCTION("""COMPUTED_VALUE"""),"Fully Remote with Options to travel as and when needed")</f>
        <v>Fully Remote with Options to travel as and when needed</v>
      </c>
      <c r="L1355" s="1" t="str">
        <f ca="1">IFERROR(__xludf.DUMMYFUNCTION("""COMPUTED_VALUE"""),"Employer who appreciates learning and enables that environment")</f>
        <v>Employer who appreciates learning and enables that environment</v>
      </c>
      <c r="M135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5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55" s="1" t="str">
        <f ca="1">IFERROR(__xludf.DUMMYFUNCTION("""COMPUTED_VALUE"""),"Manager who sets targets and expects me to achieve it")</f>
        <v>Manager who sets targets and expects me to achieve it</v>
      </c>
      <c r="P1355" s="1" t="str">
        <f ca="1">IFERROR(__xludf.DUMMYFUNCTION("""COMPUTED_VALUE"""),"Work with 2 to 3 people in my team")</f>
        <v>Work with 2 to 3 people in my team</v>
      </c>
      <c r="Q1355" s="1"/>
    </row>
    <row r="1356" spans="1:17" ht="13.2" x14ac:dyDescent="0.25">
      <c r="A1356" s="2">
        <f ca="1">IFERROR(__xludf.DUMMYFUNCTION("""COMPUTED_VALUE"""),45044.7497099421)</f>
        <v>45044.749709942102</v>
      </c>
      <c r="B1356" s="1" t="str">
        <f ca="1">IFERROR(__xludf.DUMMYFUNCTION("""COMPUTED_VALUE"""),"India")</f>
        <v>India</v>
      </c>
      <c r="C1356" s="1">
        <f ca="1">IFERROR(__xludf.DUMMYFUNCTION("""COMPUTED_VALUE"""),560068)</f>
        <v>560068</v>
      </c>
      <c r="D1356" s="3" t="str">
        <f ca="1">IFERROR(__xludf.DUMMYFUNCTION("""COMPUTED_VALUE"""),"Female")</f>
        <v>Female</v>
      </c>
      <c r="E1356" s="1" t="str">
        <f ca="1">IFERROR(__xludf.DUMMYFUNCTION("""COMPUTED_VALUE"""),"People from my circle, but not family members")</f>
        <v>People from my circle, but not family members</v>
      </c>
      <c r="F1356" s="1" t="str">
        <f ca="1">IFERROR(__xludf.DUMMYFUNCTION("""COMPUTED_VALUE"""),"Yes, I will earn and do that")</f>
        <v>Yes, I will earn and do that</v>
      </c>
      <c r="G1356" s="1" t="str">
        <f ca="1">IFERROR(__xludf.DUMMYFUNCTION("""COMPUTED_VALUE"""),"Will work for 3 years or more")</f>
        <v>Will work for 3 years or more</v>
      </c>
      <c r="H1356" s="1" t="str">
        <f ca="1">IFERROR(__xludf.DUMMYFUNCTION("""COMPUTED_VALUE"""),"No")</f>
        <v>No</v>
      </c>
      <c r="I1356" s="1" t="str">
        <f ca="1">IFERROR(__xludf.DUMMYFUNCTION("""COMPUTED_VALUE"""),"Will NOT work for them")</f>
        <v>Will NOT work for them</v>
      </c>
      <c r="J1356" s="1">
        <f ca="1">IFERROR(__xludf.DUMMYFUNCTION("""COMPUTED_VALUE"""),8)</f>
        <v>8</v>
      </c>
      <c r="K1356" s="1" t="str">
        <f ca="1">IFERROR(__xludf.DUMMYFUNCTION("""COMPUTED_VALUE"""),"Hybrid Working Environment with more than 15 days a month at office")</f>
        <v>Hybrid Working Environment with more than 15 days a month at office</v>
      </c>
      <c r="L1356" s="1" t="str">
        <f ca="1">IFERROR(__xludf.DUMMYFUNCTION("""COMPUTED_VALUE"""),"Employer who pushes your limits by enabling an learning environment, and rewards you at the end")</f>
        <v>Employer who pushes your limits by enabling an learning environment, and rewards you at the end</v>
      </c>
      <c r="M13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56" s="1" t="str">
        <f ca="1">IFERROR(__xludf.DUMMYFUNCTION("""COMPUTED_VALUE"""),"Manager who explains what is expected, sets a goal and helps achieve it")</f>
        <v>Manager who explains what is expected, sets a goal and helps achieve it</v>
      </c>
      <c r="P1356" s="1" t="str">
        <f ca="1">IFERROR(__xludf.DUMMYFUNCTION("""COMPUTED_VALUE"""),"Work with 5 to 6 people in my team")</f>
        <v>Work with 5 to 6 people in my team</v>
      </c>
      <c r="Q1356" s="1"/>
    </row>
    <row r="1357" spans="1:17" ht="13.2" x14ac:dyDescent="0.25">
      <c r="A1357" s="2">
        <f ca="1">IFERROR(__xludf.DUMMYFUNCTION("""COMPUTED_VALUE"""),45044.7497099421)</f>
        <v>45044.749709942102</v>
      </c>
      <c r="B1357" s="1" t="str">
        <f ca="1">IFERROR(__xludf.DUMMYFUNCTION("""COMPUTED_VALUE"""),"India")</f>
        <v>India</v>
      </c>
      <c r="C1357" s="1">
        <f ca="1">IFERROR(__xludf.DUMMYFUNCTION("""COMPUTED_VALUE"""),600054)</f>
        <v>600054</v>
      </c>
      <c r="D1357" s="3" t="str">
        <f ca="1">IFERROR(__xludf.DUMMYFUNCTION("""COMPUTED_VALUE"""),"Female")</f>
        <v>Female</v>
      </c>
      <c r="E1357" s="1" t="str">
        <f ca="1">IFERROR(__xludf.DUMMYFUNCTION("""COMPUTED_VALUE"""),"Influencers who had successful careers")</f>
        <v>Influencers who had successful careers</v>
      </c>
      <c r="F1357" s="1" t="str">
        <f ca="1">IFERROR(__xludf.DUMMYFUNCTION("""COMPUTED_VALUE"""),"No, But if someone could bare the cost I will")</f>
        <v>No, But if someone could bare the cost I will</v>
      </c>
      <c r="G1357" s="1" t="str">
        <f ca="1">IFERROR(__xludf.DUMMYFUNCTION("""COMPUTED_VALUE"""),"This will be hard to do, but if it is the right company I would try")</f>
        <v>This will be hard to do, but if it is the right company I would try</v>
      </c>
      <c r="H1357" s="1" t="str">
        <f ca="1">IFERROR(__xludf.DUMMYFUNCTION("""COMPUTED_VALUE"""),"No")</f>
        <v>No</v>
      </c>
      <c r="I1357" s="1" t="str">
        <f ca="1">IFERROR(__xludf.DUMMYFUNCTION("""COMPUTED_VALUE"""),"Will work for them")</f>
        <v>Will work for them</v>
      </c>
      <c r="J1357" s="1">
        <f ca="1">IFERROR(__xludf.DUMMYFUNCTION("""COMPUTED_VALUE"""),6)</f>
        <v>6</v>
      </c>
      <c r="K1357" s="1" t="str">
        <f ca="1">IFERROR(__xludf.DUMMYFUNCTION("""COMPUTED_VALUE"""),"Hybrid Working Environment with more than 15 days a month at office")</f>
        <v>Hybrid Working Environment with more than 15 days a month at office</v>
      </c>
      <c r="L1357" s="1" t="str">
        <f ca="1">IFERROR(__xludf.DUMMYFUNCTION("""COMPUTED_VALUE"""),"Employer who pushes your limits by enabling an learning environment, and rewards you at the end")</f>
        <v>Employer who pushes your limits by enabling an learning environment, and rewards you at the end</v>
      </c>
      <c r="M135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7"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357" s="1" t="str">
        <f ca="1">IFERROR(__xludf.DUMMYFUNCTION("""COMPUTED_VALUE"""),"Manager who explains what is expected, sets a goal and helps achieve it")</f>
        <v>Manager who explains what is expected, sets a goal and helps achieve it</v>
      </c>
      <c r="P1357" s="1" t="str">
        <f ca="1">IFERROR(__xludf.DUMMYFUNCTION("""COMPUTED_VALUE"""),"Work with 2 to 3 people in my team, Work with 5 to 6 people in my team")</f>
        <v>Work with 2 to 3 people in my team, Work with 5 to 6 people in my team</v>
      </c>
      <c r="Q1357" s="1"/>
    </row>
    <row r="1358" spans="1:17" ht="13.2" x14ac:dyDescent="0.25">
      <c r="A1358" s="2">
        <f ca="1">IFERROR(__xludf.DUMMYFUNCTION("""COMPUTED_VALUE"""),45044.7506181944)</f>
        <v>45044.750618194397</v>
      </c>
      <c r="B1358" s="1" t="str">
        <f ca="1">IFERROR(__xludf.DUMMYFUNCTION("""COMPUTED_VALUE"""),"India")</f>
        <v>India</v>
      </c>
      <c r="C1358" s="1">
        <f ca="1">IFERROR(__xludf.DUMMYFUNCTION("""COMPUTED_VALUE"""),560107)</f>
        <v>560107</v>
      </c>
      <c r="D1358" s="3" t="str">
        <f ca="1">IFERROR(__xludf.DUMMYFUNCTION("""COMPUTED_VALUE"""),"Male")</f>
        <v>Male</v>
      </c>
      <c r="E1358" s="1" t="str">
        <f ca="1">IFERROR(__xludf.DUMMYFUNCTION("""COMPUTED_VALUE"""),"People from my circle, but not family members")</f>
        <v>People from my circle, but not family members</v>
      </c>
      <c r="F1358" s="1" t="str">
        <f ca="1">IFERROR(__xludf.DUMMYFUNCTION("""COMPUTED_VALUE"""),"No, But if someone could bare the cost I will")</f>
        <v>No, But if someone could bare the cost I will</v>
      </c>
      <c r="G1358" s="1" t="str">
        <f ca="1">IFERROR(__xludf.DUMMYFUNCTION("""COMPUTED_VALUE"""),"This will be hard to do, but if it is the right company I would try")</f>
        <v>This will be hard to do, but if it is the right company I would try</v>
      </c>
      <c r="H1358" s="1" t="str">
        <f ca="1">IFERROR(__xludf.DUMMYFUNCTION("""COMPUTED_VALUE"""),"No")</f>
        <v>No</v>
      </c>
      <c r="I1358" s="1" t="str">
        <f ca="1">IFERROR(__xludf.DUMMYFUNCTION("""COMPUTED_VALUE"""),"Will NOT work for them")</f>
        <v>Will NOT work for them</v>
      </c>
      <c r="J1358" s="1">
        <f ca="1">IFERROR(__xludf.DUMMYFUNCTION("""COMPUTED_VALUE"""),5)</f>
        <v>5</v>
      </c>
      <c r="K1358" s="1" t="str">
        <f ca="1">IFERROR(__xludf.DUMMYFUNCTION("""COMPUTED_VALUE"""),"Hybrid Working Environment with more than 15 days a month at office")</f>
        <v>Hybrid Working Environment with more than 15 days a month at office</v>
      </c>
      <c r="L1358" s="1" t="str">
        <f ca="1">IFERROR(__xludf.DUMMYFUNCTION("""COMPUTED_VALUE"""),"Employer who pushes your limits by enabling an learning environment, and rewards you at the end")</f>
        <v>Employer who pushes your limits by enabling an learning environment, and rewards you at the end</v>
      </c>
      <c r="M135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358" s="1" t="str">
        <f ca="1">IFERROR(__xludf.DUMMYFUNCTION("""COMPUTED_VALUE"""),"Business Operations in any organization, Build and develop a Team, Work in a BPO setup for some well known client, Manufacturing / Oil and Gas/ Construction / Hard Physical Work related")</f>
        <v>Business Operations in any organization, Build and develop a Team, Work in a BPO setup for some well known client, Manufacturing / Oil and Gas/ Construction / Hard Physical Work related</v>
      </c>
      <c r="O1358" s="1" t="str">
        <f ca="1">IFERROR(__xludf.DUMMYFUNCTION("""COMPUTED_VALUE"""),"Manager who sets goal and helps me achieve it")</f>
        <v>Manager who sets goal and helps me achieve it</v>
      </c>
      <c r="P1358" s="1" t="str">
        <f ca="1">IFERROR(__xludf.DUMMYFUNCTION("""COMPUTED_VALUE"""),"Work with 5 to 6 people in my team")</f>
        <v>Work with 5 to 6 people in my team</v>
      </c>
      <c r="Q1358" s="1"/>
    </row>
    <row r="1359" spans="1:17" ht="13.2" x14ac:dyDescent="0.25">
      <c r="A1359" s="2">
        <f ca="1">IFERROR(__xludf.DUMMYFUNCTION("""COMPUTED_VALUE"""),45044.7513010995)</f>
        <v>45044.751301099503</v>
      </c>
      <c r="B1359" s="1" t="str">
        <f ca="1">IFERROR(__xludf.DUMMYFUNCTION("""COMPUTED_VALUE"""),"India")</f>
        <v>India</v>
      </c>
      <c r="C1359" s="1">
        <f ca="1">IFERROR(__xludf.DUMMYFUNCTION("""COMPUTED_VALUE"""),600119)</f>
        <v>600119</v>
      </c>
      <c r="D1359" s="3" t="str">
        <f ca="1">IFERROR(__xludf.DUMMYFUNCTION("""COMPUTED_VALUE"""),"Male")</f>
        <v>Male</v>
      </c>
      <c r="E1359" s="1" t="str">
        <f ca="1">IFERROR(__xludf.DUMMYFUNCTION("""COMPUTED_VALUE"""),"People who have changed the world for better")</f>
        <v>People who have changed the world for better</v>
      </c>
      <c r="F1359" s="1" t="str">
        <f ca="1">IFERROR(__xludf.DUMMYFUNCTION("""COMPUTED_VALUE"""),"Yes, I will earn and do that")</f>
        <v>Yes, I will earn and do that</v>
      </c>
      <c r="G1359" s="1" t="str">
        <f ca="1">IFERROR(__xludf.DUMMYFUNCTION("""COMPUTED_VALUE"""),"Will work for 3 years or more")</f>
        <v>Will work for 3 years or more</v>
      </c>
      <c r="H1359" s="1" t="str">
        <f ca="1">IFERROR(__xludf.DUMMYFUNCTION("""COMPUTED_VALUE"""),"No")</f>
        <v>No</v>
      </c>
      <c r="I1359" s="1" t="str">
        <f ca="1">IFERROR(__xludf.DUMMYFUNCTION("""COMPUTED_VALUE"""),"Will NOT work for them")</f>
        <v>Will NOT work for them</v>
      </c>
      <c r="J1359" s="1">
        <f ca="1">IFERROR(__xludf.DUMMYFUNCTION("""COMPUTED_VALUE"""),10)</f>
        <v>10</v>
      </c>
      <c r="K1359" s="1" t="str">
        <f ca="1">IFERROR(__xludf.DUMMYFUNCTION("""COMPUTED_VALUE"""),"Every Day Office Environment")</f>
        <v>Every Day Office Environment</v>
      </c>
      <c r="L1359" s="1" t="str">
        <f ca="1">IFERROR(__xludf.DUMMYFUNCTION("""COMPUTED_VALUE"""),"Employer who appreciates learning and enables that environment")</f>
        <v>Employer who appreciates learning and enables that environment</v>
      </c>
      <c r="M13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59"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59" s="1" t="str">
        <f ca="1">IFERROR(__xludf.DUMMYFUNCTION("""COMPUTED_VALUE"""),"Manager who explains what is expected, sets a goal and helps achieve it")</f>
        <v>Manager who explains what is expected, sets a goal and helps achieve it</v>
      </c>
      <c r="P1359"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359" s="1"/>
    </row>
    <row r="1360" spans="1:17" ht="13.2" x14ac:dyDescent="0.25">
      <c r="A1360" s="2">
        <f ca="1">IFERROR(__xludf.DUMMYFUNCTION("""COMPUTED_VALUE"""),45044.7567718634)</f>
        <v>45044.756771863402</v>
      </c>
      <c r="B1360" s="1" t="str">
        <f ca="1">IFERROR(__xludf.DUMMYFUNCTION("""COMPUTED_VALUE"""),"India")</f>
        <v>India</v>
      </c>
      <c r="C1360" s="1">
        <f ca="1">IFERROR(__xludf.DUMMYFUNCTION("""COMPUTED_VALUE"""),700082)</f>
        <v>700082</v>
      </c>
      <c r="D1360" s="3" t="str">
        <f ca="1">IFERROR(__xludf.DUMMYFUNCTION("""COMPUTED_VALUE"""),"Male")</f>
        <v>Male</v>
      </c>
      <c r="E1360" s="1" t="str">
        <f ca="1">IFERROR(__xludf.DUMMYFUNCTION("""COMPUTED_VALUE"""),"People from my circle, but not family members")</f>
        <v>People from my circle, but not family members</v>
      </c>
      <c r="F1360" s="1" t="str">
        <f ca="1">IFERROR(__xludf.DUMMYFUNCTION("""COMPUTED_VALUE"""),"No, But if someone could bare the cost I will")</f>
        <v>No, But if someone could bare the cost I will</v>
      </c>
      <c r="G1360" s="1" t="str">
        <f ca="1">IFERROR(__xludf.DUMMYFUNCTION("""COMPUTED_VALUE"""),"Will work for 3 years or more")</f>
        <v>Will work for 3 years or more</v>
      </c>
      <c r="H1360" s="1" t="str">
        <f ca="1">IFERROR(__xludf.DUMMYFUNCTION("""COMPUTED_VALUE"""),"No")</f>
        <v>No</v>
      </c>
      <c r="I1360" s="1" t="str">
        <f ca="1">IFERROR(__xludf.DUMMYFUNCTION("""COMPUTED_VALUE"""),"Will NOT work for them")</f>
        <v>Will NOT work for them</v>
      </c>
      <c r="J1360" s="1">
        <f ca="1">IFERROR(__xludf.DUMMYFUNCTION("""COMPUTED_VALUE"""),6)</f>
        <v>6</v>
      </c>
      <c r="K1360" s="1" t="str">
        <f ca="1">IFERROR(__xludf.DUMMYFUNCTION("""COMPUTED_VALUE"""),"Hybrid Working Environment with more than 15 days a month at office")</f>
        <v>Hybrid Working Environment with more than 15 days a month at office</v>
      </c>
      <c r="L1360" s="1" t="str">
        <f ca="1">IFERROR(__xludf.DUMMYFUNCTION("""COMPUTED_VALUE"""),"Employer who pushes your limits by enabling an learning environment, and rewards you at the end")</f>
        <v>Employer who pushes your limits by enabling an learning environment, and rewards you at the end</v>
      </c>
      <c r="M136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60" s="1" t="str">
        <f ca="1">IFERROR(__xludf.DUMMYFUNCTION("""COMPUTED_VALUE"""),"Manager who sets goal and helps me achieve it")</f>
        <v>Manager who sets goal and helps me achieve it</v>
      </c>
      <c r="P1360" s="1" t="str">
        <f ca="1">IFERROR(__xludf.DUMMYFUNCTION("""COMPUTED_VALUE"""),"Work with 5 to 6 people in my team")</f>
        <v>Work with 5 to 6 people in my team</v>
      </c>
      <c r="Q1360" s="1"/>
    </row>
    <row r="1361" spans="1:17" ht="13.2" x14ac:dyDescent="0.25">
      <c r="A1361" s="2">
        <f ca="1">IFERROR(__xludf.DUMMYFUNCTION("""COMPUTED_VALUE"""),45044.7724836458)</f>
        <v>45044.7724836458</v>
      </c>
      <c r="B1361" s="1" t="str">
        <f ca="1">IFERROR(__xludf.DUMMYFUNCTION("""COMPUTED_VALUE"""),"India")</f>
        <v>India</v>
      </c>
      <c r="C1361" s="1">
        <f ca="1">IFERROR(__xludf.DUMMYFUNCTION("""COMPUTED_VALUE"""),530004)</f>
        <v>530004</v>
      </c>
      <c r="D1361" s="3" t="str">
        <f ca="1">IFERROR(__xludf.DUMMYFUNCTION("""COMPUTED_VALUE"""),"Female")</f>
        <v>Female</v>
      </c>
      <c r="E1361" s="1" t="str">
        <f ca="1">IFERROR(__xludf.DUMMYFUNCTION("""COMPUTED_VALUE"""),"My Parents")</f>
        <v>My Parents</v>
      </c>
      <c r="F1361" s="1" t="str">
        <f ca="1">IFERROR(__xludf.DUMMYFUNCTION("""COMPUTED_VALUE"""),"No, But if someone could bare the cost I will")</f>
        <v>No, But if someone could bare the cost I will</v>
      </c>
      <c r="G1361" s="1" t="str">
        <f ca="1">IFERROR(__xludf.DUMMYFUNCTION("""COMPUTED_VALUE"""),"This will be hard to do, but if it is the right company I would try")</f>
        <v>This will be hard to do, but if it is the right company I would try</v>
      </c>
      <c r="H1361" s="1" t="str">
        <f ca="1">IFERROR(__xludf.DUMMYFUNCTION("""COMPUTED_VALUE"""),"Yes")</f>
        <v>Yes</v>
      </c>
      <c r="I1361" s="1" t="str">
        <f ca="1">IFERROR(__xludf.DUMMYFUNCTION("""COMPUTED_VALUE"""),"Will work for them")</f>
        <v>Will work for them</v>
      </c>
      <c r="J1361" s="1">
        <f ca="1">IFERROR(__xludf.DUMMYFUNCTION("""COMPUTED_VALUE"""),1)</f>
        <v>1</v>
      </c>
      <c r="K1361" s="1" t="str">
        <f ca="1">IFERROR(__xludf.DUMMYFUNCTION("""COMPUTED_VALUE"""),"Hybrid Working Environment with less than 3 days a month at office")</f>
        <v>Hybrid Working Environment with less than 3 days a month at office</v>
      </c>
      <c r="L1361" s="1" t="str">
        <f ca="1">IFERROR(__xludf.DUMMYFUNCTION("""COMPUTED_VALUE"""),"Employer who pushes your limits by enabling an learning environment, and rewards you at the end")</f>
        <v>Employer who pushes your limits by enabling an learning environment, and rewards you at the end</v>
      </c>
      <c r="M136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61" s="1" t="str">
        <f ca="1">IFERROR(__xludf.DUMMYFUNCTION("""COMPUTED_VALUE"""),"Manager who sets goal and helps me achieve it")</f>
        <v>Manager who sets goal and helps me achieve it</v>
      </c>
      <c r="P1361" s="1" t="str">
        <f ca="1">IFERROR(__xludf.DUMMYFUNCTION("""COMPUTED_VALUE"""),"Work alone")</f>
        <v>Work alone</v>
      </c>
      <c r="Q1361" s="1"/>
    </row>
    <row r="1362" spans="1:17" ht="13.2" x14ac:dyDescent="0.25">
      <c r="A1362" s="2">
        <f ca="1">IFERROR(__xludf.DUMMYFUNCTION("""COMPUTED_VALUE"""),45044.7733641782)</f>
        <v>45044.773364178203</v>
      </c>
      <c r="B1362" s="1" t="str">
        <f ca="1">IFERROR(__xludf.DUMMYFUNCTION("""COMPUTED_VALUE"""),"India")</f>
        <v>India</v>
      </c>
      <c r="C1362" s="1">
        <f ca="1">IFERROR(__xludf.DUMMYFUNCTION("""COMPUTED_VALUE"""),190015)</f>
        <v>190015</v>
      </c>
      <c r="D1362" s="3" t="str">
        <f ca="1">IFERROR(__xludf.DUMMYFUNCTION("""COMPUTED_VALUE"""),"Female")</f>
        <v>Female</v>
      </c>
      <c r="E1362" s="1" t="str">
        <f ca="1">IFERROR(__xludf.DUMMYFUNCTION("""COMPUTED_VALUE"""),"My Parents")</f>
        <v>My Parents</v>
      </c>
      <c r="F1362" s="1" t="str">
        <f ca="1">IFERROR(__xludf.DUMMYFUNCTION("""COMPUTED_VALUE"""),"Yes, I will earn and do that")</f>
        <v>Yes, I will earn and do that</v>
      </c>
      <c r="G1362" s="1" t="str">
        <f ca="1">IFERROR(__xludf.DUMMYFUNCTION("""COMPUTED_VALUE"""),"No way")</f>
        <v>No way</v>
      </c>
      <c r="H1362" s="1" t="str">
        <f ca="1">IFERROR(__xludf.DUMMYFUNCTION("""COMPUTED_VALUE"""),"No")</f>
        <v>No</v>
      </c>
      <c r="I1362" s="1" t="str">
        <f ca="1">IFERROR(__xludf.DUMMYFUNCTION("""COMPUTED_VALUE"""),"Will NOT work for them")</f>
        <v>Will NOT work for them</v>
      </c>
      <c r="J1362" s="1">
        <f ca="1">IFERROR(__xludf.DUMMYFUNCTION("""COMPUTED_VALUE"""),6)</f>
        <v>6</v>
      </c>
      <c r="K1362" s="1" t="str">
        <f ca="1">IFERROR(__xludf.DUMMYFUNCTION("""COMPUTED_VALUE"""),"Hybrid Working Environment with less than 3 days a month at office")</f>
        <v>Hybrid Working Environment with less than 3 days a month at office</v>
      </c>
      <c r="L1362" s="1" t="str">
        <f ca="1">IFERROR(__xludf.DUMMYFUNCTION("""COMPUTED_VALUE"""),"Employer who rewards learning and enables that environment")</f>
        <v>Employer who rewards learning and enables that environment</v>
      </c>
      <c r="M136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62"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362" s="1" t="str">
        <f ca="1">IFERROR(__xludf.DUMMYFUNCTION("""COMPUTED_VALUE"""),"Manager who sets goal and helps me achieve it")</f>
        <v>Manager who sets goal and helps me achieve it</v>
      </c>
      <c r="P1362" s="1" t="str">
        <f ca="1">IFERROR(__xludf.DUMMYFUNCTION("""COMPUTED_VALUE"""),"Work with more than 10 people in my team")</f>
        <v>Work with more than 10 people in my team</v>
      </c>
      <c r="Q1362" s="1"/>
    </row>
    <row r="1363" spans="1:17" ht="13.2" x14ac:dyDescent="0.25">
      <c r="A1363" s="2">
        <f ca="1">IFERROR(__xludf.DUMMYFUNCTION("""COMPUTED_VALUE"""),45044.7804307638)</f>
        <v>45044.7804307638</v>
      </c>
      <c r="B1363" s="1" t="str">
        <f ca="1">IFERROR(__xludf.DUMMYFUNCTION("""COMPUTED_VALUE"""),"India")</f>
        <v>India</v>
      </c>
      <c r="C1363" s="1">
        <f ca="1">IFERROR(__xludf.DUMMYFUNCTION("""COMPUTED_VALUE"""),110062)</f>
        <v>110062</v>
      </c>
      <c r="D1363" s="3" t="str">
        <f ca="1">IFERROR(__xludf.DUMMYFUNCTION("""COMPUTED_VALUE"""),"Male")</f>
        <v>Male</v>
      </c>
      <c r="E1363" s="1" t="str">
        <f ca="1">IFERROR(__xludf.DUMMYFUNCTION("""COMPUTED_VALUE"""),"People who have changed the world for better")</f>
        <v>People who have changed the world for better</v>
      </c>
      <c r="F1363" s="1" t="str">
        <f ca="1">IFERROR(__xludf.DUMMYFUNCTION("""COMPUTED_VALUE"""),"Yes, I will earn and do that")</f>
        <v>Yes, I will earn and do that</v>
      </c>
      <c r="G1363" s="1" t="str">
        <f ca="1">IFERROR(__xludf.DUMMYFUNCTION("""COMPUTED_VALUE"""),"This will be hard to do, but if it is the right company I would try")</f>
        <v>This will be hard to do, but if it is the right company I would try</v>
      </c>
      <c r="H1363" s="1" t="str">
        <f ca="1">IFERROR(__xludf.DUMMYFUNCTION("""COMPUTED_VALUE"""),"Yes")</f>
        <v>Yes</v>
      </c>
      <c r="I1363" s="1" t="str">
        <f ca="1">IFERROR(__xludf.DUMMYFUNCTION("""COMPUTED_VALUE"""),"Will work for them")</f>
        <v>Will work for them</v>
      </c>
      <c r="J1363" s="1">
        <f ca="1">IFERROR(__xludf.DUMMYFUNCTION("""COMPUTED_VALUE"""),10)</f>
        <v>10</v>
      </c>
      <c r="K1363" s="1" t="str">
        <f ca="1">IFERROR(__xludf.DUMMYFUNCTION("""COMPUTED_VALUE"""),"Hybrid Working Environment with more than 15 days a month at office")</f>
        <v>Hybrid Working Environment with more than 15 days a month at office</v>
      </c>
      <c r="L1363" s="1" t="str">
        <f ca="1">IFERROR(__xludf.DUMMYFUNCTION("""COMPUTED_VALUE"""),"Employer who pushes your limits by enabling an learning environment, and rewards you at the end")</f>
        <v>Employer who pushes your limits by enabling an learning environment, and rewards you at the end</v>
      </c>
      <c r="M136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3" s="1" t="str">
        <f ca="1">IFERROR(__xludf.DUMMYFUNCTION("""COMPUTED_VALUE"""),"Design and Develop amazing software, Entrepreneur or Start Up, An Artificial Intelligence Specialist / Talking to Robots, Manufacturing / Oil and Gas/ Construction / Hard Physical Work related")</f>
        <v>Design and Develop amazing software, Entrepreneur or Start Up, An Artificial Intelligence Specialist / Talking to Robots, Manufacturing / Oil and Gas/ Construction / Hard Physical Work related</v>
      </c>
      <c r="O1363" s="1" t="str">
        <f ca="1">IFERROR(__xludf.DUMMYFUNCTION("""COMPUTED_VALUE"""),"Manager who clearly describes what she/he needs")</f>
        <v>Manager who clearly describes what she/he needs</v>
      </c>
      <c r="P1363" s="1" t="str">
        <f ca="1">IFERROR(__xludf.DUMMYFUNCTION("""COMPUTED_VALUE"""),"Work with 5 to 6 people in my team, Work with 7 to 10 or more people in my team")</f>
        <v>Work with 5 to 6 people in my team, Work with 7 to 10 or more people in my team</v>
      </c>
      <c r="Q1363" s="1"/>
    </row>
    <row r="1364" spans="1:17" ht="13.2" x14ac:dyDescent="0.25">
      <c r="A1364" s="2">
        <f ca="1">IFERROR(__xludf.DUMMYFUNCTION("""COMPUTED_VALUE"""),45044.7870348032)</f>
        <v>45044.787034803201</v>
      </c>
      <c r="B1364" s="1" t="str">
        <f ca="1">IFERROR(__xludf.DUMMYFUNCTION("""COMPUTED_VALUE"""),"India")</f>
        <v>India</v>
      </c>
      <c r="C1364" s="1">
        <f ca="1">IFERROR(__xludf.DUMMYFUNCTION("""COMPUTED_VALUE"""),804453)</f>
        <v>804453</v>
      </c>
      <c r="D1364" s="3" t="str">
        <f ca="1">IFERROR(__xludf.DUMMYFUNCTION("""COMPUTED_VALUE"""),"Male")</f>
        <v>Male</v>
      </c>
      <c r="E1364" s="1" t="str">
        <f ca="1">IFERROR(__xludf.DUMMYFUNCTION("""COMPUTED_VALUE"""),"People who have changed the world for better")</f>
        <v>People who have changed the world for better</v>
      </c>
      <c r="F1364" s="1" t="str">
        <f ca="1">IFERROR(__xludf.DUMMYFUNCTION("""COMPUTED_VALUE"""),"Yes, I will earn and do that")</f>
        <v>Yes, I will earn and do that</v>
      </c>
      <c r="G1364" s="1" t="str">
        <f ca="1">IFERROR(__xludf.DUMMYFUNCTION("""COMPUTED_VALUE"""),"Will work for 3 years or more")</f>
        <v>Will work for 3 years or more</v>
      </c>
      <c r="H1364" s="1" t="str">
        <f ca="1">IFERROR(__xludf.DUMMYFUNCTION("""COMPUTED_VALUE"""),"Yes")</f>
        <v>Yes</v>
      </c>
      <c r="I1364" s="1" t="str">
        <f ca="1">IFERROR(__xludf.DUMMYFUNCTION("""COMPUTED_VALUE"""),"Will work for them")</f>
        <v>Will work for them</v>
      </c>
      <c r="J1364" s="1">
        <f ca="1">IFERROR(__xludf.DUMMYFUNCTION("""COMPUTED_VALUE"""),6)</f>
        <v>6</v>
      </c>
      <c r="K1364" s="1" t="str">
        <f ca="1">IFERROR(__xludf.DUMMYFUNCTION("""COMPUTED_VALUE"""),"Fully Remote with Options to travel as and when needed")</f>
        <v>Fully Remote with Options to travel as and when needed</v>
      </c>
      <c r="L1364" s="1" t="str">
        <f ca="1">IFERROR(__xludf.DUMMYFUNCTION("""COMPUTED_VALUE"""),"Employer who appreciates learning and enables that environment")</f>
        <v>Employer who appreciates learning and enables that environment</v>
      </c>
      <c r="M13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64" s="1" t="str">
        <f ca="1">IFERROR(__xludf.DUMMYFUNCTION("""COMPUTED_VALUE"""),"Work as a freelancer and do my thing my way, Become a content Creator in some platform, I Want to sell things/Sales, An Artificial Intelligence Specialist / Talking to Robots")</f>
        <v>Work as a freelancer and do my thing my way, Become a content Creator in some platform, I Want to sell things/Sales, An Artificial Intelligence Specialist / Talking to Robots</v>
      </c>
      <c r="O1364" s="1" t="str">
        <f ca="1">IFERROR(__xludf.DUMMYFUNCTION("""COMPUTED_VALUE"""),"Manager who clearly describes what she/he needs")</f>
        <v>Manager who clearly describes what she/he needs</v>
      </c>
      <c r="P1364" s="1" t="str">
        <f ca="1">IFERROR(__xludf.DUMMYFUNCTION("""COMPUTED_VALUE"""),"Work with 2 to 3 people in my team")</f>
        <v>Work with 2 to 3 people in my team</v>
      </c>
      <c r="Q1364" s="1"/>
    </row>
    <row r="1365" spans="1:17" ht="13.2" x14ac:dyDescent="0.25">
      <c r="A1365" s="2">
        <f ca="1">IFERROR(__xludf.DUMMYFUNCTION("""COMPUTED_VALUE"""),45044.7872483912)</f>
        <v>45044.7872483912</v>
      </c>
      <c r="B1365" s="1" t="str">
        <f ca="1">IFERROR(__xludf.DUMMYFUNCTION("""COMPUTED_VALUE"""),"India")</f>
        <v>India</v>
      </c>
      <c r="C1365" s="1">
        <f ca="1">IFERROR(__xludf.DUMMYFUNCTION("""COMPUTED_VALUE"""),560107)</f>
        <v>560107</v>
      </c>
      <c r="D1365" s="3" t="str">
        <f ca="1">IFERROR(__xludf.DUMMYFUNCTION("""COMPUTED_VALUE"""),"Male")</f>
        <v>Male</v>
      </c>
      <c r="E1365" s="1" t="str">
        <f ca="1">IFERROR(__xludf.DUMMYFUNCTION("""COMPUTED_VALUE"""),"My Parents")</f>
        <v>My Parents</v>
      </c>
      <c r="F1365" s="1" t="str">
        <f ca="1">IFERROR(__xludf.DUMMYFUNCTION("""COMPUTED_VALUE"""),"Yes, I will earn and do that")</f>
        <v>Yes, I will earn and do that</v>
      </c>
      <c r="G1365" s="1" t="str">
        <f ca="1">IFERROR(__xludf.DUMMYFUNCTION("""COMPUTED_VALUE"""),"Will work for 3 years or more")</f>
        <v>Will work for 3 years or more</v>
      </c>
      <c r="H1365" s="1" t="str">
        <f ca="1">IFERROR(__xludf.DUMMYFUNCTION("""COMPUTED_VALUE"""),"Yes")</f>
        <v>Yes</v>
      </c>
      <c r="I1365" s="1" t="str">
        <f ca="1">IFERROR(__xludf.DUMMYFUNCTION("""COMPUTED_VALUE"""),"Will work for them")</f>
        <v>Will work for them</v>
      </c>
      <c r="J1365" s="1">
        <f ca="1">IFERROR(__xludf.DUMMYFUNCTION("""COMPUTED_VALUE"""),1)</f>
        <v>1</v>
      </c>
      <c r="K1365" s="1" t="str">
        <f ca="1">IFERROR(__xludf.DUMMYFUNCTION("""COMPUTED_VALUE"""),"Every Day Office Environment")</f>
        <v>Every Day Office Environment</v>
      </c>
      <c r="L1365" s="1" t="str">
        <f ca="1">IFERROR(__xludf.DUMMYFUNCTION("""COMPUTED_VALUE"""),"Employer who appreciates learning and enables that environment")</f>
        <v>Employer who appreciates learning and enables that environment</v>
      </c>
      <c r="M136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5" s="1" t="str">
        <f ca="1">IFERROR(__xludf.DUMMYFUNCTION("""COMPUTED_VALUE"""),"Work in a BPO setup for some well known client, I Want to sell things/Sales, An Artificial Intelligence Specialist / Talking to Robots, Manufacturing / Oil and Gas/ Construction / Hard Physical Work related")</f>
        <v>Work in a BPO setup for some well known client, I Want to sell things/Sales, An Artificial Intelligence Specialist / Talking to Robots, Manufacturing / Oil and Gas/ Construction / Hard Physical Work related</v>
      </c>
      <c r="O1365" s="1" t="str">
        <f ca="1">IFERROR(__xludf.DUMMYFUNCTION("""COMPUTED_VALUE"""),"Manager who clearly describes what she/he needs")</f>
        <v>Manager who clearly describes what she/he needs</v>
      </c>
      <c r="P1365" s="1" t="str">
        <f ca="1">IFERROR(__xludf.DUMMYFUNCTION("""COMPUTED_VALUE"""),"Work alone, Work with more than 10 people in my team")</f>
        <v>Work alone, Work with more than 10 people in my team</v>
      </c>
      <c r="Q1365" s="1"/>
    </row>
    <row r="1366" spans="1:17" ht="13.2" x14ac:dyDescent="0.25">
      <c r="A1366" s="2">
        <f ca="1">IFERROR(__xludf.DUMMYFUNCTION("""COMPUTED_VALUE"""),45044.7875206481)</f>
        <v>45044.787520648097</v>
      </c>
      <c r="B1366" s="1" t="str">
        <f ca="1">IFERROR(__xludf.DUMMYFUNCTION("""COMPUTED_VALUE"""),"India")</f>
        <v>India</v>
      </c>
      <c r="C1366" s="1">
        <f ca="1">IFERROR(__xludf.DUMMYFUNCTION("""COMPUTED_VALUE"""),560022)</f>
        <v>560022</v>
      </c>
      <c r="D1366" s="3" t="str">
        <f ca="1">IFERROR(__xludf.DUMMYFUNCTION("""COMPUTED_VALUE"""),"Male")</f>
        <v>Male</v>
      </c>
      <c r="E1366" s="1" t="str">
        <f ca="1">IFERROR(__xludf.DUMMYFUNCTION("""COMPUTED_VALUE"""),"People who have changed the world for better")</f>
        <v>People who have changed the world for better</v>
      </c>
      <c r="F1366" s="1" t="str">
        <f ca="1">IFERROR(__xludf.DUMMYFUNCTION("""COMPUTED_VALUE"""),"Yes, I will earn and do that")</f>
        <v>Yes, I will earn and do that</v>
      </c>
      <c r="G1366" s="1" t="str">
        <f ca="1">IFERROR(__xludf.DUMMYFUNCTION("""COMPUTED_VALUE"""),"This will be hard to do, but if it is the right company I would try")</f>
        <v>This will be hard to do, but if it is the right company I would try</v>
      </c>
      <c r="H1366" s="1" t="str">
        <f ca="1">IFERROR(__xludf.DUMMYFUNCTION("""COMPUTED_VALUE"""),"No")</f>
        <v>No</v>
      </c>
      <c r="I1366" s="1" t="str">
        <f ca="1">IFERROR(__xludf.DUMMYFUNCTION("""COMPUTED_VALUE"""),"Will work for them")</f>
        <v>Will work for them</v>
      </c>
      <c r="J1366" s="1">
        <f ca="1">IFERROR(__xludf.DUMMYFUNCTION("""COMPUTED_VALUE"""),3)</f>
        <v>3</v>
      </c>
      <c r="K1366" s="1" t="str">
        <f ca="1">IFERROR(__xludf.DUMMYFUNCTION("""COMPUTED_VALUE"""),"Hybrid Working Environment with less than 3 days a month at office")</f>
        <v>Hybrid Working Environment with less than 3 days a month at office</v>
      </c>
      <c r="L1366" s="1" t="str">
        <f ca="1">IFERROR(__xludf.DUMMYFUNCTION("""COMPUTED_VALUE"""),"Employer who pushes your limits by enabling an learning environment, and rewards you at the end")</f>
        <v>Employer who pushes your limits by enabling an learning environment, and rewards you at the end</v>
      </c>
      <c r="M13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66" s="1" t="str">
        <f ca="1">IFERROR(__xludf.DUMMYFUNCTION("""COMPUTED_VALUE"""),"Manager who explains what is expected, sets a goal and helps achieve it")</f>
        <v>Manager who explains what is expected, sets a goal and helps achieve it</v>
      </c>
      <c r="P1366" s="1" t="str">
        <f ca="1">IFERROR(__xludf.DUMMYFUNCTION("""COMPUTED_VALUE"""),"Work alone, Work with 2 to 3 people in my team, Work with 7 to 10 or more people in my team")</f>
        <v>Work alone, Work with 2 to 3 people in my team, Work with 7 to 10 or more people in my team</v>
      </c>
      <c r="Q1366" s="1"/>
    </row>
    <row r="1367" spans="1:17" ht="13.2" x14ac:dyDescent="0.25">
      <c r="A1367" s="2">
        <f ca="1">IFERROR(__xludf.DUMMYFUNCTION("""COMPUTED_VALUE"""),45044.7894376273)</f>
        <v>45044.789437627303</v>
      </c>
      <c r="B1367" s="1" t="str">
        <f ca="1">IFERROR(__xludf.DUMMYFUNCTION("""COMPUTED_VALUE"""),"India")</f>
        <v>India</v>
      </c>
      <c r="C1367" s="1">
        <f ca="1">IFERROR(__xludf.DUMMYFUNCTION("""COMPUTED_VALUE"""),500020)</f>
        <v>500020</v>
      </c>
      <c r="D1367" s="3" t="str">
        <f ca="1">IFERROR(__xludf.DUMMYFUNCTION("""COMPUTED_VALUE"""),"Male")</f>
        <v>Male</v>
      </c>
      <c r="E1367" s="1" t="str">
        <f ca="1">IFERROR(__xludf.DUMMYFUNCTION("""COMPUTED_VALUE"""),"People who have changed the world for better")</f>
        <v>People who have changed the world for better</v>
      </c>
      <c r="F1367" s="1" t="str">
        <f ca="1">IFERROR(__xludf.DUMMYFUNCTION("""COMPUTED_VALUE"""),"Yes, I will earn and do that")</f>
        <v>Yes, I will earn and do that</v>
      </c>
      <c r="G1367" s="1" t="str">
        <f ca="1">IFERROR(__xludf.DUMMYFUNCTION("""COMPUTED_VALUE"""),"This will be hard to do, but if it is the right company I would try")</f>
        <v>This will be hard to do, but if it is the right company I would try</v>
      </c>
      <c r="H1367" s="1" t="str">
        <f ca="1">IFERROR(__xludf.DUMMYFUNCTION("""COMPUTED_VALUE"""),"Yes")</f>
        <v>Yes</v>
      </c>
      <c r="I1367" s="1" t="str">
        <f ca="1">IFERROR(__xludf.DUMMYFUNCTION("""COMPUTED_VALUE"""),"Will NOT work for them")</f>
        <v>Will NOT work for them</v>
      </c>
      <c r="J1367" s="1">
        <f ca="1">IFERROR(__xludf.DUMMYFUNCTION("""COMPUTED_VALUE"""),8)</f>
        <v>8</v>
      </c>
      <c r="K1367" s="1" t="str">
        <f ca="1">IFERROR(__xludf.DUMMYFUNCTION("""COMPUTED_VALUE"""),"Fully Remote with Options to travel as and when needed")</f>
        <v>Fully Remote with Options to travel as and when needed</v>
      </c>
      <c r="L1367" s="1" t="str">
        <f ca="1">IFERROR(__xludf.DUMMYFUNCTION("""COMPUTED_VALUE"""),"Employer who pushes your limits by enabling an learning environment, and rewards you at the end")</f>
        <v>Employer who pushes your limits by enabling an learning environment, and rewards you at the end</v>
      </c>
      <c r="M136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367" s="1" t="str">
        <f ca="1">IFERROR(__xludf.DUMMYFUNCTION("""COMPUTED_VALUE"""),"Manager who sets goal and helps me achieve it")</f>
        <v>Manager who sets goal and helps me achieve it</v>
      </c>
      <c r="P1367" s="1" t="str">
        <f ca="1">IFERROR(__xludf.DUMMYFUNCTION("""COMPUTED_VALUE"""),"Work alone")</f>
        <v>Work alone</v>
      </c>
      <c r="Q1367" s="1"/>
    </row>
    <row r="1368" spans="1:17" ht="13.2" x14ac:dyDescent="0.25">
      <c r="A1368" s="2">
        <f ca="1">IFERROR(__xludf.DUMMYFUNCTION("""COMPUTED_VALUE"""),45044.7921880439)</f>
        <v>45044.792188043903</v>
      </c>
      <c r="B1368" s="1" t="str">
        <f ca="1">IFERROR(__xludf.DUMMYFUNCTION("""COMPUTED_VALUE"""),"India")</f>
        <v>India</v>
      </c>
      <c r="C1368" s="1">
        <f ca="1">IFERROR(__xludf.DUMMYFUNCTION("""COMPUTED_VALUE"""),192202)</f>
        <v>192202</v>
      </c>
      <c r="D1368" s="3" t="str">
        <f ca="1">IFERROR(__xludf.DUMMYFUNCTION("""COMPUTED_VALUE"""),"Female")</f>
        <v>Female</v>
      </c>
      <c r="E1368" s="1" t="str">
        <f ca="1">IFERROR(__xludf.DUMMYFUNCTION("""COMPUTED_VALUE"""),"People who have changed the world for better")</f>
        <v>People who have changed the world for better</v>
      </c>
      <c r="F1368" s="1" t="str">
        <f ca="1">IFERROR(__xludf.DUMMYFUNCTION("""COMPUTED_VALUE"""),"No I would not be pursuing Higher Education outside of India")</f>
        <v>No I would not be pursuing Higher Education outside of India</v>
      </c>
      <c r="G1368" s="1" t="str">
        <f ca="1">IFERROR(__xludf.DUMMYFUNCTION("""COMPUTED_VALUE"""),"This will be hard to do, but if it is the right company I would try")</f>
        <v>This will be hard to do, but if it is the right company I would try</v>
      </c>
      <c r="H1368" s="1" t="str">
        <f ca="1">IFERROR(__xludf.DUMMYFUNCTION("""COMPUTED_VALUE"""),"No")</f>
        <v>No</v>
      </c>
      <c r="I1368" s="1" t="str">
        <f ca="1">IFERROR(__xludf.DUMMYFUNCTION("""COMPUTED_VALUE"""),"Will NOT work for them")</f>
        <v>Will NOT work for them</v>
      </c>
      <c r="J1368" s="1">
        <f ca="1">IFERROR(__xludf.DUMMYFUNCTION("""COMPUTED_VALUE"""),3)</f>
        <v>3</v>
      </c>
      <c r="K1368" s="1" t="str">
        <f ca="1">IFERROR(__xludf.DUMMYFUNCTION("""COMPUTED_VALUE"""),"Hybrid Working Environment with more than 15 days a month at office")</f>
        <v>Hybrid Working Environment with more than 15 days a month at office</v>
      </c>
      <c r="L1368" s="1" t="str">
        <f ca="1">IFERROR(__xludf.DUMMYFUNCTION("""COMPUTED_VALUE"""),"Employer who appreciates learning and enables that environment")</f>
        <v>Employer who appreciates learning and enables that environment</v>
      </c>
      <c r="M13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8" s="1" t="str">
        <f ca="1">IFERROR(__xludf.DUMMYFUNCTION("""COMPUTED_VALUE"""),"Manage and drive End-to-End Projects or Products, Work in a BPO setup for some well known client, Become a content Creator in some platform, I Want to sell things/Sales")</f>
        <v>Manage and drive End-to-End Projects or Products, Work in a BPO setup for some well known client, Become a content Creator in some platform, I Want to sell things/Sales</v>
      </c>
      <c r="O1368" s="1" t="str">
        <f ca="1">IFERROR(__xludf.DUMMYFUNCTION("""COMPUTED_VALUE"""),"Manager who sets goal and helps me achieve it")</f>
        <v>Manager who sets goal and helps me achieve it</v>
      </c>
      <c r="P1368" s="1" t="str">
        <f ca="1">IFERROR(__xludf.DUMMYFUNCTION("""COMPUTED_VALUE"""),"Work with 2 to 3 people in my team")</f>
        <v>Work with 2 to 3 people in my team</v>
      </c>
      <c r="Q1368" s="1"/>
    </row>
    <row r="1369" spans="1:17" ht="13.2" x14ac:dyDescent="0.25">
      <c r="A1369" s="2">
        <f ca="1">IFERROR(__xludf.DUMMYFUNCTION("""COMPUTED_VALUE"""),45044.7970627662)</f>
        <v>45044.7970627662</v>
      </c>
      <c r="B1369" s="1" t="str">
        <f ca="1">IFERROR(__xludf.DUMMYFUNCTION("""COMPUTED_VALUE"""),"India")</f>
        <v>India</v>
      </c>
      <c r="C1369" s="1">
        <f ca="1">IFERROR(__xludf.DUMMYFUNCTION("""COMPUTED_VALUE"""),759001)</f>
        <v>759001</v>
      </c>
      <c r="D1369" s="3" t="str">
        <f ca="1">IFERROR(__xludf.DUMMYFUNCTION("""COMPUTED_VALUE"""),"Female")</f>
        <v>Female</v>
      </c>
      <c r="E1369" s="1" t="str">
        <f ca="1">IFERROR(__xludf.DUMMYFUNCTION("""COMPUTED_VALUE"""),"People who have changed the world for better")</f>
        <v>People who have changed the world for better</v>
      </c>
      <c r="F1369" s="1" t="str">
        <f ca="1">IFERROR(__xludf.DUMMYFUNCTION("""COMPUTED_VALUE"""),"No I would not be pursuing Higher Education outside of India")</f>
        <v>No I would not be pursuing Higher Education outside of India</v>
      </c>
      <c r="G1369" s="1" t="str">
        <f ca="1">IFERROR(__xludf.DUMMYFUNCTION("""COMPUTED_VALUE"""),"This will be hard to do, but if it is the right company I would try")</f>
        <v>This will be hard to do, but if it is the right company I would try</v>
      </c>
      <c r="H1369" s="1" t="str">
        <f ca="1">IFERROR(__xludf.DUMMYFUNCTION("""COMPUTED_VALUE"""),"No")</f>
        <v>No</v>
      </c>
      <c r="I1369" s="1" t="str">
        <f ca="1">IFERROR(__xludf.DUMMYFUNCTION("""COMPUTED_VALUE"""),"Will NOT work for them")</f>
        <v>Will NOT work for them</v>
      </c>
      <c r="J1369" s="1">
        <f ca="1">IFERROR(__xludf.DUMMYFUNCTION("""COMPUTED_VALUE"""),5)</f>
        <v>5</v>
      </c>
      <c r="K1369" s="1" t="str">
        <f ca="1">IFERROR(__xludf.DUMMYFUNCTION("""COMPUTED_VALUE"""),"Hybrid Working Environment with more than 15 days a month at office")</f>
        <v>Hybrid Working Environment with more than 15 days a month at office</v>
      </c>
      <c r="L1369" s="1" t="str">
        <f ca="1">IFERROR(__xludf.DUMMYFUNCTION("""COMPUTED_VALUE"""),"Employer who pushes your limits by enabling an learning environment, and rewards you at the end")</f>
        <v>Employer who pushes your limits by enabling an learning environment, and rewards you at the end</v>
      </c>
      <c r="M13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9"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369" s="1" t="str">
        <f ca="1">IFERROR(__xludf.DUMMYFUNCTION("""COMPUTED_VALUE"""),"Manager who explains what is expected, sets a goal and helps achieve it")</f>
        <v>Manager who explains what is expected, sets a goal and helps achieve it</v>
      </c>
      <c r="P1369" s="1" t="str">
        <f ca="1">IFERROR(__xludf.DUMMYFUNCTION("""COMPUTED_VALUE"""),"Work with 5 to 6 people in my team")</f>
        <v>Work with 5 to 6 people in my team</v>
      </c>
      <c r="Q1369" s="1"/>
    </row>
    <row r="1370" spans="1:17" ht="13.2" x14ac:dyDescent="0.25">
      <c r="A1370" s="2">
        <f ca="1">IFERROR(__xludf.DUMMYFUNCTION("""COMPUTED_VALUE"""),45044.7991511689)</f>
        <v>45044.799151168903</v>
      </c>
      <c r="B1370" s="1" t="str">
        <f ca="1">IFERROR(__xludf.DUMMYFUNCTION("""COMPUTED_VALUE"""),"India")</f>
        <v>India</v>
      </c>
      <c r="C1370" s="1">
        <f ca="1">IFERROR(__xludf.DUMMYFUNCTION("""COMPUTED_VALUE"""),847211)</f>
        <v>847211</v>
      </c>
      <c r="D1370" s="3" t="str">
        <f ca="1">IFERROR(__xludf.DUMMYFUNCTION("""COMPUTED_VALUE"""),"Male")</f>
        <v>Male</v>
      </c>
      <c r="E1370" s="1" t="str">
        <f ca="1">IFERROR(__xludf.DUMMYFUNCTION("""COMPUTED_VALUE"""),"My Parents")</f>
        <v>My Parents</v>
      </c>
      <c r="F1370" s="1" t="str">
        <f ca="1">IFERROR(__xludf.DUMMYFUNCTION("""COMPUTED_VALUE"""),"No I would not be pursuing Higher Education outside of India")</f>
        <v>No I would not be pursuing Higher Education outside of India</v>
      </c>
      <c r="G1370" s="1" t="str">
        <f ca="1">IFERROR(__xludf.DUMMYFUNCTION("""COMPUTED_VALUE"""),"This will be hard to do, but if it is the right company I would try")</f>
        <v>This will be hard to do, but if it is the right company I would try</v>
      </c>
      <c r="H1370" s="1" t="str">
        <f ca="1">IFERROR(__xludf.DUMMYFUNCTION("""COMPUTED_VALUE"""),"No")</f>
        <v>No</v>
      </c>
      <c r="I1370" s="1" t="str">
        <f ca="1">IFERROR(__xludf.DUMMYFUNCTION("""COMPUTED_VALUE"""),"Will work for them")</f>
        <v>Will work for them</v>
      </c>
      <c r="J1370" s="1">
        <f ca="1">IFERROR(__xludf.DUMMYFUNCTION("""COMPUTED_VALUE"""),3)</f>
        <v>3</v>
      </c>
      <c r="K1370" s="1" t="str">
        <f ca="1">IFERROR(__xludf.DUMMYFUNCTION("""COMPUTED_VALUE"""),"Fully Remote with Options to travel as and when needed")</f>
        <v>Fully Remote with Options to travel as and when needed</v>
      </c>
      <c r="L1370" s="1" t="str">
        <f ca="1">IFERROR(__xludf.DUMMYFUNCTION("""COMPUTED_VALUE"""),"Employer who appreciates learning and enables that environment")</f>
        <v>Employer who appreciates learning and enables that environment</v>
      </c>
      <c r="M137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70"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370" s="1" t="str">
        <f ca="1">IFERROR(__xludf.DUMMYFUNCTION("""COMPUTED_VALUE"""),"Manager who clearly describes what she/he needs")</f>
        <v>Manager who clearly describes what she/he needs</v>
      </c>
      <c r="P1370" s="1" t="str">
        <f ca="1">IFERROR(__xludf.DUMMYFUNCTION("""COMPUTED_VALUE"""),"Work with 5 to 6 people in my team")</f>
        <v>Work with 5 to 6 people in my team</v>
      </c>
      <c r="Q1370" s="1"/>
    </row>
    <row r="1371" spans="1:17" ht="13.2" x14ac:dyDescent="0.25">
      <c r="A1371" s="2">
        <f ca="1">IFERROR(__xludf.DUMMYFUNCTION("""COMPUTED_VALUE"""),45044.7999340856)</f>
        <v>45044.799934085597</v>
      </c>
      <c r="B1371" s="1" t="str">
        <f ca="1">IFERROR(__xludf.DUMMYFUNCTION("""COMPUTED_VALUE"""),"India")</f>
        <v>India</v>
      </c>
      <c r="C1371" s="1">
        <f ca="1">IFERROR(__xludf.DUMMYFUNCTION("""COMPUTED_VALUE"""),440024)</f>
        <v>440024</v>
      </c>
      <c r="D1371" s="3" t="str">
        <f ca="1">IFERROR(__xludf.DUMMYFUNCTION("""COMPUTED_VALUE"""),"Male")</f>
        <v>Male</v>
      </c>
      <c r="E1371" s="1" t="str">
        <f ca="1">IFERROR(__xludf.DUMMYFUNCTION("""COMPUTED_VALUE"""),"People who have changed the world for better")</f>
        <v>People who have changed the world for better</v>
      </c>
      <c r="F1371" s="1" t="str">
        <f ca="1">IFERROR(__xludf.DUMMYFUNCTION("""COMPUTED_VALUE"""),"No I would not be pursuing Higher Education outside of India")</f>
        <v>No I would not be pursuing Higher Education outside of India</v>
      </c>
      <c r="G1371" s="1" t="str">
        <f ca="1">IFERROR(__xludf.DUMMYFUNCTION("""COMPUTED_VALUE"""),"This will be hard to do, but if it is the right company I would try")</f>
        <v>This will be hard to do, but if it is the right company I would try</v>
      </c>
      <c r="H1371" s="1" t="str">
        <f ca="1">IFERROR(__xludf.DUMMYFUNCTION("""COMPUTED_VALUE"""),"No")</f>
        <v>No</v>
      </c>
      <c r="I1371" s="1" t="str">
        <f ca="1">IFERROR(__xludf.DUMMYFUNCTION("""COMPUTED_VALUE"""),"Will NOT work for them")</f>
        <v>Will NOT work for them</v>
      </c>
      <c r="J1371" s="1">
        <f ca="1">IFERROR(__xludf.DUMMYFUNCTION("""COMPUTED_VALUE"""),7)</f>
        <v>7</v>
      </c>
      <c r="K1371" s="1" t="str">
        <f ca="1">IFERROR(__xludf.DUMMYFUNCTION("""COMPUTED_VALUE"""),"Hybrid Working Environment with more than 15 days a month at office")</f>
        <v>Hybrid Working Environment with more than 15 days a month at office</v>
      </c>
      <c r="L1371" s="1" t="str">
        <f ca="1">IFERROR(__xludf.DUMMYFUNCTION("""COMPUTED_VALUE"""),"Employer who pushes your limits by enabling an learning environment, and rewards you at the end")</f>
        <v>Employer who pushes your limits by enabling an learning environment, and rewards you at the end</v>
      </c>
      <c r="M137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71"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371" s="1" t="str">
        <f ca="1">IFERROR(__xludf.DUMMYFUNCTION("""COMPUTED_VALUE"""),"Manager who explains what is expected, sets a goal and helps achieve it")</f>
        <v>Manager who explains what is expected, sets a goal and helps achieve it</v>
      </c>
      <c r="P1371" s="1" t="str">
        <f ca="1">IFERROR(__xludf.DUMMYFUNCTION("""COMPUTED_VALUE"""),"Work with 5 to 6 people in my team")</f>
        <v>Work with 5 to 6 people in my team</v>
      </c>
      <c r="Q1371" s="1"/>
    </row>
    <row r="1372" spans="1:17" ht="13.2" x14ac:dyDescent="0.25">
      <c r="A1372" s="2">
        <f ca="1">IFERROR(__xludf.DUMMYFUNCTION("""COMPUTED_VALUE"""),45044.801511574)</f>
        <v>45044.801511573998</v>
      </c>
      <c r="B1372" s="1" t="str">
        <f ca="1">IFERROR(__xludf.DUMMYFUNCTION("""COMPUTED_VALUE"""),"India")</f>
        <v>India</v>
      </c>
      <c r="C1372" s="1">
        <f ca="1">IFERROR(__xludf.DUMMYFUNCTION("""COMPUTED_VALUE"""),581336)</f>
        <v>581336</v>
      </c>
      <c r="D1372" s="3" t="str">
        <f ca="1">IFERROR(__xludf.DUMMYFUNCTION("""COMPUTED_VALUE"""),"Female")</f>
        <v>Female</v>
      </c>
      <c r="E1372" s="1" t="str">
        <f ca="1">IFERROR(__xludf.DUMMYFUNCTION("""COMPUTED_VALUE"""),"My Parents")</f>
        <v>My Parents</v>
      </c>
      <c r="F1372" s="1" t="str">
        <f ca="1">IFERROR(__xludf.DUMMYFUNCTION("""COMPUTED_VALUE"""),"No I would not be pursuing Higher Education outside of India")</f>
        <v>No I would not be pursuing Higher Education outside of India</v>
      </c>
      <c r="G1372" s="1" t="str">
        <f ca="1">IFERROR(__xludf.DUMMYFUNCTION("""COMPUTED_VALUE"""),"Will work for 3 years or more")</f>
        <v>Will work for 3 years or more</v>
      </c>
      <c r="H1372" s="1" t="str">
        <f ca="1">IFERROR(__xludf.DUMMYFUNCTION("""COMPUTED_VALUE"""),"No")</f>
        <v>No</v>
      </c>
      <c r="I1372" s="1" t="str">
        <f ca="1">IFERROR(__xludf.DUMMYFUNCTION("""COMPUTED_VALUE"""),"Will NOT work for them")</f>
        <v>Will NOT work for them</v>
      </c>
      <c r="J1372" s="1">
        <f ca="1">IFERROR(__xludf.DUMMYFUNCTION("""COMPUTED_VALUE"""),10)</f>
        <v>10</v>
      </c>
      <c r="K1372" s="1" t="str">
        <f ca="1">IFERROR(__xludf.DUMMYFUNCTION("""COMPUTED_VALUE"""),"Fully Remote with No option to visit offices")</f>
        <v>Fully Remote with No option to visit offices</v>
      </c>
      <c r="L1372" s="1" t="str">
        <f ca="1">IFERROR(__xludf.DUMMYFUNCTION("""COMPUTED_VALUE"""),"Employer who rewards learning and enables that environment")</f>
        <v>Employer who rewards learning and enables that environment</v>
      </c>
      <c r="M13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72"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1372" s="1" t="str">
        <f ca="1">IFERROR(__xludf.DUMMYFUNCTION("""COMPUTED_VALUE"""),"Manager who clearly describes what she/he needs")</f>
        <v>Manager who clearly describes what she/he needs</v>
      </c>
      <c r="P1372" s="1" t="str">
        <f ca="1">IFERROR(__xludf.DUMMYFUNCTION("""COMPUTED_VALUE"""),"Work with 2 to 3 people in my team, Work with 5 to 6 people in my team")</f>
        <v>Work with 2 to 3 people in my team, Work with 5 to 6 people in my team</v>
      </c>
      <c r="Q1372" s="1"/>
    </row>
    <row r="1373" spans="1:17" ht="13.2" x14ac:dyDescent="0.25">
      <c r="A1373" s="2">
        <f ca="1">IFERROR(__xludf.DUMMYFUNCTION("""COMPUTED_VALUE"""),45044.8047847337)</f>
        <v>45044.8047847337</v>
      </c>
      <c r="B1373" s="1" t="str">
        <f ca="1">IFERROR(__xludf.DUMMYFUNCTION("""COMPUTED_VALUE"""),"India")</f>
        <v>India</v>
      </c>
      <c r="C1373" s="1">
        <f ca="1">IFERROR(__xludf.DUMMYFUNCTION("""COMPUTED_VALUE"""),500089)</f>
        <v>500089</v>
      </c>
      <c r="D1373" s="3" t="str">
        <f ca="1">IFERROR(__xludf.DUMMYFUNCTION("""COMPUTED_VALUE"""),"Female")</f>
        <v>Female</v>
      </c>
      <c r="E1373" s="1" t="str">
        <f ca="1">IFERROR(__xludf.DUMMYFUNCTION("""COMPUTED_VALUE"""),"My Parents")</f>
        <v>My Parents</v>
      </c>
      <c r="F1373" s="1" t="str">
        <f ca="1">IFERROR(__xludf.DUMMYFUNCTION("""COMPUTED_VALUE"""),"No I would not be pursuing Higher Education outside of India")</f>
        <v>No I would not be pursuing Higher Education outside of India</v>
      </c>
      <c r="G1373" s="1" t="str">
        <f ca="1">IFERROR(__xludf.DUMMYFUNCTION("""COMPUTED_VALUE"""),"This will be hard to do, but if it is the right company I would try")</f>
        <v>This will be hard to do, but if it is the right company I would try</v>
      </c>
      <c r="H1373" s="1" t="str">
        <f ca="1">IFERROR(__xludf.DUMMYFUNCTION("""COMPUTED_VALUE"""),"No")</f>
        <v>No</v>
      </c>
      <c r="I1373" s="1" t="str">
        <f ca="1">IFERROR(__xludf.DUMMYFUNCTION("""COMPUTED_VALUE"""),"Will NOT work for them")</f>
        <v>Will NOT work for them</v>
      </c>
      <c r="J1373" s="1">
        <f ca="1">IFERROR(__xludf.DUMMYFUNCTION("""COMPUTED_VALUE"""),1)</f>
        <v>1</v>
      </c>
      <c r="K1373" s="1" t="str">
        <f ca="1">IFERROR(__xludf.DUMMYFUNCTION("""COMPUTED_VALUE"""),"Fully Remote with Options to travel as and when needed")</f>
        <v>Fully Remote with Options to travel as and when needed</v>
      </c>
      <c r="L1373" s="1" t="str">
        <f ca="1">IFERROR(__xludf.DUMMYFUNCTION("""COMPUTED_VALUE"""),"Employer who pushes your limits by enabling an learning environment, and rewards you at the end")</f>
        <v>Employer who pushes your limits by enabling an learning environment, and rewards you at the end</v>
      </c>
      <c r="M1373" s="1" t="str">
        <f ca="1">IFERROR(__xludf.DUMMYFUNCTION("""COMPUTED_VALUE"""),"Self Paced Learning Portals of the Company, Instructor or Expert Learning Programs, Manager Teaching you")</f>
        <v>Self Paced Learning Portals of the Company, Instructor or Expert Learning Programs, Manager Teaching you</v>
      </c>
      <c r="N13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73" s="1" t="str">
        <f ca="1">IFERROR(__xludf.DUMMYFUNCTION("""COMPUTED_VALUE"""),"Manager who sets goal and helps me achieve it")</f>
        <v>Manager who sets goal and helps me achieve it</v>
      </c>
      <c r="P1373" s="1" t="str">
        <f ca="1">IFERROR(__xludf.DUMMYFUNCTION("""COMPUTED_VALUE"""),"Work with 5 to 6 people in my team")</f>
        <v>Work with 5 to 6 people in my team</v>
      </c>
      <c r="Q1373" s="1"/>
    </row>
    <row r="1374" spans="1:17" ht="13.2" x14ac:dyDescent="0.25">
      <c r="A1374" s="2">
        <f ca="1">IFERROR(__xludf.DUMMYFUNCTION("""COMPUTED_VALUE"""),45044.8146430439)</f>
        <v>45044.814643043901</v>
      </c>
      <c r="B1374" s="1" t="str">
        <f ca="1">IFERROR(__xludf.DUMMYFUNCTION("""COMPUTED_VALUE"""),"India")</f>
        <v>India</v>
      </c>
      <c r="C1374" s="1">
        <f ca="1">IFERROR(__xludf.DUMMYFUNCTION("""COMPUTED_VALUE"""),560107)</f>
        <v>560107</v>
      </c>
      <c r="D1374" s="3" t="str">
        <f ca="1">IFERROR(__xludf.DUMMYFUNCTION("""COMPUTED_VALUE"""),"Male")</f>
        <v>Male</v>
      </c>
      <c r="E1374" s="1" t="str">
        <f ca="1">IFERROR(__xludf.DUMMYFUNCTION("""COMPUTED_VALUE"""),"People from my circle, but not family members")</f>
        <v>People from my circle, but not family members</v>
      </c>
      <c r="F1374" s="1" t="str">
        <f ca="1">IFERROR(__xludf.DUMMYFUNCTION("""COMPUTED_VALUE"""),"No I would not be pursuing Higher Education outside of India")</f>
        <v>No I would not be pursuing Higher Education outside of India</v>
      </c>
      <c r="G1374" s="1" t="str">
        <f ca="1">IFERROR(__xludf.DUMMYFUNCTION("""COMPUTED_VALUE"""),"This will be hard to do, but if it is the right company I would try")</f>
        <v>This will be hard to do, but if it is the right company I would try</v>
      </c>
      <c r="H1374" s="1" t="str">
        <f ca="1">IFERROR(__xludf.DUMMYFUNCTION("""COMPUTED_VALUE"""),"No")</f>
        <v>No</v>
      </c>
      <c r="I1374" s="1" t="str">
        <f ca="1">IFERROR(__xludf.DUMMYFUNCTION("""COMPUTED_VALUE"""),"Will NOT work for them")</f>
        <v>Will NOT work for them</v>
      </c>
      <c r="J1374" s="1">
        <f ca="1">IFERROR(__xludf.DUMMYFUNCTION("""COMPUTED_VALUE"""),3)</f>
        <v>3</v>
      </c>
      <c r="K1374" s="1" t="str">
        <f ca="1">IFERROR(__xludf.DUMMYFUNCTION("""COMPUTED_VALUE"""),"Hybrid Working Environment with more than 15 days a month at office")</f>
        <v>Hybrid Working Environment with more than 15 days a month at office</v>
      </c>
      <c r="L1374" s="1" t="str">
        <f ca="1">IFERROR(__xludf.DUMMYFUNCTION("""COMPUTED_VALUE"""),"Employer who pushes your limits by enabling an learning environment, and rewards you at the end")</f>
        <v>Employer who pushes your limits by enabling an learning environment, and rewards you at the end</v>
      </c>
      <c r="M1374" s="1" t="str">
        <f ca="1">IFERROR(__xludf.DUMMYFUNCTION("""COMPUTED_VALUE"""),"Instructor or Expert Learning Programs, Learning by observing others, Manager Teaching you")</f>
        <v>Instructor or Expert Learning Programs, Learning by observing others, Manager Teaching you</v>
      </c>
      <c r="N1374"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374" s="1" t="str">
        <f ca="1">IFERROR(__xludf.DUMMYFUNCTION("""COMPUTED_VALUE"""),"Manager who explains what is expected, sets a goal and helps achieve it")</f>
        <v>Manager who explains what is expected, sets a goal and helps achieve it</v>
      </c>
      <c r="P1374"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374" s="1"/>
    </row>
    <row r="1375" spans="1:17" ht="13.2" x14ac:dyDescent="0.25">
      <c r="A1375" s="2">
        <f ca="1">IFERROR(__xludf.DUMMYFUNCTION("""COMPUTED_VALUE"""),45044.8155150115)</f>
        <v>45044.815515011498</v>
      </c>
      <c r="B1375" s="1" t="str">
        <f ca="1">IFERROR(__xludf.DUMMYFUNCTION("""COMPUTED_VALUE"""),"India")</f>
        <v>India</v>
      </c>
      <c r="C1375" s="1">
        <f ca="1">IFERROR(__xludf.DUMMYFUNCTION("""COMPUTED_VALUE"""),144021)</f>
        <v>144021</v>
      </c>
      <c r="D1375" s="3" t="str">
        <f ca="1">IFERROR(__xludf.DUMMYFUNCTION("""COMPUTED_VALUE"""),"Male")</f>
        <v>Male</v>
      </c>
      <c r="E1375" s="1" t="str">
        <f ca="1">IFERROR(__xludf.DUMMYFUNCTION("""COMPUTED_VALUE"""),"My Parents")</f>
        <v>My Parents</v>
      </c>
      <c r="F1375" s="1" t="str">
        <f ca="1">IFERROR(__xludf.DUMMYFUNCTION("""COMPUTED_VALUE"""),"Yes, I will earn and do that")</f>
        <v>Yes, I will earn and do that</v>
      </c>
      <c r="G1375" s="1" t="str">
        <f ca="1">IFERROR(__xludf.DUMMYFUNCTION("""COMPUTED_VALUE"""),"This will be hard to do, but if it is the right company I would try")</f>
        <v>This will be hard to do, but if it is the right company I would try</v>
      </c>
      <c r="H1375" s="1" t="str">
        <f ca="1">IFERROR(__xludf.DUMMYFUNCTION("""COMPUTED_VALUE"""),"Yes")</f>
        <v>Yes</v>
      </c>
      <c r="I1375" s="1" t="str">
        <f ca="1">IFERROR(__xludf.DUMMYFUNCTION("""COMPUTED_VALUE"""),"Will work for them")</f>
        <v>Will work for them</v>
      </c>
      <c r="J1375" s="1">
        <f ca="1">IFERROR(__xludf.DUMMYFUNCTION("""COMPUTED_VALUE"""),6)</f>
        <v>6</v>
      </c>
      <c r="K1375" s="1" t="str">
        <f ca="1">IFERROR(__xludf.DUMMYFUNCTION("""COMPUTED_VALUE"""),"Hybrid Working Environment with more than 15 days a month at office")</f>
        <v>Hybrid Working Environment with more than 15 days a month at office</v>
      </c>
      <c r="L1375" s="1" t="str">
        <f ca="1">IFERROR(__xludf.DUMMYFUNCTION("""COMPUTED_VALUE"""),"Employer who pushes your limits by enabling an learning environment, and rewards you at the end")</f>
        <v>Employer who pushes your limits by enabling an learning environment, and rewards you at the end</v>
      </c>
      <c r="M137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75" s="1" t="str">
        <f ca="1">IFERROR(__xludf.DUMMYFUNCTION("""COMPUTED_VALUE"""),"Design and Creative strategy in any company, Design and Develop amazing software, Become a content Creator in some platform, I Want to sell things/Sales")</f>
        <v>Design and Creative strategy in any company, Design and Develop amazing software, Become a content Creator in some platform, I Want to sell things/Sales</v>
      </c>
      <c r="O1375" s="1" t="str">
        <f ca="1">IFERROR(__xludf.DUMMYFUNCTION("""COMPUTED_VALUE"""),"Manager who explains what is expected, sets a goal and helps achieve it")</f>
        <v>Manager who explains what is expected, sets a goal and helps achieve it</v>
      </c>
      <c r="P1375" s="1" t="str">
        <f ca="1">IFERROR(__xludf.DUMMYFUNCTION("""COMPUTED_VALUE"""),"Work with 7 to 10 or more people in my team")</f>
        <v>Work with 7 to 10 or more people in my team</v>
      </c>
      <c r="Q1375" s="1"/>
    </row>
    <row r="1376" spans="1:17" ht="13.2" x14ac:dyDescent="0.25">
      <c r="A1376" s="2">
        <f ca="1">IFERROR(__xludf.DUMMYFUNCTION("""COMPUTED_VALUE"""),45044.81575875)</f>
        <v>45044.815758750003</v>
      </c>
      <c r="B1376" s="1" t="str">
        <f ca="1">IFERROR(__xludf.DUMMYFUNCTION("""COMPUTED_VALUE"""),"India")</f>
        <v>India</v>
      </c>
      <c r="C1376" s="1">
        <f ca="1">IFERROR(__xludf.DUMMYFUNCTION("""COMPUTED_VALUE"""),690514)</f>
        <v>690514</v>
      </c>
      <c r="D1376" s="3" t="str">
        <f ca="1">IFERROR(__xludf.DUMMYFUNCTION("""COMPUTED_VALUE"""),"Male")</f>
        <v>Male</v>
      </c>
      <c r="E1376" s="1" t="str">
        <f ca="1">IFERROR(__xludf.DUMMYFUNCTION("""COMPUTED_VALUE"""),"People who have changed the world for better")</f>
        <v>People who have changed the world for better</v>
      </c>
      <c r="F1376" s="1" t="str">
        <f ca="1">IFERROR(__xludf.DUMMYFUNCTION("""COMPUTED_VALUE"""),"Yes, I will earn and do that")</f>
        <v>Yes, I will earn and do that</v>
      </c>
      <c r="G1376" s="1" t="str">
        <f ca="1">IFERROR(__xludf.DUMMYFUNCTION("""COMPUTED_VALUE"""),"This will be hard to do, but if it is the right company I would try")</f>
        <v>This will be hard to do, but if it is the right company I would try</v>
      </c>
      <c r="H1376" s="1" t="str">
        <f ca="1">IFERROR(__xludf.DUMMYFUNCTION("""COMPUTED_VALUE"""),"No")</f>
        <v>No</v>
      </c>
      <c r="I1376" s="1" t="str">
        <f ca="1">IFERROR(__xludf.DUMMYFUNCTION("""COMPUTED_VALUE"""),"Will NOT work for them")</f>
        <v>Will NOT work for them</v>
      </c>
      <c r="J1376" s="1">
        <f ca="1">IFERROR(__xludf.DUMMYFUNCTION("""COMPUTED_VALUE"""),1)</f>
        <v>1</v>
      </c>
      <c r="K1376" s="1" t="str">
        <f ca="1">IFERROR(__xludf.DUMMYFUNCTION("""COMPUTED_VALUE"""),"Every Day Office Environment")</f>
        <v>Every Day Office Environment</v>
      </c>
      <c r="L1376" s="1" t="str">
        <f ca="1">IFERROR(__xludf.DUMMYFUNCTION("""COMPUTED_VALUE"""),"Employer who appreciates learning and enables that environment")</f>
        <v>Employer who appreciates learning and enables that environment</v>
      </c>
      <c r="M1376" s="1" t="str">
        <f ca="1">IFERROR(__xludf.DUMMYFUNCTION("""COMPUTED_VALUE"""),"Instructor or Expert Learning Programs, Learning by observing others, Manager Teaching you")</f>
        <v>Instructor or Expert Learning Programs, Learning by observing others, Manager Teaching you</v>
      </c>
      <c r="N1376"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376" s="1" t="str">
        <f ca="1">IFERROR(__xludf.DUMMYFUNCTION("""COMPUTED_VALUE"""),"Manager who sets goal and helps me achieve it")</f>
        <v>Manager who sets goal and helps me achieve it</v>
      </c>
      <c r="P1376" s="1" t="str">
        <f ca="1">IFERROR(__xludf.DUMMYFUNCTION("""COMPUTED_VALUE"""),"Work with more than 10 people in my team")</f>
        <v>Work with more than 10 people in my team</v>
      </c>
      <c r="Q1376" s="1"/>
    </row>
    <row r="1377" spans="1:17" ht="13.2" x14ac:dyDescent="0.25">
      <c r="A1377" s="2">
        <f ca="1">IFERROR(__xludf.DUMMYFUNCTION("""COMPUTED_VALUE"""),45044.816764618)</f>
        <v>45044.816764618001</v>
      </c>
      <c r="B1377" s="1" t="str">
        <f ca="1">IFERROR(__xludf.DUMMYFUNCTION("""COMPUTED_VALUE"""),"India")</f>
        <v>India</v>
      </c>
      <c r="C1377" s="1">
        <f ca="1">IFERROR(__xludf.DUMMYFUNCTION("""COMPUTED_VALUE"""),110009)</f>
        <v>110009</v>
      </c>
      <c r="D1377" s="3" t="str">
        <f ca="1">IFERROR(__xludf.DUMMYFUNCTION("""COMPUTED_VALUE"""),"Male")</f>
        <v>Male</v>
      </c>
      <c r="E1377" s="1" t="str">
        <f ca="1">IFERROR(__xludf.DUMMYFUNCTION("""COMPUTED_VALUE"""),"My Parents")</f>
        <v>My Parents</v>
      </c>
      <c r="F1377" s="1" t="str">
        <f ca="1">IFERROR(__xludf.DUMMYFUNCTION("""COMPUTED_VALUE"""),"No I would not be pursuing Higher Education outside of India")</f>
        <v>No I would not be pursuing Higher Education outside of India</v>
      </c>
      <c r="G1377" s="1" t="str">
        <f ca="1">IFERROR(__xludf.DUMMYFUNCTION("""COMPUTED_VALUE"""),"This will be hard to do, but if it is the right company I would try")</f>
        <v>This will be hard to do, but if it is the right company I would try</v>
      </c>
      <c r="H1377" s="1" t="str">
        <f ca="1">IFERROR(__xludf.DUMMYFUNCTION("""COMPUTED_VALUE"""),"No")</f>
        <v>No</v>
      </c>
      <c r="I1377" s="1" t="str">
        <f ca="1">IFERROR(__xludf.DUMMYFUNCTION("""COMPUTED_VALUE"""),"Will NOT work for them")</f>
        <v>Will NOT work for them</v>
      </c>
      <c r="J1377" s="1">
        <f ca="1">IFERROR(__xludf.DUMMYFUNCTION("""COMPUTED_VALUE"""),7)</f>
        <v>7</v>
      </c>
      <c r="K1377" s="1" t="str">
        <f ca="1">IFERROR(__xludf.DUMMYFUNCTION("""COMPUTED_VALUE"""),"Hybrid Working Environment with more than 15 days a month at office")</f>
        <v>Hybrid Working Environment with more than 15 days a month at office</v>
      </c>
      <c r="L1377" s="1" t="str">
        <f ca="1">IFERROR(__xludf.DUMMYFUNCTION("""COMPUTED_VALUE"""),"Employer who pushes your limits by enabling an learning environment, and rewards you at the end")</f>
        <v>Employer who pushes your limits by enabling an learning environment, and rewards you at the end</v>
      </c>
      <c r="M1377" s="1" t="str">
        <f ca="1">IFERROR(__xludf.DUMMYFUNCTION("""COMPUTED_VALUE"""),"Self Paced Learning Portals of the Company, Learning by observing others, Manager Teaching you")</f>
        <v>Self Paced Learning Portals of the Company, Learning by observing others, Manager Teaching you</v>
      </c>
      <c r="N1377" s="1" t="str">
        <f ca="1">IFERROR(__xludf.DUMMYFUNCTION("""COMPUTED_VALUE"""),"Teaching in any of the institutes/colleges/online or offline, Become a content Creator in some platform, Entrepreneur or Start Up, I Want to sell things/Sales")</f>
        <v>Teaching in any of the institutes/colleges/online or offline, Become a content Creator in some platform, Entrepreneur or Start Up, I Want to sell things/Sales</v>
      </c>
      <c r="O1377" s="1" t="str">
        <f ca="1">IFERROR(__xludf.DUMMYFUNCTION("""COMPUTED_VALUE"""),"Manager who sets goal and helps me achieve it")</f>
        <v>Manager who sets goal and helps me achieve it</v>
      </c>
      <c r="P1377" s="1" t="str">
        <f ca="1">IFERROR(__xludf.DUMMYFUNCTION("""COMPUTED_VALUE"""),"Work alone")</f>
        <v>Work alone</v>
      </c>
      <c r="Q1377" s="1"/>
    </row>
    <row r="1378" spans="1:17" ht="13.2" x14ac:dyDescent="0.25">
      <c r="A1378" s="2">
        <f ca="1">IFERROR(__xludf.DUMMYFUNCTION("""COMPUTED_VALUE"""),45044.8180245601)</f>
        <v>45044.818024560103</v>
      </c>
      <c r="B1378" s="1" t="str">
        <f ca="1">IFERROR(__xludf.DUMMYFUNCTION("""COMPUTED_VALUE"""),"India")</f>
        <v>India</v>
      </c>
      <c r="C1378" s="1">
        <f ca="1">IFERROR(__xludf.DUMMYFUNCTION("""COMPUTED_VALUE"""),603001)</f>
        <v>603001</v>
      </c>
      <c r="D1378" s="3" t="str">
        <f ca="1">IFERROR(__xludf.DUMMYFUNCTION("""COMPUTED_VALUE"""),"Male")</f>
        <v>Male</v>
      </c>
      <c r="E1378" s="1" t="str">
        <f ca="1">IFERROR(__xludf.DUMMYFUNCTION("""COMPUTED_VALUE"""),"Influencers who had successful careers")</f>
        <v>Influencers who had successful careers</v>
      </c>
      <c r="F1378" s="1" t="str">
        <f ca="1">IFERROR(__xludf.DUMMYFUNCTION("""COMPUTED_VALUE"""),"No, But if someone could bare the cost I will")</f>
        <v>No, But if someone could bare the cost I will</v>
      </c>
      <c r="G1378" s="1" t="str">
        <f ca="1">IFERROR(__xludf.DUMMYFUNCTION("""COMPUTED_VALUE"""),"Will work for 3 years or more")</f>
        <v>Will work for 3 years or more</v>
      </c>
      <c r="H1378" s="1" t="str">
        <f ca="1">IFERROR(__xludf.DUMMYFUNCTION("""COMPUTED_VALUE"""),"No")</f>
        <v>No</v>
      </c>
      <c r="I1378" s="1" t="str">
        <f ca="1">IFERROR(__xludf.DUMMYFUNCTION("""COMPUTED_VALUE"""),"Will NOT work for them")</f>
        <v>Will NOT work for them</v>
      </c>
      <c r="J1378" s="1">
        <f ca="1">IFERROR(__xludf.DUMMYFUNCTION("""COMPUTED_VALUE"""),2)</f>
        <v>2</v>
      </c>
      <c r="K1378" s="1" t="str">
        <f ca="1">IFERROR(__xludf.DUMMYFUNCTION("""COMPUTED_VALUE"""),"Fully Remote with Options to travel as and when needed")</f>
        <v>Fully Remote with Options to travel as and when needed</v>
      </c>
      <c r="L1378" s="1" t="str">
        <f ca="1">IFERROR(__xludf.DUMMYFUNCTION("""COMPUTED_VALUE"""),"Employer who appreciates learning and enables that environment")</f>
        <v>Employer who appreciates learning and enables that environment</v>
      </c>
      <c r="M137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78" s="1" t="str">
        <f ca="1">IFERROR(__xludf.DUMMYFUNCTION("""COMPUTED_VALUE"""),"Business Operations in any organization, Look deeply into Data and generate insights, Entrepreneur or Start Up, I Want to sell things/Sales")</f>
        <v>Business Operations in any organization, Look deeply into Data and generate insights, Entrepreneur or Start Up, I Want to sell things/Sales</v>
      </c>
      <c r="O1378" s="1" t="str">
        <f ca="1">IFERROR(__xludf.DUMMYFUNCTION("""COMPUTED_VALUE"""),"Manager who clearly describes what she/he needs")</f>
        <v>Manager who clearly describes what she/he needs</v>
      </c>
      <c r="P1378" s="1" t="str">
        <f ca="1">IFERROR(__xludf.DUMMYFUNCTION("""COMPUTED_VALUE"""),"Work with 7 to 10 or more people in my team")</f>
        <v>Work with 7 to 10 or more people in my team</v>
      </c>
      <c r="Q1378" s="1"/>
    </row>
    <row r="1379" spans="1:17" ht="13.2" x14ac:dyDescent="0.25">
      <c r="A1379" s="2">
        <f ca="1">IFERROR(__xludf.DUMMYFUNCTION("""COMPUTED_VALUE"""),45044.8208368865)</f>
        <v>45044.820836886502</v>
      </c>
      <c r="B1379" s="1" t="str">
        <f ca="1">IFERROR(__xludf.DUMMYFUNCTION("""COMPUTED_VALUE"""),"India")</f>
        <v>India</v>
      </c>
      <c r="C1379" s="1">
        <f ca="1">IFERROR(__xludf.DUMMYFUNCTION("""COMPUTED_VALUE"""),530016)</f>
        <v>530016</v>
      </c>
      <c r="D1379" s="3" t="str">
        <f ca="1">IFERROR(__xludf.DUMMYFUNCTION("""COMPUTED_VALUE"""),"Female")</f>
        <v>Female</v>
      </c>
      <c r="E1379" s="1" t="str">
        <f ca="1">IFERROR(__xludf.DUMMYFUNCTION("""COMPUTED_VALUE"""),"My Parents")</f>
        <v>My Parents</v>
      </c>
      <c r="F1379" s="1" t="str">
        <f ca="1">IFERROR(__xludf.DUMMYFUNCTION("""COMPUTED_VALUE"""),"Yes, I will earn and do that")</f>
        <v>Yes, I will earn and do that</v>
      </c>
      <c r="G1379" s="1" t="str">
        <f ca="1">IFERROR(__xludf.DUMMYFUNCTION("""COMPUTED_VALUE"""),"Will work for 3 years or more")</f>
        <v>Will work for 3 years or more</v>
      </c>
      <c r="H1379" s="1" t="str">
        <f ca="1">IFERROR(__xludf.DUMMYFUNCTION("""COMPUTED_VALUE"""),"No")</f>
        <v>No</v>
      </c>
      <c r="I1379" s="1" t="str">
        <f ca="1">IFERROR(__xludf.DUMMYFUNCTION("""COMPUTED_VALUE"""),"Will NOT work for them")</f>
        <v>Will NOT work for them</v>
      </c>
      <c r="J1379" s="1">
        <f ca="1">IFERROR(__xludf.DUMMYFUNCTION("""COMPUTED_VALUE"""),6)</f>
        <v>6</v>
      </c>
      <c r="K1379" s="1" t="str">
        <f ca="1">IFERROR(__xludf.DUMMYFUNCTION("""COMPUTED_VALUE"""),"Every Day Office Environment")</f>
        <v>Every Day Office Environment</v>
      </c>
      <c r="L1379" s="1" t="str">
        <f ca="1">IFERROR(__xludf.DUMMYFUNCTION("""COMPUTED_VALUE"""),"Employer who appreciates learning and enables that environment")</f>
        <v>Employer who appreciates learning and enables that environment</v>
      </c>
      <c r="M137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7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379" s="1" t="str">
        <f ca="1">IFERROR(__xludf.DUMMYFUNCTION("""COMPUTED_VALUE"""),"Manager who explains what is expected, sets a goal and helps achieve it")</f>
        <v>Manager who explains what is expected, sets a goal and helps achieve it</v>
      </c>
      <c r="P1379" s="1" t="str">
        <f ca="1">IFERROR(__xludf.DUMMYFUNCTION("""COMPUTED_VALUE"""),"Work with more than 10 people in my team")</f>
        <v>Work with more than 10 people in my team</v>
      </c>
      <c r="Q1379" s="1"/>
    </row>
    <row r="1380" spans="1:17" ht="13.2" x14ac:dyDescent="0.25">
      <c r="A1380" s="2">
        <f ca="1">IFERROR(__xludf.DUMMYFUNCTION("""COMPUTED_VALUE"""),45044.8225547222)</f>
        <v>45044.822554722203</v>
      </c>
      <c r="B1380" s="1" t="str">
        <f ca="1">IFERROR(__xludf.DUMMYFUNCTION("""COMPUTED_VALUE"""),"India")</f>
        <v>India</v>
      </c>
      <c r="C1380" s="1">
        <f ca="1">IFERROR(__xludf.DUMMYFUNCTION("""COMPUTED_VALUE"""),603001)</f>
        <v>603001</v>
      </c>
      <c r="D1380" s="3" t="str">
        <f ca="1">IFERROR(__xludf.DUMMYFUNCTION("""COMPUTED_VALUE"""),"Female")</f>
        <v>Female</v>
      </c>
      <c r="E1380" s="1" t="str">
        <f ca="1">IFERROR(__xludf.DUMMYFUNCTION("""COMPUTED_VALUE"""),"People from my circle, but not family members")</f>
        <v>People from my circle, but not family members</v>
      </c>
      <c r="F1380" s="1" t="str">
        <f ca="1">IFERROR(__xludf.DUMMYFUNCTION("""COMPUTED_VALUE"""),"No I would not be pursuing Higher Education outside of India")</f>
        <v>No I would not be pursuing Higher Education outside of India</v>
      </c>
      <c r="G1380" s="1" t="str">
        <f ca="1">IFERROR(__xludf.DUMMYFUNCTION("""COMPUTED_VALUE"""),"This will be hard to do, but if it is the right company I would try")</f>
        <v>This will be hard to do, but if it is the right company I would try</v>
      </c>
      <c r="H1380" s="1" t="str">
        <f ca="1">IFERROR(__xludf.DUMMYFUNCTION("""COMPUTED_VALUE"""),"No")</f>
        <v>No</v>
      </c>
      <c r="I1380" s="1" t="str">
        <f ca="1">IFERROR(__xludf.DUMMYFUNCTION("""COMPUTED_VALUE"""),"Will NOT work for them")</f>
        <v>Will NOT work for them</v>
      </c>
      <c r="J1380" s="1">
        <f ca="1">IFERROR(__xludf.DUMMYFUNCTION("""COMPUTED_VALUE"""),4)</f>
        <v>4</v>
      </c>
      <c r="K1380" s="1" t="str">
        <f ca="1">IFERROR(__xludf.DUMMYFUNCTION("""COMPUTED_VALUE"""),"Hybrid Working Environment with more than 15 days a month at office")</f>
        <v>Hybrid Working Environment with more than 15 days a month at office</v>
      </c>
      <c r="L1380" s="1" t="str">
        <f ca="1">IFERROR(__xludf.DUMMYFUNCTION("""COMPUTED_VALUE"""),"Employer who pushes your limits by enabling an learning environment, and rewards you at the end")</f>
        <v>Employer who pushes your limits by enabling an learning environment, and rewards you at the end</v>
      </c>
      <c r="M138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0" s="1" t="str">
        <f ca="1">IFERROR(__xludf.DUMMYFUNCTION("""COMPUTED_VALUE"""),"Manager who explains what is expected, sets a goal and helps achieve it")</f>
        <v>Manager who explains what is expected, sets a goal and helps achieve it</v>
      </c>
      <c r="P1380" s="1" t="str">
        <f ca="1">IFERROR(__xludf.DUMMYFUNCTION("""COMPUTED_VALUE"""),"Work with 5 to 6 people in my team")</f>
        <v>Work with 5 to 6 people in my team</v>
      </c>
      <c r="Q1380" s="1"/>
    </row>
    <row r="1381" spans="1:17" ht="13.2" x14ac:dyDescent="0.25">
      <c r="A1381" s="2">
        <f ca="1">IFERROR(__xludf.DUMMYFUNCTION("""COMPUTED_VALUE"""),45044.823875625)</f>
        <v>45044.823875624999</v>
      </c>
      <c r="B1381" s="1" t="str">
        <f ca="1">IFERROR(__xludf.DUMMYFUNCTION("""COMPUTED_VALUE"""),"India")</f>
        <v>India</v>
      </c>
      <c r="C1381" s="1">
        <f ca="1">IFERROR(__xludf.DUMMYFUNCTION("""COMPUTED_VALUE"""),753001)</f>
        <v>753001</v>
      </c>
      <c r="D1381" s="3" t="str">
        <f ca="1">IFERROR(__xludf.DUMMYFUNCTION("""COMPUTED_VALUE"""),"Female")</f>
        <v>Female</v>
      </c>
      <c r="E1381" s="1" t="str">
        <f ca="1">IFERROR(__xludf.DUMMYFUNCTION("""COMPUTED_VALUE"""),"My Parents")</f>
        <v>My Parents</v>
      </c>
      <c r="F1381" s="1" t="str">
        <f ca="1">IFERROR(__xludf.DUMMYFUNCTION("""COMPUTED_VALUE"""),"No, But if someone could bare the cost I will")</f>
        <v>No, But if someone could bare the cost I will</v>
      </c>
      <c r="G1381" s="1" t="str">
        <f ca="1">IFERROR(__xludf.DUMMYFUNCTION("""COMPUTED_VALUE"""),"Will work for 3 years or more")</f>
        <v>Will work for 3 years or more</v>
      </c>
      <c r="H1381" s="1" t="str">
        <f ca="1">IFERROR(__xludf.DUMMYFUNCTION("""COMPUTED_VALUE"""),"Yes")</f>
        <v>Yes</v>
      </c>
      <c r="I1381" s="1" t="str">
        <f ca="1">IFERROR(__xludf.DUMMYFUNCTION("""COMPUTED_VALUE"""),"Will work for them")</f>
        <v>Will work for them</v>
      </c>
      <c r="J1381" s="1">
        <f ca="1">IFERROR(__xludf.DUMMYFUNCTION("""COMPUTED_VALUE"""),3)</f>
        <v>3</v>
      </c>
      <c r="K1381" s="1" t="str">
        <f ca="1">IFERROR(__xludf.DUMMYFUNCTION("""COMPUTED_VALUE"""),"Every Day Office Environment")</f>
        <v>Every Day Office Environment</v>
      </c>
      <c r="L1381" s="1" t="str">
        <f ca="1">IFERROR(__xludf.DUMMYFUNCTION("""COMPUTED_VALUE"""),"Employer who pushes your limits by enabling an learning environment, and rewards you at the end")</f>
        <v>Employer who pushes your limits by enabling an learning environment, and rewards you at the end</v>
      </c>
      <c r="M138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81"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381" s="1" t="str">
        <f ca="1">IFERROR(__xludf.DUMMYFUNCTION("""COMPUTED_VALUE"""),"Manager who explains what is expected, sets a goal and helps achieve it")</f>
        <v>Manager who explains what is expected, sets a goal and helps achieve it</v>
      </c>
      <c r="P1381" s="1" t="str">
        <f ca="1">IFERROR(__xludf.DUMMYFUNCTION("""COMPUTED_VALUE"""),"Work with 5 to 6 people in my team")</f>
        <v>Work with 5 to 6 people in my team</v>
      </c>
      <c r="Q1381" s="1"/>
    </row>
    <row r="1382" spans="1:17" ht="13.2" x14ac:dyDescent="0.25">
      <c r="A1382" s="2">
        <f ca="1">IFERROR(__xludf.DUMMYFUNCTION("""COMPUTED_VALUE"""),45044.8267601504)</f>
        <v>45044.826760150398</v>
      </c>
      <c r="B1382" s="1" t="str">
        <f ca="1">IFERROR(__xludf.DUMMYFUNCTION("""COMPUTED_VALUE"""),"India")</f>
        <v>India</v>
      </c>
      <c r="C1382" s="1">
        <f ca="1">IFERROR(__xludf.DUMMYFUNCTION("""COMPUTED_VALUE"""),600073)</f>
        <v>600073</v>
      </c>
      <c r="D1382" s="3" t="str">
        <f ca="1">IFERROR(__xludf.DUMMYFUNCTION("""COMPUTED_VALUE"""),"Female")</f>
        <v>Female</v>
      </c>
      <c r="E1382" s="1" t="str">
        <f ca="1">IFERROR(__xludf.DUMMYFUNCTION("""COMPUTED_VALUE"""),"Influencers who had successful careers")</f>
        <v>Influencers who had successful careers</v>
      </c>
      <c r="F1382" s="1" t="str">
        <f ca="1">IFERROR(__xludf.DUMMYFUNCTION("""COMPUTED_VALUE"""),"No, But if someone could bare the cost I will")</f>
        <v>No, But if someone could bare the cost I will</v>
      </c>
      <c r="G1382" s="1" t="str">
        <f ca="1">IFERROR(__xludf.DUMMYFUNCTION("""COMPUTED_VALUE"""),"This will be hard to do, but if it is the right company I would try")</f>
        <v>This will be hard to do, but if it is the right company I would try</v>
      </c>
      <c r="H1382" s="1" t="str">
        <f ca="1">IFERROR(__xludf.DUMMYFUNCTION("""COMPUTED_VALUE"""),"No")</f>
        <v>No</v>
      </c>
      <c r="I1382" s="1" t="str">
        <f ca="1">IFERROR(__xludf.DUMMYFUNCTION("""COMPUTED_VALUE"""),"Will NOT work for them")</f>
        <v>Will NOT work for them</v>
      </c>
      <c r="J1382" s="1">
        <f ca="1">IFERROR(__xludf.DUMMYFUNCTION("""COMPUTED_VALUE"""),5)</f>
        <v>5</v>
      </c>
      <c r="K1382" s="1" t="str">
        <f ca="1">IFERROR(__xludf.DUMMYFUNCTION("""COMPUTED_VALUE"""),"Hybrid Working Environment with less than 3 days a month at office")</f>
        <v>Hybrid Working Environment with less than 3 days a month at office</v>
      </c>
      <c r="L1382" s="1" t="str">
        <f ca="1">IFERROR(__xludf.DUMMYFUNCTION("""COMPUTED_VALUE"""),"Employer who pushes your limits by enabling an learning environment, and rewards you at the end")</f>
        <v>Employer who pushes your limits by enabling an learning environment, and rewards you at the end</v>
      </c>
      <c r="M138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382"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382" s="1" t="str">
        <f ca="1">IFERROR(__xludf.DUMMYFUNCTION("""COMPUTED_VALUE"""),"Manager who explains what is expected, sets a goal and helps achieve it")</f>
        <v>Manager who explains what is expected, sets a goal and helps achieve it</v>
      </c>
      <c r="P1382" s="1" t="str">
        <f ca="1">IFERROR(__xludf.DUMMYFUNCTION("""COMPUTED_VALUE"""),"Work with more than 10 people in my team")</f>
        <v>Work with more than 10 people in my team</v>
      </c>
      <c r="Q1382" s="1"/>
    </row>
    <row r="1383" spans="1:17" ht="13.2" x14ac:dyDescent="0.25">
      <c r="A1383" s="2">
        <f ca="1">IFERROR(__xludf.DUMMYFUNCTION("""COMPUTED_VALUE"""),45044.8270799652)</f>
        <v>45044.827079965202</v>
      </c>
      <c r="B1383" s="1" t="str">
        <f ca="1">IFERROR(__xludf.DUMMYFUNCTION("""COMPUTED_VALUE"""),"India")</f>
        <v>India</v>
      </c>
      <c r="C1383" s="1">
        <f ca="1">IFERROR(__xludf.DUMMYFUNCTION("""COMPUTED_VALUE"""),500010)</f>
        <v>500010</v>
      </c>
      <c r="D1383" s="3" t="str">
        <f ca="1">IFERROR(__xludf.DUMMYFUNCTION("""COMPUTED_VALUE"""),"Male")</f>
        <v>Male</v>
      </c>
      <c r="E1383" s="1" t="str">
        <f ca="1">IFERROR(__xludf.DUMMYFUNCTION("""COMPUTED_VALUE"""),"My Parents")</f>
        <v>My Parents</v>
      </c>
      <c r="F1383" s="1" t="str">
        <f ca="1">IFERROR(__xludf.DUMMYFUNCTION("""COMPUTED_VALUE"""),"Yes, I will earn and do that")</f>
        <v>Yes, I will earn and do that</v>
      </c>
      <c r="G1383" s="1" t="str">
        <f ca="1">IFERROR(__xludf.DUMMYFUNCTION("""COMPUTED_VALUE"""),"This will be hard to do, but if it is the right company I would try")</f>
        <v>This will be hard to do, but if it is the right company I would try</v>
      </c>
      <c r="H1383" s="1" t="str">
        <f ca="1">IFERROR(__xludf.DUMMYFUNCTION("""COMPUTED_VALUE"""),"No")</f>
        <v>No</v>
      </c>
      <c r="I1383" s="1" t="str">
        <f ca="1">IFERROR(__xludf.DUMMYFUNCTION("""COMPUTED_VALUE"""),"Will NOT work for them")</f>
        <v>Will NOT work for them</v>
      </c>
      <c r="J1383" s="1">
        <f ca="1">IFERROR(__xludf.DUMMYFUNCTION("""COMPUTED_VALUE"""),5)</f>
        <v>5</v>
      </c>
      <c r="K1383" s="1" t="str">
        <f ca="1">IFERROR(__xludf.DUMMYFUNCTION("""COMPUTED_VALUE"""),"Hybrid Working Environment with less than 3 days a month at office")</f>
        <v>Hybrid Working Environment with less than 3 days a month at office</v>
      </c>
      <c r="L1383" s="1" t="str">
        <f ca="1">IFERROR(__xludf.DUMMYFUNCTION("""COMPUTED_VALUE"""),"Employer who pushes your limits by enabling an learning environment, and rewards you at the end")</f>
        <v>Employer who pushes your limits by enabling an learning environment, and rewards you at the end</v>
      </c>
      <c r="M138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383" s="1" t="str">
        <f ca="1">IFERROR(__xludf.DUMMYFUNCTION("""COMPUTED_VALUE"""),"Manager who explains what is expected, sets a goal and helps achieve it")</f>
        <v>Manager who explains what is expected, sets a goal and helps achieve it</v>
      </c>
      <c r="P1383" s="1" t="str">
        <f ca="1">IFERROR(__xludf.DUMMYFUNCTION("""COMPUTED_VALUE"""),"Work with 5 to 6 people in my team")</f>
        <v>Work with 5 to 6 people in my team</v>
      </c>
      <c r="Q1383" s="1"/>
    </row>
    <row r="1384" spans="1:17" ht="13.2" x14ac:dyDescent="0.25">
      <c r="A1384" s="2">
        <f ca="1">IFERROR(__xludf.DUMMYFUNCTION("""COMPUTED_VALUE"""),45044.8310726967)</f>
        <v>45044.831072696703</v>
      </c>
      <c r="B1384" s="1" t="str">
        <f ca="1">IFERROR(__xludf.DUMMYFUNCTION("""COMPUTED_VALUE"""),"India")</f>
        <v>India</v>
      </c>
      <c r="C1384" s="1">
        <f ca="1">IFERROR(__xludf.DUMMYFUNCTION("""COMPUTED_VALUE"""),530072)</f>
        <v>530072</v>
      </c>
      <c r="D1384" s="3" t="str">
        <f ca="1">IFERROR(__xludf.DUMMYFUNCTION("""COMPUTED_VALUE"""),"Female")</f>
        <v>Female</v>
      </c>
      <c r="E1384" s="1" t="str">
        <f ca="1">IFERROR(__xludf.DUMMYFUNCTION("""COMPUTED_VALUE"""),"People from my circle, but not family members")</f>
        <v>People from my circle, but not family members</v>
      </c>
      <c r="F1384" s="1" t="str">
        <f ca="1">IFERROR(__xludf.DUMMYFUNCTION("""COMPUTED_VALUE"""),"No I would not be pursuing Higher Education outside of India")</f>
        <v>No I would not be pursuing Higher Education outside of India</v>
      </c>
      <c r="G1384" s="1" t="str">
        <f ca="1">IFERROR(__xludf.DUMMYFUNCTION("""COMPUTED_VALUE"""),"This will be hard to do, but if it is the right company I would try")</f>
        <v>This will be hard to do, but if it is the right company I would try</v>
      </c>
      <c r="H1384" s="1" t="str">
        <f ca="1">IFERROR(__xludf.DUMMYFUNCTION("""COMPUTED_VALUE"""),"No")</f>
        <v>No</v>
      </c>
      <c r="I1384" s="1" t="str">
        <f ca="1">IFERROR(__xludf.DUMMYFUNCTION("""COMPUTED_VALUE"""),"Will work for them")</f>
        <v>Will work for them</v>
      </c>
      <c r="J1384" s="1">
        <f ca="1">IFERROR(__xludf.DUMMYFUNCTION("""COMPUTED_VALUE"""),6)</f>
        <v>6</v>
      </c>
      <c r="K1384" s="1" t="str">
        <f ca="1">IFERROR(__xludf.DUMMYFUNCTION("""COMPUTED_VALUE"""),"Hybrid Working Environment with less than 3 days a month at office")</f>
        <v>Hybrid Working Environment with less than 3 days a month at office</v>
      </c>
      <c r="L1384" s="1" t="str">
        <f ca="1">IFERROR(__xludf.DUMMYFUNCTION("""COMPUTED_VALUE"""),"Employer who rewards learning and enables that environment")</f>
        <v>Employer who rewards learning and enables that environment</v>
      </c>
      <c r="M138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84"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1384" s="1" t="str">
        <f ca="1">IFERROR(__xludf.DUMMYFUNCTION("""COMPUTED_VALUE"""),"Manager who explains what is expected, sets a goal and helps achieve it")</f>
        <v>Manager who explains what is expected, sets a goal and helps achieve it</v>
      </c>
      <c r="P1384" s="1" t="str">
        <f ca="1">IFERROR(__xludf.DUMMYFUNCTION("""COMPUTED_VALUE"""),"Work with 2 to 3 people in my team")</f>
        <v>Work with 2 to 3 people in my team</v>
      </c>
      <c r="Q1384" s="1"/>
    </row>
    <row r="1385" spans="1:17" ht="13.2" x14ac:dyDescent="0.25">
      <c r="A1385" s="2">
        <f ca="1">IFERROR(__xludf.DUMMYFUNCTION("""COMPUTED_VALUE"""),45044.8336682754)</f>
        <v>45044.833668275402</v>
      </c>
      <c r="B1385" s="1" t="str">
        <f ca="1">IFERROR(__xludf.DUMMYFUNCTION("""COMPUTED_VALUE"""),"India")</f>
        <v>India</v>
      </c>
      <c r="C1385" s="1">
        <f ca="1">IFERROR(__xludf.DUMMYFUNCTION("""COMPUTED_VALUE"""),530001)</f>
        <v>530001</v>
      </c>
      <c r="D1385" s="3" t="str">
        <f ca="1">IFERROR(__xludf.DUMMYFUNCTION("""COMPUTED_VALUE"""),"Female")</f>
        <v>Female</v>
      </c>
      <c r="E1385" s="1" t="str">
        <f ca="1">IFERROR(__xludf.DUMMYFUNCTION("""COMPUTED_VALUE"""),"My Parents")</f>
        <v>My Parents</v>
      </c>
      <c r="F1385" s="1" t="str">
        <f ca="1">IFERROR(__xludf.DUMMYFUNCTION("""COMPUTED_VALUE"""),"No I would not be pursuing Higher Education outside of India")</f>
        <v>No I would not be pursuing Higher Education outside of India</v>
      </c>
      <c r="G1385" s="1" t="str">
        <f ca="1">IFERROR(__xludf.DUMMYFUNCTION("""COMPUTED_VALUE"""),"Will work for 3 years or more")</f>
        <v>Will work for 3 years or more</v>
      </c>
      <c r="H1385" s="1" t="str">
        <f ca="1">IFERROR(__xludf.DUMMYFUNCTION("""COMPUTED_VALUE"""),"No")</f>
        <v>No</v>
      </c>
      <c r="I1385" s="1" t="str">
        <f ca="1">IFERROR(__xludf.DUMMYFUNCTION("""COMPUTED_VALUE"""),"Will NOT work for them")</f>
        <v>Will NOT work for them</v>
      </c>
      <c r="J1385" s="1">
        <f ca="1">IFERROR(__xludf.DUMMYFUNCTION("""COMPUTED_VALUE"""),5)</f>
        <v>5</v>
      </c>
      <c r="K1385" s="1" t="str">
        <f ca="1">IFERROR(__xludf.DUMMYFUNCTION("""COMPUTED_VALUE"""),"Fully Remote with Options to travel as and when needed")</f>
        <v>Fully Remote with Options to travel as and when needed</v>
      </c>
      <c r="L1385" s="1" t="str">
        <f ca="1">IFERROR(__xludf.DUMMYFUNCTION("""COMPUTED_VALUE"""),"Employer who appreciates learning and enables that environment")</f>
        <v>Employer who appreciates learning and enables that environment</v>
      </c>
      <c r="M138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85"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385" s="1" t="str">
        <f ca="1">IFERROR(__xludf.DUMMYFUNCTION("""COMPUTED_VALUE"""),"Manager who explains what is expected, sets a goal and helps achieve it")</f>
        <v>Manager who explains what is expected, sets a goal and helps achieve it</v>
      </c>
      <c r="P1385" s="1" t="str">
        <f ca="1">IFERROR(__xludf.DUMMYFUNCTION("""COMPUTED_VALUE"""),"Work with more than 10 people in my team")</f>
        <v>Work with more than 10 people in my team</v>
      </c>
      <c r="Q1385" s="1"/>
    </row>
    <row r="1386" spans="1:17" ht="13.2" x14ac:dyDescent="0.25">
      <c r="A1386" s="2">
        <f ca="1">IFERROR(__xludf.DUMMYFUNCTION("""COMPUTED_VALUE"""),45044.8340515277)</f>
        <v>45044.834051527701</v>
      </c>
      <c r="B1386" s="1" t="str">
        <f ca="1">IFERROR(__xludf.DUMMYFUNCTION("""COMPUTED_VALUE"""),"India")</f>
        <v>India</v>
      </c>
      <c r="C1386" s="1">
        <f ca="1">IFERROR(__xludf.DUMMYFUNCTION("""COMPUTED_VALUE"""),502032)</f>
        <v>502032</v>
      </c>
      <c r="D1386" s="3" t="str">
        <f ca="1">IFERROR(__xludf.DUMMYFUNCTION("""COMPUTED_VALUE"""),"Female")</f>
        <v>Female</v>
      </c>
      <c r="E1386" s="1" t="str">
        <f ca="1">IFERROR(__xludf.DUMMYFUNCTION("""COMPUTED_VALUE"""),"People who have changed the world for better")</f>
        <v>People who have changed the world for better</v>
      </c>
      <c r="F1386" s="1" t="str">
        <f ca="1">IFERROR(__xludf.DUMMYFUNCTION("""COMPUTED_VALUE"""),"No, But if someone could bare the cost I will")</f>
        <v>No, But if someone could bare the cost I will</v>
      </c>
      <c r="G1386" s="1" t="str">
        <f ca="1">IFERROR(__xludf.DUMMYFUNCTION("""COMPUTED_VALUE"""),"Will work for 3 years or more")</f>
        <v>Will work for 3 years or more</v>
      </c>
      <c r="H1386" s="1" t="str">
        <f ca="1">IFERROR(__xludf.DUMMYFUNCTION("""COMPUTED_VALUE"""),"No")</f>
        <v>No</v>
      </c>
      <c r="I1386" s="1" t="str">
        <f ca="1">IFERROR(__xludf.DUMMYFUNCTION("""COMPUTED_VALUE"""),"Will NOT work for them")</f>
        <v>Will NOT work for them</v>
      </c>
      <c r="J1386" s="1">
        <f ca="1">IFERROR(__xludf.DUMMYFUNCTION("""COMPUTED_VALUE"""),3)</f>
        <v>3</v>
      </c>
      <c r="K1386" s="1" t="str">
        <f ca="1">IFERROR(__xludf.DUMMYFUNCTION("""COMPUTED_VALUE"""),"Every Day Office Environment")</f>
        <v>Every Day Office Environment</v>
      </c>
      <c r="L1386" s="1" t="str">
        <f ca="1">IFERROR(__xludf.DUMMYFUNCTION("""COMPUTED_VALUE"""),"Employer who appreciates learning and enables that environment")</f>
        <v>Employer who appreciates learning and enables that environment</v>
      </c>
      <c r="M138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86"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86" s="1" t="str">
        <f ca="1">IFERROR(__xludf.DUMMYFUNCTION("""COMPUTED_VALUE"""),"Manager who clearly describes what she/he needs")</f>
        <v>Manager who clearly describes what she/he needs</v>
      </c>
      <c r="P1386" s="1" t="str">
        <f ca="1">IFERROR(__xludf.DUMMYFUNCTION("""COMPUTED_VALUE"""),"Work with 5 to 6 people in my team")</f>
        <v>Work with 5 to 6 people in my team</v>
      </c>
      <c r="Q1386" s="1"/>
    </row>
    <row r="1387" spans="1:17" ht="13.2" x14ac:dyDescent="0.25">
      <c r="A1387" s="2">
        <f ca="1">IFERROR(__xludf.DUMMYFUNCTION("""COMPUTED_VALUE"""),45044.8345561574)</f>
        <v>45044.834556157402</v>
      </c>
      <c r="B1387" s="1" t="str">
        <f ca="1">IFERROR(__xludf.DUMMYFUNCTION("""COMPUTED_VALUE"""),"India")</f>
        <v>India</v>
      </c>
      <c r="C1387" s="1">
        <f ca="1">IFERROR(__xludf.DUMMYFUNCTION("""COMPUTED_VALUE"""),533201)</f>
        <v>533201</v>
      </c>
      <c r="D1387" s="3" t="str">
        <f ca="1">IFERROR(__xludf.DUMMYFUNCTION("""COMPUTED_VALUE"""),"Male")</f>
        <v>Male</v>
      </c>
      <c r="E1387" s="1" t="str">
        <f ca="1">IFERROR(__xludf.DUMMYFUNCTION("""COMPUTED_VALUE"""),"My Parents")</f>
        <v>My Parents</v>
      </c>
      <c r="F1387" s="1" t="str">
        <f ca="1">IFERROR(__xludf.DUMMYFUNCTION("""COMPUTED_VALUE"""),"No, But if someone could bare the cost I will")</f>
        <v>No, But if someone could bare the cost I will</v>
      </c>
      <c r="G1387" s="1" t="str">
        <f ca="1">IFERROR(__xludf.DUMMYFUNCTION("""COMPUTED_VALUE"""),"This will be hard to do, but if it is the right company I would try")</f>
        <v>This will be hard to do, but if it is the right company I would try</v>
      </c>
      <c r="H1387" s="1" t="str">
        <f ca="1">IFERROR(__xludf.DUMMYFUNCTION("""COMPUTED_VALUE"""),"No")</f>
        <v>No</v>
      </c>
      <c r="I1387" s="1" t="str">
        <f ca="1">IFERROR(__xludf.DUMMYFUNCTION("""COMPUTED_VALUE"""),"Will NOT work for them")</f>
        <v>Will NOT work for them</v>
      </c>
      <c r="J1387" s="1">
        <f ca="1">IFERROR(__xludf.DUMMYFUNCTION("""COMPUTED_VALUE"""),5)</f>
        <v>5</v>
      </c>
      <c r="K1387" s="1" t="str">
        <f ca="1">IFERROR(__xludf.DUMMYFUNCTION("""COMPUTED_VALUE"""),"Fully Remote with Options to travel as and when needed")</f>
        <v>Fully Remote with Options to travel as and when needed</v>
      </c>
      <c r="L1387" s="1" t="str">
        <f ca="1">IFERROR(__xludf.DUMMYFUNCTION("""COMPUTED_VALUE"""),"Employer who appreciates learning and enables that environment")</f>
        <v>Employer who appreciates learning and enables that environment</v>
      </c>
      <c r="M138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7"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87" s="1" t="str">
        <f ca="1">IFERROR(__xludf.DUMMYFUNCTION("""COMPUTED_VALUE"""),"Manager who explains what is expected, sets a goal and helps achieve it")</f>
        <v>Manager who explains what is expected, sets a goal and helps achieve it</v>
      </c>
      <c r="P1387" s="1" t="str">
        <f ca="1">IFERROR(__xludf.DUMMYFUNCTION("""COMPUTED_VALUE"""),"Work alone, Work with 2 to 3 people in my team")</f>
        <v>Work alone, Work with 2 to 3 people in my team</v>
      </c>
      <c r="Q1387" s="1"/>
    </row>
    <row r="1388" spans="1:17" ht="13.2" x14ac:dyDescent="0.25">
      <c r="A1388" s="2">
        <f ca="1">IFERROR(__xludf.DUMMYFUNCTION("""COMPUTED_VALUE"""),45044.8369749537)</f>
        <v>45044.836974953701</v>
      </c>
      <c r="B1388" s="1" t="str">
        <f ca="1">IFERROR(__xludf.DUMMYFUNCTION("""COMPUTED_VALUE"""),"India")</f>
        <v>India</v>
      </c>
      <c r="C1388" s="1">
        <f ca="1">IFERROR(__xludf.DUMMYFUNCTION("""COMPUTED_VALUE"""),607803)</f>
        <v>607803</v>
      </c>
      <c r="D1388" s="3" t="str">
        <f ca="1">IFERROR(__xludf.DUMMYFUNCTION("""COMPUTED_VALUE"""),"Female")</f>
        <v>Female</v>
      </c>
      <c r="E1388" s="1" t="str">
        <f ca="1">IFERROR(__xludf.DUMMYFUNCTION("""COMPUTED_VALUE"""),"People who have changed the world for better")</f>
        <v>People who have changed the world for better</v>
      </c>
      <c r="F1388" s="1" t="str">
        <f ca="1">IFERROR(__xludf.DUMMYFUNCTION("""COMPUTED_VALUE"""),"Yes, I will earn and do that")</f>
        <v>Yes, I will earn and do that</v>
      </c>
      <c r="G1388" s="1" t="str">
        <f ca="1">IFERROR(__xludf.DUMMYFUNCTION("""COMPUTED_VALUE"""),"This will be hard to do, but if it is the right company I would try")</f>
        <v>This will be hard to do, but if it is the right company I would try</v>
      </c>
      <c r="H1388" s="1" t="str">
        <f ca="1">IFERROR(__xludf.DUMMYFUNCTION("""COMPUTED_VALUE"""),"No")</f>
        <v>No</v>
      </c>
      <c r="I1388" s="1" t="str">
        <f ca="1">IFERROR(__xludf.DUMMYFUNCTION("""COMPUTED_VALUE"""),"Will NOT work for them")</f>
        <v>Will NOT work for them</v>
      </c>
      <c r="J1388" s="1">
        <f ca="1">IFERROR(__xludf.DUMMYFUNCTION("""COMPUTED_VALUE"""),5)</f>
        <v>5</v>
      </c>
      <c r="K1388" s="1" t="str">
        <f ca="1">IFERROR(__xludf.DUMMYFUNCTION("""COMPUTED_VALUE"""),"Hybrid Working Environment with more than 15 days a month at office")</f>
        <v>Hybrid Working Environment with more than 15 days a month at office</v>
      </c>
      <c r="L1388" s="1" t="str">
        <f ca="1">IFERROR(__xludf.DUMMYFUNCTION("""COMPUTED_VALUE"""),"Employer who appreciates learning and enables that environment")</f>
        <v>Employer who appreciates learning and enables that environment</v>
      </c>
      <c r="M1388" s="1" t="str">
        <f ca="1">IFERROR(__xludf.DUMMYFUNCTION("""COMPUTED_VALUE"""),"Self Paced Learning Portals of the Company, Instructor or Expert Learning Programs, Manager Teaching you")</f>
        <v>Self Paced Learning Portals of the Company, Instructor or Expert Learning Programs, Manager Teaching you</v>
      </c>
      <c r="N1388"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388" s="1" t="str">
        <f ca="1">IFERROR(__xludf.DUMMYFUNCTION("""COMPUTED_VALUE"""),"Manager who sets goal and helps me achieve it")</f>
        <v>Manager who sets goal and helps me achieve it</v>
      </c>
      <c r="P1388" s="1" t="str">
        <f ca="1">IFERROR(__xludf.DUMMYFUNCTION("""COMPUTED_VALUE"""),"Work with 7 to 10 or more people in my team")</f>
        <v>Work with 7 to 10 or more people in my team</v>
      </c>
      <c r="Q1388" s="1"/>
    </row>
    <row r="1389" spans="1:17" ht="13.2" x14ac:dyDescent="0.25">
      <c r="A1389" s="2">
        <f ca="1">IFERROR(__xludf.DUMMYFUNCTION("""COMPUTED_VALUE"""),45044.844605324)</f>
        <v>45044.844605323997</v>
      </c>
      <c r="B1389" s="1" t="str">
        <f ca="1">IFERROR(__xludf.DUMMYFUNCTION("""COMPUTED_VALUE"""),"India")</f>
        <v>India</v>
      </c>
      <c r="C1389" s="1">
        <f ca="1">IFERROR(__xludf.DUMMYFUNCTION("""COMPUTED_VALUE"""),560094)</f>
        <v>560094</v>
      </c>
      <c r="D1389" s="3" t="str">
        <f ca="1">IFERROR(__xludf.DUMMYFUNCTION("""COMPUTED_VALUE"""),"Female")</f>
        <v>Female</v>
      </c>
      <c r="E1389" s="1" t="str">
        <f ca="1">IFERROR(__xludf.DUMMYFUNCTION("""COMPUTED_VALUE"""),"People who have changed the world for better")</f>
        <v>People who have changed the world for better</v>
      </c>
      <c r="F1389" s="1" t="str">
        <f ca="1">IFERROR(__xludf.DUMMYFUNCTION("""COMPUTED_VALUE"""),"Yes, I will earn and do that")</f>
        <v>Yes, I will earn and do that</v>
      </c>
      <c r="G1389" s="1" t="str">
        <f ca="1">IFERROR(__xludf.DUMMYFUNCTION("""COMPUTED_VALUE"""),"This will be hard to do, but if it is the right company I would try")</f>
        <v>This will be hard to do, but if it is the right company I would try</v>
      </c>
      <c r="H1389" s="1" t="str">
        <f ca="1">IFERROR(__xludf.DUMMYFUNCTION("""COMPUTED_VALUE"""),"No")</f>
        <v>No</v>
      </c>
      <c r="I1389" s="1" t="str">
        <f ca="1">IFERROR(__xludf.DUMMYFUNCTION("""COMPUTED_VALUE"""),"Will NOT work for them")</f>
        <v>Will NOT work for them</v>
      </c>
      <c r="J1389" s="1">
        <f ca="1">IFERROR(__xludf.DUMMYFUNCTION("""COMPUTED_VALUE"""),2)</f>
        <v>2</v>
      </c>
      <c r="K1389" s="1" t="str">
        <f ca="1">IFERROR(__xludf.DUMMYFUNCTION("""COMPUTED_VALUE"""),"Fully Remote with Options to travel as and when needed")</f>
        <v>Fully Remote with Options to travel as and when needed</v>
      </c>
      <c r="L1389" s="1" t="str">
        <f ca="1">IFERROR(__xludf.DUMMYFUNCTION("""COMPUTED_VALUE"""),"Employer who appreciates learning and enables that environment")</f>
        <v>Employer who appreciates learning and enables that environment</v>
      </c>
      <c r="M138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89"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9" s="1" t="str">
        <f ca="1">IFERROR(__xludf.DUMMYFUNCTION("""COMPUTED_VALUE"""),"Manager who clearly describes what she/he needs")</f>
        <v>Manager who clearly describes what she/he needs</v>
      </c>
      <c r="P1389" s="1" t="str">
        <f ca="1">IFERROR(__xludf.DUMMYFUNCTION("""COMPUTED_VALUE"""),"Work with 5 to 6 people in my team")</f>
        <v>Work with 5 to 6 people in my team</v>
      </c>
      <c r="Q1389" s="1"/>
    </row>
    <row r="1390" spans="1:17" ht="13.2" x14ac:dyDescent="0.25">
      <c r="A1390" s="2">
        <f ca="1">IFERROR(__xludf.DUMMYFUNCTION("""COMPUTED_VALUE"""),45044.8458607407)</f>
        <v>45044.845860740701</v>
      </c>
      <c r="B1390" s="1" t="str">
        <f ca="1">IFERROR(__xludf.DUMMYFUNCTION("""COMPUTED_VALUE"""),"India")</f>
        <v>India</v>
      </c>
      <c r="C1390" s="1">
        <f ca="1">IFERROR(__xludf.DUMMYFUNCTION("""COMPUTED_VALUE"""),509334)</f>
        <v>509334</v>
      </c>
      <c r="D1390" s="3" t="str">
        <f ca="1">IFERROR(__xludf.DUMMYFUNCTION("""COMPUTED_VALUE"""),"Female")</f>
        <v>Female</v>
      </c>
      <c r="E1390" s="1" t="str">
        <f ca="1">IFERROR(__xludf.DUMMYFUNCTION("""COMPUTED_VALUE"""),"People who have changed the world for better")</f>
        <v>People who have changed the world for better</v>
      </c>
      <c r="F1390" s="1" t="str">
        <f ca="1">IFERROR(__xludf.DUMMYFUNCTION("""COMPUTED_VALUE"""),"Yes, I will earn and do that")</f>
        <v>Yes, I will earn and do that</v>
      </c>
      <c r="G1390" s="1" t="str">
        <f ca="1">IFERROR(__xludf.DUMMYFUNCTION("""COMPUTED_VALUE"""),"This will be hard to do, but if it is the right company I would try")</f>
        <v>This will be hard to do, but if it is the right company I would try</v>
      </c>
      <c r="H1390" s="1" t="str">
        <f ca="1">IFERROR(__xludf.DUMMYFUNCTION("""COMPUTED_VALUE"""),"No")</f>
        <v>No</v>
      </c>
      <c r="I1390" s="1" t="str">
        <f ca="1">IFERROR(__xludf.DUMMYFUNCTION("""COMPUTED_VALUE"""),"Will NOT work for them")</f>
        <v>Will NOT work for them</v>
      </c>
      <c r="J1390" s="1">
        <f ca="1">IFERROR(__xludf.DUMMYFUNCTION("""COMPUTED_VALUE"""),1)</f>
        <v>1</v>
      </c>
      <c r="K1390" s="1" t="str">
        <f ca="1">IFERROR(__xludf.DUMMYFUNCTION("""COMPUTED_VALUE"""),"Fully Remote with Options to travel as and when needed")</f>
        <v>Fully Remote with Options to travel as and when needed</v>
      </c>
      <c r="L1390" s="1" t="str">
        <f ca="1">IFERROR(__xludf.DUMMYFUNCTION("""COMPUTED_VALUE"""),"Employer who pushes your limits by enabling an learning environment, and rewards you at the end")</f>
        <v>Employer who pushes your limits by enabling an learning environment, and rewards you at the end</v>
      </c>
      <c r="M13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90"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390" s="1" t="str">
        <f ca="1">IFERROR(__xludf.DUMMYFUNCTION("""COMPUTED_VALUE"""),"Manager who explains what is expected, sets a goal and helps achieve it")</f>
        <v>Manager who explains what is expected, sets a goal and helps achieve it</v>
      </c>
      <c r="P1390" s="1" t="str">
        <f ca="1">IFERROR(__xludf.DUMMYFUNCTION("""COMPUTED_VALUE"""),"Work with 5 to 6 people in my team")</f>
        <v>Work with 5 to 6 people in my team</v>
      </c>
      <c r="Q1390" s="1"/>
    </row>
    <row r="1391" spans="1:17" ht="13.2" x14ac:dyDescent="0.25">
      <c r="A1391" s="2">
        <f ca="1">IFERROR(__xludf.DUMMYFUNCTION("""COMPUTED_VALUE"""),45044.8480246064)</f>
        <v>45044.848024606399</v>
      </c>
      <c r="B1391" s="1" t="str">
        <f ca="1">IFERROR(__xludf.DUMMYFUNCTION("""COMPUTED_VALUE"""),"India")</f>
        <v>India</v>
      </c>
      <c r="C1391" s="1">
        <f ca="1">IFERROR(__xludf.DUMMYFUNCTION("""COMPUTED_VALUE"""),531034)</f>
        <v>531034</v>
      </c>
      <c r="D1391" s="3" t="str">
        <f ca="1">IFERROR(__xludf.DUMMYFUNCTION("""COMPUTED_VALUE"""),"Male")</f>
        <v>Male</v>
      </c>
      <c r="E1391" s="1" t="str">
        <f ca="1">IFERROR(__xludf.DUMMYFUNCTION("""COMPUTED_VALUE"""),"People from my circle, but not family members")</f>
        <v>People from my circle, but not family members</v>
      </c>
      <c r="F1391" s="1" t="str">
        <f ca="1">IFERROR(__xludf.DUMMYFUNCTION("""COMPUTED_VALUE"""),"No I would not be pursuing Higher Education outside of India")</f>
        <v>No I would not be pursuing Higher Education outside of India</v>
      </c>
      <c r="G1391" s="1" t="str">
        <f ca="1">IFERROR(__xludf.DUMMYFUNCTION("""COMPUTED_VALUE"""),"This will be hard to do, but if it is the right company I would try")</f>
        <v>This will be hard to do, but if it is the right company I would try</v>
      </c>
      <c r="H1391" s="1" t="str">
        <f ca="1">IFERROR(__xludf.DUMMYFUNCTION("""COMPUTED_VALUE"""),"No")</f>
        <v>No</v>
      </c>
      <c r="I1391" s="1" t="str">
        <f ca="1">IFERROR(__xludf.DUMMYFUNCTION("""COMPUTED_VALUE"""),"Will NOT work for them")</f>
        <v>Will NOT work for them</v>
      </c>
      <c r="J1391" s="1">
        <f ca="1">IFERROR(__xludf.DUMMYFUNCTION("""COMPUTED_VALUE"""),3)</f>
        <v>3</v>
      </c>
      <c r="K1391" s="1" t="str">
        <f ca="1">IFERROR(__xludf.DUMMYFUNCTION("""COMPUTED_VALUE"""),"Fully Remote with Options to travel as and when needed")</f>
        <v>Fully Remote with Options to travel as and when needed</v>
      </c>
      <c r="L1391" s="1" t="str">
        <f ca="1">IFERROR(__xludf.DUMMYFUNCTION("""COMPUTED_VALUE"""),"Employer who pushes your limits by enabling an learning environment, and rewards you at the end")</f>
        <v>Employer who pushes your limits by enabling an learning environment, and rewards you at the end</v>
      </c>
      <c r="M13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91"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391" s="1" t="str">
        <f ca="1">IFERROR(__xludf.DUMMYFUNCTION("""COMPUTED_VALUE"""),"Manager who explains what is expected, sets a goal and helps achieve it")</f>
        <v>Manager who explains what is expected, sets a goal and helps achieve it</v>
      </c>
      <c r="P1391" s="1" t="str">
        <f ca="1">IFERROR(__xludf.DUMMYFUNCTION("""COMPUTED_VALUE"""),"Work alone, Work with 2 to 3 people in my team, Work with 5 to 6 people in my team")</f>
        <v>Work alone, Work with 2 to 3 people in my team, Work with 5 to 6 people in my team</v>
      </c>
      <c r="Q1391" s="1"/>
    </row>
    <row r="1392" spans="1:17" ht="13.2" x14ac:dyDescent="0.25">
      <c r="A1392" s="2">
        <f ca="1">IFERROR(__xludf.DUMMYFUNCTION("""COMPUTED_VALUE"""),45044.848354456)</f>
        <v>45044.848354456</v>
      </c>
      <c r="B1392" s="1" t="str">
        <f ca="1">IFERROR(__xludf.DUMMYFUNCTION("""COMPUTED_VALUE"""),"India")</f>
        <v>India</v>
      </c>
      <c r="C1392" s="1">
        <f ca="1">IFERROR(__xludf.DUMMYFUNCTION("""COMPUTED_VALUE"""),500085)</f>
        <v>500085</v>
      </c>
      <c r="D1392" s="3" t="str">
        <f ca="1">IFERROR(__xludf.DUMMYFUNCTION("""COMPUTED_VALUE"""),"Female")</f>
        <v>Female</v>
      </c>
      <c r="E1392" s="1" t="str">
        <f ca="1">IFERROR(__xludf.DUMMYFUNCTION("""COMPUTED_VALUE"""),"My Parents")</f>
        <v>My Parents</v>
      </c>
      <c r="F1392" s="1" t="str">
        <f ca="1">IFERROR(__xludf.DUMMYFUNCTION("""COMPUTED_VALUE"""),"No I would not be pursuing Higher Education outside of India")</f>
        <v>No I would not be pursuing Higher Education outside of India</v>
      </c>
      <c r="G1392" s="1" t="str">
        <f ca="1">IFERROR(__xludf.DUMMYFUNCTION("""COMPUTED_VALUE"""),"This will be hard to do, but if it is the right company I would try")</f>
        <v>This will be hard to do, but if it is the right company I would try</v>
      </c>
      <c r="H1392" s="1" t="str">
        <f ca="1">IFERROR(__xludf.DUMMYFUNCTION("""COMPUTED_VALUE"""),"No")</f>
        <v>No</v>
      </c>
      <c r="I1392" s="1" t="str">
        <f ca="1">IFERROR(__xludf.DUMMYFUNCTION("""COMPUTED_VALUE"""),"Will NOT work for them")</f>
        <v>Will NOT work for them</v>
      </c>
      <c r="J1392" s="1">
        <f ca="1">IFERROR(__xludf.DUMMYFUNCTION("""COMPUTED_VALUE"""),5)</f>
        <v>5</v>
      </c>
      <c r="K1392" s="1" t="str">
        <f ca="1">IFERROR(__xludf.DUMMYFUNCTION("""COMPUTED_VALUE"""),"Fully Remote with Options to travel as and when needed")</f>
        <v>Fully Remote with Options to travel as and when needed</v>
      </c>
      <c r="L1392" s="1" t="str">
        <f ca="1">IFERROR(__xludf.DUMMYFUNCTION("""COMPUTED_VALUE"""),"Employer who pushes your limits by enabling an learning environment, and rewards you at the end")</f>
        <v>Employer who pushes your limits by enabling an learning environment, and rewards you at the end</v>
      </c>
      <c r="M13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92"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392" s="1" t="str">
        <f ca="1">IFERROR(__xludf.DUMMYFUNCTION("""COMPUTED_VALUE"""),"Manager who explains what is expected, sets a goal and helps achieve it")</f>
        <v>Manager who explains what is expected, sets a goal and helps achieve it</v>
      </c>
      <c r="P1392" s="1" t="str">
        <f ca="1">IFERROR(__xludf.DUMMYFUNCTION("""COMPUTED_VALUE"""),"Work with 2 to 3 people in my team")</f>
        <v>Work with 2 to 3 people in my team</v>
      </c>
      <c r="Q1392" s="1"/>
    </row>
    <row r="1393" spans="1:17" ht="13.2" x14ac:dyDescent="0.25">
      <c r="A1393" s="2">
        <f ca="1">IFERROR(__xludf.DUMMYFUNCTION("""COMPUTED_VALUE"""),45044.8511573611)</f>
        <v>45044.851157361103</v>
      </c>
      <c r="B1393" s="1" t="str">
        <f ca="1">IFERROR(__xludf.DUMMYFUNCTION("""COMPUTED_VALUE"""),"India")</f>
        <v>India</v>
      </c>
      <c r="C1393" s="1">
        <f ca="1">IFERROR(__xludf.DUMMYFUNCTION("""COMPUTED_VALUE"""),760001)</f>
        <v>760001</v>
      </c>
      <c r="D1393" s="3" t="str">
        <f ca="1">IFERROR(__xludf.DUMMYFUNCTION("""COMPUTED_VALUE"""),"Female")</f>
        <v>Female</v>
      </c>
      <c r="E1393" s="1" t="str">
        <f ca="1">IFERROR(__xludf.DUMMYFUNCTION("""COMPUTED_VALUE"""),"My Parents")</f>
        <v>My Parents</v>
      </c>
      <c r="F1393" s="1" t="str">
        <f ca="1">IFERROR(__xludf.DUMMYFUNCTION("""COMPUTED_VALUE"""),"No I would not be pursuing Higher Education outside of India")</f>
        <v>No I would not be pursuing Higher Education outside of India</v>
      </c>
      <c r="G1393" s="1" t="str">
        <f ca="1">IFERROR(__xludf.DUMMYFUNCTION("""COMPUTED_VALUE"""),"This will be hard to do, but if it is the right company I would try")</f>
        <v>This will be hard to do, but if it is the right company I would try</v>
      </c>
      <c r="H1393" s="1" t="str">
        <f ca="1">IFERROR(__xludf.DUMMYFUNCTION("""COMPUTED_VALUE"""),"No")</f>
        <v>No</v>
      </c>
      <c r="I1393" s="1" t="str">
        <f ca="1">IFERROR(__xludf.DUMMYFUNCTION("""COMPUTED_VALUE"""),"Will NOT work for them")</f>
        <v>Will NOT work for them</v>
      </c>
      <c r="J1393" s="1">
        <f ca="1">IFERROR(__xludf.DUMMYFUNCTION("""COMPUTED_VALUE"""),1)</f>
        <v>1</v>
      </c>
      <c r="K1393" s="1" t="str">
        <f ca="1">IFERROR(__xludf.DUMMYFUNCTION("""COMPUTED_VALUE"""),"Every Day Office Environment")</f>
        <v>Every Day Office Environment</v>
      </c>
      <c r="L1393" s="1" t="str">
        <f ca="1">IFERROR(__xludf.DUMMYFUNCTION("""COMPUTED_VALUE"""),"Employer who appreciates learning and enables that environment")</f>
        <v>Employer who appreciates learning and enables that environment</v>
      </c>
      <c r="M13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3" s="1" t="str">
        <f ca="1">IFERROR(__xludf.DUMMYFUNCTION("""COMPUTED_VALUE"""),"Teaching in any of the institutes/colleges/online or offline, Look deeply into Data and generate insights, Become a content Creator in some platform, An Artificial Intelligence Specialist / Talking to Robots")</f>
        <v>Teaching in any of the institutes/colleges/online or offline, Look deeply into Data and generate insights, Become a content Creator in some platform, An Artificial Intelligence Specialist / Talking to Robots</v>
      </c>
      <c r="O1393" s="1" t="str">
        <f ca="1">IFERROR(__xludf.DUMMYFUNCTION("""COMPUTED_VALUE"""),"Manager who explains what is expected, sets a goal and helps achieve it")</f>
        <v>Manager who explains what is expected, sets a goal and helps achieve it</v>
      </c>
      <c r="P1393" s="1" t="str">
        <f ca="1">IFERROR(__xludf.DUMMYFUNCTION("""COMPUTED_VALUE"""),"Work with 5 to 6 people in my team")</f>
        <v>Work with 5 to 6 people in my team</v>
      </c>
      <c r="Q1393" s="1"/>
    </row>
    <row r="1394" spans="1:17" ht="13.2" x14ac:dyDescent="0.25">
      <c r="A1394" s="2">
        <f ca="1">IFERROR(__xludf.DUMMYFUNCTION("""COMPUTED_VALUE"""),45044.8541821527)</f>
        <v>45044.854182152703</v>
      </c>
      <c r="B1394" s="1" t="str">
        <f ca="1">IFERROR(__xludf.DUMMYFUNCTION("""COMPUTED_VALUE"""),"India")</f>
        <v>India</v>
      </c>
      <c r="C1394" s="1">
        <f ca="1">IFERROR(__xludf.DUMMYFUNCTION("""COMPUTED_VALUE"""),410210)</f>
        <v>410210</v>
      </c>
      <c r="D1394" s="3" t="str">
        <f ca="1">IFERROR(__xludf.DUMMYFUNCTION("""COMPUTED_VALUE"""),"Male")</f>
        <v>Male</v>
      </c>
      <c r="E1394" s="1" t="str">
        <f ca="1">IFERROR(__xludf.DUMMYFUNCTION("""COMPUTED_VALUE"""),"People who have changed the world for better")</f>
        <v>People who have changed the world for better</v>
      </c>
      <c r="F1394" s="1" t="str">
        <f ca="1">IFERROR(__xludf.DUMMYFUNCTION("""COMPUTED_VALUE"""),"No, But if someone could bare the cost I will")</f>
        <v>No, But if someone could bare the cost I will</v>
      </c>
      <c r="G1394" s="1" t="str">
        <f ca="1">IFERROR(__xludf.DUMMYFUNCTION("""COMPUTED_VALUE"""),"This will be hard to do, but if it is the right company I would try")</f>
        <v>This will be hard to do, but if it is the right company I would try</v>
      </c>
      <c r="H1394" s="1" t="str">
        <f ca="1">IFERROR(__xludf.DUMMYFUNCTION("""COMPUTED_VALUE"""),"No")</f>
        <v>No</v>
      </c>
      <c r="I1394" s="1" t="str">
        <f ca="1">IFERROR(__xludf.DUMMYFUNCTION("""COMPUTED_VALUE"""),"Will NOT work for them")</f>
        <v>Will NOT work for them</v>
      </c>
      <c r="J1394" s="1">
        <f ca="1">IFERROR(__xludf.DUMMYFUNCTION("""COMPUTED_VALUE"""),5)</f>
        <v>5</v>
      </c>
      <c r="K1394" s="1" t="str">
        <f ca="1">IFERROR(__xludf.DUMMYFUNCTION("""COMPUTED_VALUE"""),"Hybrid Working Environment with more than 15 days a month at office")</f>
        <v>Hybrid Working Environment with more than 15 days a month at office</v>
      </c>
      <c r="L1394" s="1" t="str">
        <f ca="1">IFERROR(__xludf.DUMMYFUNCTION("""COMPUTED_VALUE"""),"Employer who pushes your limits by enabling an learning environment, and rewards you at the end")</f>
        <v>Employer who pushes your limits by enabling an learning environment, and rewards you at the end</v>
      </c>
      <c r="M13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394" s="1" t="str">
        <f ca="1">IFERROR(__xludf.DUMMYFUNCTION("""COMPUTED_VALUE"""),"Manager who explains what is expected, sets a goal and helps achieve it")</f>
        <v>Manager who explains what is expected, sets a goal and helps achieve it</v>
      </c>
      <c r="P1394" s="1" t="str">
        <f ca="1">IFERROR(__xludf.DUMMYFUNCTION("""COMPUTED_VALUE"""),"Work with 2 to 3 people in my team, Work with 5 to 6 people in my team")</f>
        <v>Work with 2 to 3 people in my team, Work with 5 to 6 people in my team</v>
      </c>
      <c r="Q1394" s="1"/>
    </row>
    <row r="1395" spans="1:17" ht="13.2" x14ac:dyDescent="0.25">
      <c r="A1395" s="2">
        <f ca="1">IFERROR(__xludf.DUMMYFUNCTION("""COMPUTED_VALUE"""),45044.8567131944)</f>
        <v>45044.8567131944</v>
      </c>
      <c r="B1395" s="1" t="str">
        <f ca="1">IFERROR(__xludf.DUMMYFUNCTION("""COMPUTED_VALUE"""),"India")</f>
        <v>India</v>
      </c>
      <c r="C1395" s="1">
        <f ca="1">IFERROR(__xludf.DUMMYFUNCTION("""COMPUTED_VALUE"""),641035)</f>
        <v>641035</v>
      </c>
      <c r="D1395" s="3" t="str">
        <f ca="1">IFERROR(__xludf.DUMMYFUNCTION("""COMPUTED_VALUE"""),"Male")</f>
        <v>Male</v>
      </c>
      <c r="E1395" s="1" t="str">
        <f ca="1">IFERROR(__xludf.DUMMYFUNCTION("""COMPUTED_VALUE"""),"People from my circle, but not family members")</f>
        <v>People from my circle, but not family members</v>
      </c>
      <c r="F1395" s="1" t="str">
        <f ca="1">IFERROR(__xludf.DUMMYFUNCTION("""COMPUTED_VALUE"""),"Yes, I will earn and do that")</f>
        <v>Yes, I will earn and do that</v>
      </c>
      <c r="G1395" s="1" t="str">
        <f ca="1">IFERROR(__xludf.DUMMYFUNCTION("""COMPUTED_VALUE"""),"Will work for 3 years or more")</f>
        <v>Will work for 3 years or more</v>
      </c>
      <c r="H1395" s="1" t="str">
        <f ca="1">IFERROR(__xludf.DUMMYFUNCTION("""COMPUTED_VALUE"""),"No")</f>
        <v>No</v>
      </c>
      <c r="I1395" s="1" t="str">
        <f ca="1">IFERROR(__xludf.DUMMYFUNCTION("""COMPUTED_VALUE"""),"Will NOT work for them")</f>
        <v>Will NOT work for them</v>
      </c>
      <c r="J1395" s="1">
        <f ca="1">IFERROR(__xludf.DUMMYFUNCTION("""COMPUTED_VALUE"""),8)</f>
        <v>8</v>
      </c>
      <c r="K1395" s="1" t="str">
        <f ca="1">IFERROR(__xludf.DUMMYFUNCTION("""COMPUTED_VALUE"""),"Hybrid Working Environment with more than 15 days a month at office")</f>
        <v>Hybrid Working Environment with more than 15 days a month at office</v>
      </c>
      <c r="L1395" s="1" t="str">
        <f ca="1">IFERROR(__xludf.DUMMYFUNCTION("""COMPUTED_VALUE"""),"Employer who appreciates learning and enables that environment")</f>
        <v>Employer who appreciates learning and enables that environment</v>
      </c>
      <c r="M139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95" s="1" t="str">
        <f ca="1">IFERROR(__xludf.DUMMYFUNCTION("""COMPUTED_VALUE"""),"Teaching in any of the institutes/colleges/online or offline, Manage and drive End-to-End Projects or Products, Work as a freelancer and do my thing my way, Become a content Creator in some platform")</f>
        <v>Teaching in any of the institutes/colleges/online or offline, Manage and drive End-to-End Projects or Products, Work as a freelancer and do my thing my way, Become a content Creator in some platform</v>
      </c>
      <c r="O1395" s="1" t="str">
        <f ca="1">IFERROR(__xludf.DUMMYFUNCTION("""COMPUTED_VALUE"""),"Manager who explains what is expected, sets a goal and helps achieve it")</f>
        <v>Manager who explains what is expected, sets a goal and helps achieve it</v>
      </c>
      <c r="P1395" s="1" t="str">
        <f ca="1">IFERROR(__xludf.DUMMYFUNCTION("""COMPUTED_VALUE"""),"Work with 5 to 6 people in my team")</f>
        <v>Work with 5 to 6 people in my team</v>
      </c>
      <c r="Q1395" s="1"/>
    </row>
    <row r="1396" spans="1:17" ht="13.2" x14ac:dyDescent="0.25">
      <c r="A1396" s="2">
        <f ca="1">IFERROR(__xludf.DUMMYFUNCTION("""COMPUTED_VALUE"""),45044.8630972453)</f>
        <v>45044.863097245303</v>
      </c>
      <c r="B1396" s="1" t="str">
        <f ca="1">IFERROR(__xludf.DUMMYFUNCTION("""COMPUTED_VALUE"""),"India")</f>
        <v>India</v>
      </c>
      <c r="C1396" s="1">
        <f ca="1">IFERROR(__xludf.DUMMYFUNCTION("""COMPUTED_VALUE"""),560073)</f>
        <v>560073</v>
      </c>
      <c r="D1396" s="3" t="str">
        <f ca="1">IFERROR(__xludf.DUMMYFUNCTION("""COMPUTED_VALUE"""),"Male")</f>
        <v>Male</v>
      </c>
      <c r="E1396" s="1" t="str">
        <f ca="1">IFERROR(__xludf.DUMMYFUNCTION("""COMPUTED_VALUE"""),"People who have changed the world for better")</f>
        <v>People who have changed the world for better</v>
      </c>
      <c r="F1396" s="1" t="str">
        <f ca="1">IFERROR(__xludf.DUMMYFUNCTION("""COMPUTED_VALUE"""),"No, But if someone could bare the cost I will")</f>
        <v>No, But if someone could bare the cost I will</v>
      </c>
      <c r="G1396" s="1" t="str">
        <f ca="1">IFERROR(__xludf.DUMMYFUNCTION("""COMPUTED_VALUE"""),"This will be hard to do, but if it is the right company I would try")</f>
        <v>This will be hard to do, but if it is the right company I would try</v>
      </c>
      <c r="H1396" s="1" t="str">
        <f ca="1">IFERROR(__xludf.DUMMYFUNCTION("""COMPUTED_VALUE"""),"Yes")</f>
        <v>Yes</v>
      </c>
      <c r="I1396" s="1" t="str">
        <f ca="1">IFERROR(__xludf.DUMMYFUNCTION("""COMPUTED_VALUE"""),"Will work for them")</f>
        <v>Will work for them</v>
      </c>
      <c r="J1396" s="1">
        <f ca="1">IFERROR(__xludf.DUMMYFUNCTION("""COMPUTED_VALUE"""),4)</f>
        <v>4</v>
      </c>
      <c r="K1396" s="1" t="str">
        <f ca="1">IFERROR(__xludf.DUMMYFUNCTION("""COMPUTED_VALUE"""),"Fully Remote with Options to travel as and when needed")</f>
        <v>Fully Remote with Options to travel as and when needed</v>
      </c>
      <c r="L1396" s="1" t="str">
        <f ca="1">IFERROR(__xludf.DUMMYFUNCTION("""COMPUTED_VALUE"""),"Employer who pushes your limits by enabling an learning environment, and rewards you at the end")</f>
        <v>Employer who pushes your limits by enabling an learning environment, and rewards you at the end</v>
      </c>
      <c r="M1396"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96"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96" s="1" t="str">
        <f ca="1">IFERROR(__xludf.DUMMYFUNCTION("""COMPUTED_VALUE"""),"Manager who explains what is expected, sets a goal and helps achieve it")</f>
        <v>Manager who explains what is expected, sets a goal and helps achieve it</v>
      </c>
      <c r="P1396" s="1" t="str">
        <f ca="1">IFERROR(__xludf.DUMMYFUNCTION("""COMPUTED_VALUE"""),"Work with 2 to 3 people in my team")</f>
        <v>Work with 2 to 3 people in my team</v>
      </c>
      <c r="Q1396" s="1"/>
    </row>
    <row r="1397" spans="1:17" ht="13.2" x14ac:dyDescent="0.25">
      <c r="A1397" s="2">
        <f ca="1">IFERROR(__xludf.DUMMYFUNCTION("""COMPUTED_VALUE"""),45044.8663224189)</f>
        <v>45044.8663224189</v>
      </c>
      <c r="B1397" s="1" t="str">
        <f ca="1">IFERROR(__xludf.DUMMYFUNCTION("""COMPUTED_VALUE"""),"India")</f>
        <v>India</v>
      </c>
      <c r="C1397" s="1">
        <f ca="1">IFERROR(__xludf.DUMMYFUNCTION("""COMPUTED_VALUE"""),503110)</f>
        <v>503110</v>
      </c>
      <c r="D1397" s="3" t="str">
        <f ca="1">IFERROR(__xludf.DUMMYFUNCTION("""COMPUTED_VALUE"""),"Female")</f>
        <v>Female</v>
      </c>
      <c r="E1397" s="1" t="str">
        <f ca="1">IFERROR(__xludf.DUMMYFUNCTION("""COMPUTED_VALUE"""),"People from my circle, but not family members")</f>
        <v>People from my circle, but not family members</v>
      </c>
      <c r="F1397" s="1" t="str">
        <f ca="1">IFERROR(__xludf.DUMMYFUNCTION("""COMPUTED_VALUE"""),"No I would not be pursuing Higher Education outside of India")</f>
        <v>No I would not be pursuing Higher Education outside of India</v>
      </c>
      <c r="G1397" s="1" t="str">
        <f ca="1">IFERROR(__xludf.DUMMYFUNCTION("""COMPUTED_VALUE"""),"This will be hard to do, but if it is the right company I would try")</f>
        <v>This will be hard to do, but if it is the right company I would try</v>
      </c>
      <c r="H1397" s="1" t="str">
        <f ca="1">IFERROR(__xludf.DUMMYFUNCTION("""COMPUTED_VALUE"""),"No")</f>
        <v>No</v>
      </c>
      <c r="I1397" s="1" t="str">
        <f ca="1">IFERROR(__xludf.DUMMYFUNCTION("""COMPUTED_VALUE"""),"Will NOT work for them")</f>
        <v>Will NOT work for them</v>
      </c>
      <c r="J1397" s="1">
        <f ca="1">IFERROR(__xludf.DUMMYFUNCTION("""COMPUTED_VALUE"""),9)</f>
        <v>9</v>
      </c>
      <c r="K1397" s="1" t="str">
        <f ca="1">IFERROR(__xludf.DUMMYFUNCTION("""COMPUTED_VALUE"""),"Fully Remote with Options to travel as and when needed")</f>
        <v>Fully Remote with Options to travel as and when needed</v>
      </c>
      <c r="L1397" s="1" t="str">
        <f ca="1">IFERROR(__xludf.DUMMYFUNCTION("""COMPUTED_VALUE"""),"Employer who pushes your limits by enabling an learning environment, and rewards you at the end")</f>
        <v>Employer who pushes your limits by enabling an learning environment, and rewards you at the end</v>
      </c>
      <c r="M139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97"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97" s="1" t="str">
        <f ca="1">IFERROR(__xludf.DUMMYFUNCTION("""COMPUTED_VALUE"""),"Manager who explains what is expected, sets a goal and helps achieve it")</f>
        <v>Manager who explains what is expected, sets a goal and helps achieve it</v>
      </c>
      <c r="P1397" s="1" t="str">
        <f ca="1">IFERROR(__xludf.DUMMYFUNCTION("""COMPUTED_VALUE"""),"Work with 2 to 3 people in my team")</f>
        <v>Work with 2 to 3 people in my team</v>
      </c>
      <c r="Q1397" s="1"/>
    </row>
    <row r="1398" spans="1:17" ht="13.2" x14ac:dyDescent="0.25">
      <c r="A1398" s="2">
        <f ca="1">IFERROR(__xludf.DUMMYFUNCTION("""COMPUTED_VALUE"""),45044.8665268402)</f>
        <v>45044.866526840196</v>
      </c>
      <c r="B1398" s="1" t="str">
        <f ca="1">IFERROR(__xludf.DUMMYFUNCTION("""COMPUTED_VALUE"""),"India")</f>
        <v>India</v>
      </c>
      <c r="C1398" s="1">
        <f ca="1">IFERROR(__xludf.DUMMYFUNCTION("""COMPUTED_VALUE"""),400601)</f>
        <v>400601</v>
      </c>
      <c r="D1398" s="3" t="str">
        <f ca="1">IFERROR(__xludf.DUMMYFUNCTION("""COMPUTED_VALUE"""),"Female")</f>
        <v>Female</v>
      </c>
      <c r="E1398" s="1" t="str">
        <f ca="1">IFERROR(__xludf.DUMMYFUNCTION("""COMPUTED_VALUE"""),"Social Media like LinkedIn")</f>
        <v>Social Media like LinkedIn</v>
      </c>
      <c r="F1398" s="1" t="str">
        <f ca="1">IFERROR(__xludf.DUMMYFUNCTION("""COMPUTED_VALUE"""),"Yes, I will earn and do that")</f>
        <v>Yes, I will earn and do that</v>
      </c>
      <c r="G1398" s="1" t="str">
        <f ca="1">IFERROR(__xludf.DUMMYFUNCTION("""COMPUTED_VALUE"""),"Will work for 3 years or more")</f>
        <v>Will work for 3 years or more</v>
      </c>
      <c r="H1398" s="1" t="str">
        <f ca="1">IFERROR(__xludf.DUMMYFUNCTION("""COMPUTED_VALUE"""),"Yes")</f>
        <v>Yes</v>
      </c>
      <c r="I1398" s="1" t="str">
        <f ca="1">IFERROR(__xludf.DUMMYFUNCTION("""COMPUTED_VALUE"""),"Will work for them")</f>
        <v>Will work for them</v>
      </c>
      <c r="J1398" s="1">
        <f ca="1">IFERROR(__xludf.DUMMYFUNCTION("""COMPUTED_VALUE"""),7)</f>
        <v>7</v>
      </c>
      <c r="K1398" s="1" t="str">
        <f ca="1">IFERROR(__xludf.DUMMYFUNCTION("""COMPUTED_VALUE"""),"Every Day Office Environment")</f>
        <v>Every Day Office Environment</v>
      </c>
      <c r="L1398" s="1" t="str">
        <f ca="1">IFERROR(__xludf.DUMMYFUNCTION("""COMPUTED_VALUE"""),"Employer who pushes your limits by enabling an learning environment, and rewards you at the end")</f>
        <v>Employer who pushes your limits by enabling an learning environment, and rewards you at the end</v>
      </c>
      <c r="M139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3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398" s="1" t="str">
        <f ca="1">IFERROR(__xludf.DUMMYFUNCTION("""COMPUTED_VALUE"""),"Manager who explains what is expected, sets a goal and helps achieve it")</f>
        <v>Manager who explains what is expected, sets a goal and helps achieve it</v>
      </c>
      <c r="P1398" s="1" t="str">
        <f ca="1">IFERROR(__xludf.DUMMYFUNCTION("""COMPUTED_VALUE"""),"Work with 7 to 10 or more people in my team")</f>
        <v>Work with 7 to 10 or more people in my team</v>
      </c>
      <c r="Q1398" s="1"/>
    </row>
    <row r="1399" spans="1:17" ht="13.2" x14ac:dyDescent="0.25">
      <c r="A1399" s="2">
        <f ca="1">IFERROR(__xludf.DUMMYFUNCTION("""COMPUTED_VALUE"""),45044.8690256944)</f>
        <v>45044.869025694403</v>
      </c>
      <c r="B1399" s="1" t="str">
        <f ca="1">IFERROR(__xludf.DUMMYFUNCTION("""COMPUTED_VALUE"""),"India")</f>
        <v>India</v>
      </c>
      <c r="C1399" s="1">
        <f ca="1">IFERROR(__xludf.DUMMYFUNCTION("""COMPUTED_VALUE"""),192301)</f>
        <v>192301</v>
      </c>
      <c r="D1399" s="3" t="str">
        <f ca="1">IFERROR(__xludf.DUMMYFUNCTION("""COMPUTED_VALUE"""),"Female")</f>
        <v>Female</v>
      </c>
      <c r="E1399" s="1" t="str">
        <f ca="1">IFERROR(__xludf.DUMMYFUNCTION("""COMPUTED_VALUE"""),"People from my circle, but not family members")</f>
        <v>People from my circle, but not family members</v>
      </c>
      <c r="F1399" s="1" t="str">
        <f ca="1">IFERROR(__xludf.DUMMYFUNCTION("""COMPUTED_VALUE"""),"Yes, I will earn and do that")</f>
        <v>Yes, I will earn and do that</v>
      </c>
      <c r="G1399" s="1" t="str">
        <f ca="1">IFERROR(__xludf.DUMMYFUNCTION("""COMPUTED_VALUE"""),"Will work for 3 years or more")</f>
        <v>Will work for 3 years or more</v>
      </c>
      <c r="H1399" s="1" t="str">
        <f ca="1">IFERROR(__xludf.DUMMYFUNCTION("""COMPUTED_VALUE"""),"No")</f>
        <v>No</v>
      </c>
      <c r="I1399" s="1" t="str">
        <f ca="1">IFERROR(__xludf.DUMMYFUNCTION("""COMPUTED_VALUE"""),"Will NOT work for them")</f>
        <v>Will NOT work for them</v>
      </c>
      <c r="J1399" s="1">
        <f ca="1">IFERROR(__xludf.DUMMYFUNCTION("""COMPUTED_VALUE"""),2)</f>
        <v>2</v>
      </c>
      <c r="K1399" s="1" t="str">
        <f ca="1">IFERROR(__xludf.DUMMYFUNCTION("""COMPUTED_VALUE"""),"Every Day Office Environment")</f>
        <v>Every Day Office Environment</v>
      </c>
      <c r="L1399" s="1" t="str">
        <f ca="1">IFERROR(__xludf.DUMMYFUNCTION("""COMPUTED_VALUE"""),"Employer who appreciates learning and enables that environment")</f>
        <v>Employer who appreciates learning and enables that environment</v>
      </c>
      <c r="M139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9"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399" s="1" t="str">
        <f ca="1">IFERROR(__xludf.DUMMYFUNCTION("""COMPUTED_VALUE"""),"Manager who clearly describes what she/he needs")</f>
        <v>Manager who clearly describes what she/he needs</v>
      </c>
      <c r="P1399" s="1" t="str">
        <f ca="1">IFERROR(__xludf.DUMMYFUNCTION("""COMPUTED_VALUE"""),"Work with more than 10 people in my team")</f>
        <v>Work with more than 10 people in my team</v>
      </c>
      <c r="Q1399" s="1"/>
    </row>
    <row r="1400" spans="1:17" ht="13.2" x14ac:dyDescent="0.25">
      <c r="A1400" s="2">
        <f ca="1">IFERROR(__xludf.DUMMYFUNCTION("""COMPUTED_VALUE"""),45044.8713008796)</f>
        <v>45044.871300879597</v>
      </c>
      <c r="B1400" s="1" t="str">
        <f ca="1">IFERROR(__xludf.DUMMYFUNCTION("""COMPUTED_VALUE"""),"India")</f>
        <v>India</v>
      </c>
      <c r="C1400" s="1">
        <f ca="1">IFERROR(__xludf.DUMMYFUNCTION("""COMPUTED_VALUE"""),560003)</f>
        <v>560003</v>
      </c>
      <c r="D1400" s="3" t="str">
        <f ca="1">IFERROR(__xludf.DUMMYFUNCTION("""COMPUTED_VALUE"""),"Female")</f>
        <v>Female</v>
      </c>
      <c r="E1400" s="1" t="str">
        <f ca="1">IFERROR(__xludf.DUMMYFUNCTION("""COMPUTED_VALUE"""),"My Parents")</f>
        <v>My Parents</v>
      </c>
      <c r="F1400" s="1" t="str">
        <f ca="1">IFERROR(__xludf.DUMMYFUNCTION("""COMPUTED_VALUE"""),"No, But if someone could bare the cost I will")</f>
        <v>No, But if someone could bare the cost I will</v>
      </c>
      <c r="G1400" s="1" t="str">
        <f ca="1">IFERROR(__xludf.DUMMYFUNCTION("""COMPUTED_VALUE"""),"No way")</f>
        <v>No way</v>
      </c>
      <c r="H1400" s="1" t="str">
        <f ca="1">IFERROR(__xludf.DUMMYFUNCTION("""COMPUTED_VALUE"""),"No")</f>
        <v>No</v>
      </c>
      <c r="I1400" s="1" t="str">
        <f ca="1">IFERROR(__xludf.DUMMYFUNCTION("""COMPUTED_VALUE"""),"Will NOT work for them")</f>
        <v>Will NOT work for them</v>
      </c>
      <c r="J1400" s="1">
        <f ca="1">IFERROR(__xludf.DUMMYFUNCTION("""COMPUTED_VALUE"""),1)</f>
        <v>1</v>
      </c>
      <c r="K1400" s="1" t="str">
        <f ca="1">IFERROR(__xludf.DUMMYFUNCTION("""COMPUTED_VALUE"""),"Hybrid Working Environment with more than 15 days a month at office")</f>
        <v>Hybrid Working Environment with more than 15 days a month at office</v>
      </c>
      <c r="L1400" s="1" t="str">
        <f ca="1">IFERROR(__xludf.DUMMYFUNCTION("""COMPUTED_VALUE"""),"Employer who pushes your limits by enabling an learning environment, and rewards you at the end")</f>
        <v>Employer who pushes your limits by enabling an learning environment, and rewards you at the end</v>
      </c>
      <c r="M1400" s="1" t="str">
        <f ca="1">IFERROR(__xludf.DUMMYFUNCTION("""COMPUTED_VALUE"""),"Self Paced Learning Portals of the Company, Instructor or Expert Learning Programs, Manager Teaching you")</f>
        <v>Self Paced Learning Portals of the Company, Instructor or Expert Learning Programs, Manager Teaching you</v>
      </c>
      <c r="N1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00" s="1" t="str">
        <f ca="1">IFERROR(__xludf.DUMMYFUNCTION("""COMPUTED_VALUE"""),"Manager who explains what is expected, sets a goal and helps achieve it")</f>
        <v>Manager who explains what is expected, sets a goal and helps achieve it</v>
      </c>
      <c r="P1400" s="1" t="str">
        <f ca="1">IFERROR(__xludf.DUMMYFUNCTION("""COMPUTED_VALUE"""),"Work with 2 to 3 people in my team")</f>
        <v>Work with 2 to 3 people in my team</v>
      </c>
      <c r="Q1400" s="1"/>
    </row>
    <row r="1401" spans="1:17" ht="13.2" x14ac:dyDescent="0.25">
      <c r="A1401" s="2">
        <f ca="1">IFERROR(__xludf.DUMMYFUNCTION("""COMPUTED_VALUE"""),45044.8720190856)</f>
        <v>45044.872019085597</v>
      </c>
      <c r="B1401" s="1" t="str">
        <f ca="1">IFERROR(__xludf.DUMMYFUNCTION("""COMPUTED_VALUE"""),"India")</f>
        <v>India</v>
      </c>
      <c r="C1401" s="1">
        <f ca="1">IFERROR(__xludf.DUMMYFUNCTION("""COMPUTED_VALUE"""),500028)</f>
        <v>500028</v>
      </c>
      <c r="D1401" s="3" t="str">
        <f ca="1">IFERROR(__xludf.DUMMYFUNCTION("""COMPUTED_VALUE"""),"Male")</f>
        <v>Male</v>
      </c>
      <c r="E1401" s="1" t="str">
        <f ca="1">IFERROR(__xludf.DUMMYFUNCTION("""COMPUTED_VALUE"""),"Social Media like LinkedIn")</f>
        <v>Social Media like LinkedIn</v>
      </c>
      <c r="F1401" s="1" t="str">
        <f ca="1">IFERROR(__xludf.DUMMYFUNCTION("""COMPUTED_VALUE"""),"No, But if someone could bare the cost I will")</f>
        <v>No, But if someone could bare the cost I will</v>
      </c>
      <c r="G1401" s="1" t="str">
        <f ca="1">IFERROR(__xludf.DUMMYFUNCTION("""COMPUTED_VALUE"""),"This will be hard to do, but if it is the right company I would try")</f>
        <v>This will be hard to do, but if it is the right company I would try</v>
      </c>
      <c r="H1401" s="1" t="str">
        <f ca="1">IFERROR(__xludf.DUMMYFUNCTION("""COMPUTED_VALUE"""),"No")</f>
        <v>No</v>
      </c>
      <c r="I1401" s="1" t="str">
        <f ca="1">IFERROR(__xludf.DUMMYFUNCTION("""COMPUTED_VALUE"""),"Will NOT work for them")</f>
        <v>Will NOT work for them</v>
      </c>
      <c r="J1401" s="1">
        <f ca="1">IFERROR(__xludf.DUMMYFUNCTION("""COMPUTED_VALUE"""),6)</f>
        <v>6</v>
      </c>
      <c r="K1401" s="1" t="str">
        <f ca="1">IFERROR(__xludf.DUMMYFUNCTION("""COMPUTED_VALUE"""),"Fully Remote with No option to visit offices")</f>
        <v>Fully Remote with No option to visit offices</v>
      </c>
      <c r="L1401" s="1" t="str">
        <f ca="1">IFERROR(__xludf.DUMMYFUNCTION("""COMPUTED_VALUE"""),"Employer who pushes your limits by enabling an learning environment, and rewards you at the end")</f>
        <v>Employer who pushes your limits by enabling an learning environment, and rewards you at the end</v>
      </c>
      <c r="M1401" s="1" t="str">
        <f ca="1">IFERROR(__xludf.DUMMYFUNCTION("""COMPUTED_VALUE"""),"Self Paced Learning Portals of the Company, Instructor or Expert Learning Programs, Manager Teaching you")</f>
        <v>Self Paced Learning Portals of the Company, Instructor or Expert Learning Programs, Manager Teaching you</v>
      </c>
      <c r="N1401"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401" s="1" t="str">
        <f ca="1">IFERROR(__xludf.DUMMYFUNCTION("""COMPUTED_VALUE"""),"Manager who explains what is expected, sets a goal and helps achieve it")</f>
        <v>Manager who explains what is expected, sets a goal and helps achieve it</v>
      </c>
      <c r="P1401" s="1" t="str">
        <f ca="1">IFERROR(__xludf.DUMMYFUNCTION("""COMPUTED_VALUE"""),"Work with 7 to 10 or more people in my team")</f>
        <v>Work with 7 to 10 or more people in my team</v>
      </c>
      <c r="Q1401" s="1"/>
    </row>
    <row r="1402" spans="1:17" ht="13.2" x14ac:dyDescent="0.25">
      <c r="A1402" s="2">
        <f ca="1">IFERROR(__xludf.DUMMYFUNCTION("""COMPUTED_VALUE"""),45044.8721304745)</f>
        <v>45044.872130474498</v>
      </c>
      <c r="B1402" s="1" t="str">
        <f ca="1">IFERROR(__xludf.DUMMYFUNCTION("""COMPUTED_VALUE"""),"India")</f>
        <v>India</v>
      </c>
      <c r="C1402" s="1">
        <f ca="1">IFERROR(__xludf.DUMMYFUNCTION("""COMPUTED_VALUE"""),424001)</f>
        <v>424001</v>
      </c>
      <c r="D1402" s="3" t="str">
        <f ca="1">IFERROR(__xludf.DUMMYFUNCTION("""COMPUTED_VALUE"""),"Male")</f>
        <v>Male</v>
      </c>
      <c r="E1402" s="1" t="str">
        <f ca="1">IFERROR(__xludf.DUMMYFUNCTION("""COMPUTED_VALUE"""),"Influencers who had successful careers")</f>
        <v>Influencers who had successful careers</v>
      </c>
      <c r="F1402" s="1" t="str">
        <f ca="1">IFERROR(__xludf.DUMMYFUNCTION("""COMPUTED_VALUE"""),"Yes, I will earn and do that")</f>
        <v>Yes, I will earn and do that</v>
      </c>
      <c r="G1402" s="1" t="str">
        <f ca="1">IFERROR(__xludf.DUMMYFUNCTION("""COMPUTED_VALUE"""),"Will work for 3 years or more")</f>
        <v>Will work for 3 years or more</v>
      </c>
      <c r="H1402" s="1" t="str">
        <f ca="1">IFERROR(__xludf.DUMMYFUNCTION("""COMPUTED_VALUE"""),"No")</f>
        <v>No</v>
      </c>
      <c r="I1402" s="1" t="str">
        <f ca="1">IFERROR(__xludf.DUMMYFUNCTION("""COMPUTED_VALUE"""),"Will NOT work for them")</f>
        <v>Will NOT work for them</v>
      </c>
      <c r="J1402" s="1">
        <f ca="1">IFERROR(__xludf.DUMMYFUNCTION("""COMPUTED_VALUE"""),8)</f>
        <v>8</v>
      </c>
      <c r="K1402" s="1" t="str">
        <f ca="1">IFERROR(__xludf.DUMMYFUNCTION("""COMPUTED_VALUE"""),"Hybrid Working Environment with less than 3 days a month at office")</f>
        <v>Hybrid Working Environment with less than 3 days a month at office</v>
      </c>
      <c r="L1402" s="1" t="str">
        <f ca="1">IFERROR(__xludf.DUMMYFUNCTION("""COMPUTED_VALUE"""),"Employer who pushes your limits by enabling an learning environment, and rewards you at the end")</f>
        <v>Employer who pushes your limits by enabling an learning environment, and rewards you at the end</v>
      </c>
      <c r="M140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0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02" s="1" t="str">
        <f ca="1">IFERROR(__xludf.DUMMYFUNCTION("""COMPUTED_VALUE"""),"Manager who explains what is expected, sets a goal and helps achieve it")</f>
        <v>Manager who explains what is expected, sets a goal and helps achieve it</v>
      </c>
      <c r="P1402" s="1" t="str">
        <f ca="1">IFERROR(__xludf.DUMMYFUNCTION("""COMPUTED_VALUE"""),"Work with 5 to 6 people in my team")</f>
        <v>Work with 5 to 6 people in my team</v>
      </c>
      <c r="Q1402" s="1"/>
    </row>
    <row r="1403" spans="1:17" ht="13.2" x14ac:dyDescent="0.25">
      <c r="A1403" s="2">
        <f ca="1">IFERROR(__xludf.DUMMYFUNCTION("""COMPUTED_VALUE"""),45044.87437728)</f>
        <v>45044.874377280001</v>
      </c>
      <c r="B1403" s="1" t="str">
        <f ca="1">IFERROR(__xludf.DUMMYFUNCTION("""COMPUTED_VALUE"""),"India")</f>
        <v>India</v>
      </c>
      <c r="C1403" s="1">
        <f ca="1">IFERROR(__xludf.DUMMYFUNCTION("""COMPUTED_VALUE"""),500077)</f>
        <v>500077</v>
      </c>
      <c r="D1403" s="3" t="str">
        <f ca="1">IFERROR(__xludf.DUMMYFUNCTION("""COMPUTED_VALUE"""),"Male")</f>
        <v>Male</v>
      </c>
      <c r="E1403" s="1" t="str">
        <f ca="1">IFERROR(__xludf.DUMMYFUNCTION("""COMPUTED_VALUE"""),"My Parents")</f>
        <v>My Parents</v>
      </c>
      <c r="F1403" s="1" t="str">
        <f ca="1">IFERROR(__xludf.DUMMYFUNCTION("""COMPUTED_VALUE"""),"Yes, I will earn and do that")</f>
        <v>Yes, I will earn and do that</v>
      </c>
      <c r="G1403" s="1" t="str">
        <f ca="1">IFERROR(__xludf.DUMMYFUNCTION("""COMPUTED_VALUE"""),"Will work for 3 years or more")</f>
        <v>Will work for 3 years or more</v>
      </c>
      <c r="H1403" s="1" t="str">
        <f ca="1">IFERROR(__xludf.DUMMYFUNCTION("""COMPUTED_VALUE"""),"No")</f>
        <v>No</v>
      </c>
      <c r="I1403" s="1" t="str">
        <f ca="1">IFERROR(__xludf.DUMMYFUNCTION("""COMPUTED_VALUE"""),"Will NOT work for them")</f>
        <v>Will NOT work for them</v>
      </c>
      <c r="J1403" s="1">
        <f ca="1">IFERROR(__xludf.DUMMYFUNCTION("""COMPUTED_VALUE"""),4)</f>
        <v>4</v>
      </c>
      <c r="K1403" s="1" t="str">
        <f ca="1">IFERROR(__xludf.DUMMYFUNCTION("""COMPUTED_VALUE"""),"Hybrid Working Environment with more than 15 days a month at office")</f>
        <v>Hybrid Working Environment with more than 15 days a month at office</v>
      </c>
      <c r="L1403" s="1" t="str">
        <f ca="1">IFERROR(__xludf.DUMMYFUNCTION("""COMPUTED_VALUE"""),"Employer who pushes your limits by enabling an learning environment, and rewards you at the end")</f>
        <v>Employer who pushes your limits by enabling an learning environment, and rewards you at the end</v>
      </c>
      <c r="M14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03"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03" s="1" t="str">
        <f ca="1">IFERROR(__xludf.DUMMYFUNCTION("""COMPUTED_VALUE"""),"Manager who sets targets and expects me to achieve it")</f>
        <v>Manager who sets targets and expects me to achieve it</v>
      </c>
      <c r="P1403" s="1" t="str">
        <f ca="1">IFERROR(__xludf.DUMMYFUNCTION("""COMPUTED_VALUE"""),"Work with 7 to 10 or more people in my team")</f>
        <v>Work with 7 to 10 or more people in my team</v>
      </c>
      <c r="Q1403" s="1"/>
    </row>
    <row r="1404" spans="1:17" ht="13.2" x14ac:dyDescent="0.25">
      <c r="A1404" s="2">
        <f ca="1">IFERROR(__xludf.DUMMYFUNCTION("""COMPUTED_VALUE"""),45044.8747840509)</f>
        <v>45044.874784050902</v>
      </c>
      <c r="B1404" s="1" t="str">
        <f ca="1">IFERROR(__xludf.DUMMYFUNCTION("""COMPUTED_VALUE"""),"India")</f>
        <v>India</v>
      </c>
      <c r="C1404" s="1">
        <f ca="1">IFERROR(__xludf.DUMMYFUNCTION("""COMPUTED_VALUE"""),600041)</f>
        <v>600041</v>
      </c>
      <c r="D1404" s="3" t="str">
        <f ca="1">IFERROR(__xludf.DUMMYFUNCTION("""COMPUTED_VALUE"""),"Female")</f>
        <v>Female</v>
      </c>
      <c r="E1404" s="1" t="str">
        <f ca="1">IFERROR(__xludf.DUMMYFUNCTION("""COMPUTED_VALUE"""),"People who have changed the world for better")</f>
        <v>People who have changed the world for better</v>
      </c>
      <c r="F1404" s="1" t="str">
        <f ca="1">IFERROR(__xludf.DUMMYFUNCTION("""COMPUTED_VALUE"""),"No I would not be pursuing Higher Education outside of India")</f>
        <v>No I would not be pursuing Higher Education outside of India</v>
      </c>
      <c r="G1404" s="1" t="str">
        <f ca="1">IFERROR(__xludf.DUMMYFUNCTION("""COMPUTED_VALUE"""),"Will work for 3 years or more")</f>
        <v>Will work for 3 years or more</v>
      </c>
      <c r="H1404" s="1" t="str">
        <f ca="1">IFERROR(__xludf.DUMMYFUNCTION("""COMPUTED_VALUE"""),"No")</f>
        <v>No</v>
      </c>
      <c r="I1404" s="1" t="str">
        <f ca="1">IFERROR(__xludf.DUMMYFUNCTION("""COMPUTED_VALUE"""),"Will NOT work for them")</f>
        <v>Will NOT work for them</v>
      </c>
      <c r="J1404" s="1">
        <f ca="1">IFERROR(__xludf.DUMMYFUNCTION("""COMPUTED_VALUE"""),1)</f>
        <v>1</v>
      </c>
      <c r="K1404" s="1" t="str">
        <f ca="1">IFERROR(__xludf.DUMMYFUNCTION("""COMPUTED_VALUE"""),"Hybrid Working Environment with more than 15 days a month at office")</f>
        <v>Hybrid Working Environment with more than 15 days a month at office</v>
      </c>
      <c r="L1404" s="1" t="str">
        <f ca="1">IFERROR(__xludf.DUMMYFUNCTION("""COMPUTED_VALUE"""),"Employer who appreciates learning and enables that environment")</f>
        <v>Employer who appreciates learning and enables that environment</v>
      </c>
      <c r="M14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04"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04" s="1" t="str">
        <f ca="1">IFERROR(__xludf.DUMMYFUNCTION("""COMPUTED_VALUE"""),"Manager who explains what is expected, sets a goal and helps achieve it")</f>
        <v>Manager who explains what is expected, sets a goal and helps achieve it</v>
      </c>
      <c r="P140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04" s="1"/>
    </row>
    <row r="1405" spans="1:17" ht="13.2" x14ac:dyDescent="0.25">
      <c r="A1405" s="2">
        <f ca="1">IFERROR(__xludf.DUMMYFUNCTION("""COMPUTED_VALUE"""),45044.8753658564)</f>
        <v>45044.875365856402</v>
      </c>
      <c r="B1405" s="1" t="str">
        <f ca="1">IFERROR(__xludf.DUMMYFUNCTION("""COMPUTED_VALUE"""),"India")</f>
        <v>India</v>
      </c>
      <c r="C1405" s="1">
        <f ca="1">IFERROR(__xludf.DUMMYFUNCTION("""COMPUTED_VALUE"""),560090)</f>
        <v>560090</v>
      </c>
      <c r="D1405" s="3" t="str">
        <f ca="1">IFERROR(__xludf.DUMMYFUNCTION("""COMPUTED_VALUE"""),"Male")</f>
        <v>Male</v>
      </c>
      <c r="E1405" s="1" t="str">
        <f ca="1">IFERROR(__xludf.DUMMYFUNCTION("""COMPUTED_VALUE"""),"People who have changed the world for better")</f>
        <v>People who have changed the world for better</v>
      </c>
      <c r="F1405" s="1" t="str">
        <f ca="1">IFERROR(__xludf.DUMMYFUNCTION("""COMPUTED_VALUE"""),"Yes, I will earn and do that")</f>
        <v>Yes, I will earn and do that</v>
      </c>
      <c r="G1405" s="1" t="str">
        <f ca="1">IFERROR(__xludf.DUMMYFUNCTION("""COMPUTED_VALUE"""),"This will be hard to do, but if it is the right company I would try")</f>
        <v>This will be hard to do, but if it is the right company I would try</v>
      </c>
      <c r="H1405" s="1" t="str">
        <f ca="1">IFERROR(__xludf.DUMMYFUNCTION("""COMPUTED_VALUE"""),"No")</f>
        <v>No</v>
      </c>
      <c r="I1405" s="1" t="str">
        <f ca="1">IFERROR(__xludf.DUMMYFUNCTION("""COMPUTED_VALUE"""),"Will NOT work for them")</f>
        <v>Will NOT work for them</v>
      </c>
      <c r="J1405" s="1">
        <f ca="1">IFERROR(__xludf.DUMMYFUNCTION("""COMPUTED_VALUE"""),1)</f>
        <v>1</v>
      </c>
      <c r="K1405" s="1" t="str">
        <f ca="1">IFERROR(__xludf.DUMMYFUNCTION("""COMPUTED_VALUE"""),"Every Day Office Environment")</f>
        <v>Every Day Office Environment</v>
      </c>
      <c r="L1405" s="1" t="str">
        <f ca="1">IFERROR(__xludf.DUMMYFUNCTION("""COMPUTED_VALUE"""),"Employer who pushes your limits by enabling an learning environment, and rewards you at the end")</f>
        <v>Employer who pushes your limits by enabling an learning environment, and rewards you at the end</v>
      </c>
      <c r="M1405" s="1" t="str">
        <f ca="1">IFERROR(__xludf.DUMMYFUNCTION("""COMPUTED_VALUE"""),"Self Paced Learning Portals of the Company, Instructor or Expert Learning Programs, Manager Teaching you")</f>
        <v>Self Paced Learning Portals of the Company, Instructor or Expert Learning Programs, Manager Teaching you</v>
      </c>
      <c r="N1405"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405" s="1" t="str">
        <f ca="1">IFERROR(__xludf.DUMMYFUNCTION("""COMPUTED_VALUE"""),"Manager who sets targets and expects me to achieve it")</f>
        <v>Manager who sets targets and expects me to achieve it</v>
      </c>
      <c r="P1405" s="1" t="str">
        <f ca="1">IFERROR(__xludf.DUMMYFUNCTION("""COMPUTED_VALUE"""),"Work with more than 10 people in my team")</f>
        <v>Work with more than 10 people in my team</v>
      </c>
      <c r="Q1405" s="1"/>
    </row>
    <row r="1406" spans="1:17" ht="13.2" x14ac:dyDescent="0.25">
      <c r="A1406" s="2">
        <f ca="1">IFERROR(__xludf.DUMMYFUNCTION("""COMPUTED_VALUE"""),45044.8774146527)</f>
        <v>45044.877414652699</v>
      </c>
      <c r="B1406" s="1" t="str">
        <f ca="1">IFERROR(__xludf.DUMMYFUNCTION("""COMPUTED_VALUE"""),"India")</f>
        <v>India</v>
      </c>
      <c r="C1406" s="1">
        <f ca="1">IFERROR(__xludf.DUMMYFUNCTION("""COMPUTED_VALUE"""),500028)</f>
        <v>500028</v>
      </c>
      <c r="D1406" s="3" t="str">
        <f ca="1">IFERROR(__xludf.DUMMYFUNCTION("""COMPUTED_VALUE"""),"Male")</f>
        <v>Male</v>
      </c>
      <c r="E1406" s="1" t="str">
        <f ca="1">IFERROR(__xludf.DUMMYFUNCTION("""COMPUTED_VALUE"""),"People who have changed the world for better")</f>
        <v>People who have changed the world for better</v>
      </c>
      <c r="F1406" s="1" t="str">
        <f ca="1">IFERROR(__xludf.DUMMYFUNCTION("""COMPUTED_VALUE"""),"No, But if someone could bare the cost I will")</f>
        <v>No, But if someone could bare the cost I will</v>
      </c>
      <c r="G1406" s="1" t="str">
        <f ca="1">IFERROR(__xludf.DUMMYFUNCTION("""COMPUTED_VALUE"""),"This will be hard to do, but if it is the right company I would try")</f>
        <v>This will be hard to do, but if it is the right company I would try</v>
      </c>
      <c r="H1406" s="1" t="str">
        <f ca="1">IFERROR(__xludf.DUMMYFUNCTION("""COMPUTED_VALUE"""),"No")</f>
        <v>No</v>
      </c>
      <c r="I1406" s="1" t="str">
        <f ca="1">IFERROR(__xludf.DUMMYFUNCTION("""COMPUTED_VALUE"""),"Will NOT work for them")</f>
        <v>Will NOT work for them</v>
      </c>
      <c r="J1406" s="1">
        <f ca="1">IFERROR(__xludf.DUMMYFUNCTION("""COMPUTED_VALUE"""),5)</f>
        <v>5</v>
      </c>
      <c r="K1406" s="1" t="str">
        <f ca="1">IFERROR(__xludf.DUMMYFUNCTION("""COMPUTED_VALUE"""),"Fully Remote with No option to visit offices")</f>
        <v>Fully Remote with No option to visit offices</v>
      </c>
      <c r="L1406" s="1" t="str">
        <f ca="1">IFERROR(__xludf.DUMMYFUNCTION("""COMPUTED_VALUE"""),"Employer who pushes your limits by enabling an learning environment, and rewards you at the end")</f>
        <v>Employer who pushes your limits by enabling an learning environment, and rewards you at the end</v>
      </c>
      <c r="M1406" s="1" t="str">
        <f ca="1">IFERROR(__xludf.DUMMYFUNCTION("""COMPUTED_VALUE"""),"Self Paced Learning Portals of the Company, Instructor or Expert Learning Programs, Manager Teaching you")</f>
        <v>Self Paced Learning Portals of the Company, Instructor or Expert Learning Programs, Manager Teaching you</v>
      </c>
      <c r="N1406"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06" s="1" t="str">
        <f ca="1">IFERROR(__xludf.DUMMYFUNCTION("""COMPUTED_VALUE"""),"Manager who explains what is expected, sets a goal and helps achieve it")</f>
        <v>Manager who explains what is expected, sets a goal and helps achieve it</v>
      </c>
      <c r="P1406" s="1" t="str">
        <f ca="1">IFERROR(__xludf.DUMMYFUNCTION("""COMPUTED_VALUE"""),"Work with 7 to 10 or more people in my team")</f>
        <v>Work with 7 to 10 or more people in my team</v>
      </c>
      <c r="Q1406" s="1"/>
    </row>
    <row r="1407" spans="1:17" ht="13.2" x14ac:dyDescent="0.25">
      <c r="A1407" s="2">
        <f ca="1">IFERROR(__xludf.DUMMYFUNCTION("""COMPUTED_VALUE"""),45044.8802505555)</f>
        <v>45044.8802505555</v>
      </c>
      <c r="B1407" s="1" t="str">
        <f ca="1">IFERROR(__xludf.DUMMYFUNCTION("""COMPUTED_VALUE"""),"India")</f>
        <v>India</v>
      </c>
      <c r="C1407" s="1">
        <f ca="1">IFERROR(__xludf.DUMMYFUNCTION("""COMPUTED_VALUE"""),492001)</f>
        <v>492001</v>
      </c>
      <c r="D1407" s="3" t="str">
        <f ca="1">IFERROR(__xludf.DUMMYFUNCTION("""COMPUTED_VALUE"""),"Male")</f>
        <v>Male</v>
      </c>
      <c r="E1407" s="1" t="str">
        <f ca="1">IFERROR(__xludf.DUMMYFUNCTION("""COMPUTED_VALUE"""),"People from my circle, but not family members")</f>
        <v>People from my circle, but not family members</v>
      </c>
      <c r="F1407" s="1" t="str">
        <f ca="1">IFERROR(__xludf.DUMMYFUNCTION("""COMPUTED_VALUE"""),"No I would not be pursuing Higher Education outside of India")</f>
        <v>No I would not be pursuing Higher Education outside of India</v>
      </c>
      <c r="G1407" s="1" t="str">
        <f ca="1">IFERROR(__xludf.DUMMYFUNCTION("""COMPUTED_VALUE"""),"Will work for 3 years or more")</f>
        <v>Will work for 3 years or more</v>
      </c>
      <c r="H1407" s="1" t="str">
        <f ca="1">IFERROR(__xludf.DUMMYFUNCTION("""COMPUTED_VALUE"""),"No")</f>
        <v>No</v>
      </c>
      <c r="I1407" s="1" t="str">
        <f ca="1">IFERROR(__xludf.DUMMYFUNCTION("""COMPUTED_VALUE"""),"Will work for them")</f>
        <v>Will work for them</v>
      </c>
      <c r="J1407" s="1">
        <f ca="1">IFERROR(__xludf.DUMMYFUNCTION("""COMPUTED_VALUE"""),5)</f>
        <v>5</v>
      </c>
      <c r="K1407" s="1" t="str">
        <f ca="1">IFERROR(__xludf.DUMMYFUNCTION("""COMPUTED_VALUE"""),"Hybrid Working Environment with more than 15 days a month at office")</f>
        <v>Hybrid Working Environment with more than 15 days a month at office</v>
      </c>
      <c r="L1407" s="1" t="str">
        <f ca="1">IFERROR(__xludf.DUMMYFUNCTION("""COMPUTED_VALUE"""),"Employer who appreciates learning and enables that environment")</f>
        <v>Employer who appreciates learning and enables that environment</v>
      </c>
      <c r="M140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07" s="1" t="str">
        <f ca="1">IFERROR(__xludf.DUMMYFUNCTION("""COMPUTED_VALUE"""),"Business Operations in any organization, Work in a BPO setup for some well known client, Entrepreneur or Start Up, Manufacturing / Oil and Gas/ Construction / Hard Physical Work related")</f>
        <v>Business Operations in any organization, Work in a BPO setup for some well known client, Entrepreneur or Start Up, Manufacturing / Oil and Gas/ Construction / Hard Physical Work related</v>
      </c>
      <c r="O1407" s="1" t="str">
        <f ca="1">IFERROR(__xludf.DUMMYFUNCTION("""COMPUTED_VALUE"""),"Manager who clearly describes what she/he needs")</f>
        <v>Manager who clearly describes what she/he needs</v>
      </c>
      <c r="P1407" s="1" t="str">
        <f ca="1">IFERROR(__xludf.DUMMYFUNCTION("""COMPUTED_VALUE"""),"Work with 2 to 3 people in my team")</f>
        <v>Work with 2 to 3 people in my team</v>
      </c>
      <c r="Q1407" s="1"/>
    </row>
    <row r="1408" spans="1:17" ht="13.2" x14ac:dyDescent="0.25">
      <c r="A1408" s="2">
        <f ca="1">IFERROR(__xludf.DUMMYFUNCTION("""COMPUTED_VALUE"""),45044.882574074)</f>
        <v>45044.882574073999</v>
      </c>
      <c r="B1408" s="1" t="str">
        <f ca="1">IFERROR(__xludf.DUMMYFUNCTION("""COMPUTED_VALUE"""),"India")</f>
        <v>India</v>
      </c>
      <c r="C1408" s="1">
        <f ca="1">IFERROR(__xludf.DUMMYFUNCTION("""COMPUTED_VALUE"""),191101)</f>
        <v>191101</v>
      </c>
      <c r="D1408" s="3" t="str">
        <f ca="1">IFERROR(__xludf.DUMMYFUNCTION("""COMPUTED_VALUE"""),"Female")</f>
        <v>Female</v>
      </c>
      <c r="E1408" s="1" t="str">
        <f ca="1">IFERROR(__xludf.DUMMYFUNCTION("""COMPUTED_VALUE"""),"My Parents")</f>
        <v>My Parents</v>
      </c>
      <c r="F1408" s="1" t="str">
        <f ca="1">IFERROR(__xludf.DUMMYFUNCTION("""COMPUTED_VALUE"""),"No, But if someone could bare the cost I will")</f>
        <v>No, But if someone could bare the cost I will</v>
      </c>
      <c r="G1408" s="1" t="str">
        <f ca="1">IFERROR(__xludf.DUMMYFUNCTION("""COMPUTED_VALUE"""),"This will be hard to do, but if it is the right company I would try")</f>
        <v>This will be hard to do, but if it is the right company I would try</v>
      </c>
      <c r="H1408" s="1" t="str">
        <f ca="1">IFERROR(__xludf.DUMMYFUNCTION("""COMPUTED_VALUE"""),"Yes")</f>
        <v>Yes</v>
      </c>
      <c r="I1408" s="1" t="str">
        <f ca="1">IFERROR(__xludf.DUMMYFUNCTION("""COMPUTED_VALUE"""),"Will NOT work for them")</f>
        <v>Will NOT work for them</v>
      </c>
      <c r="J1408" s="1">
        <f ca="1">IFERROR(__xludf.DUMMYFUNCTION("""COMPUTED_VALUE"""),10)</f>
        <v>10</v>
      </c>
      <c r="K1408" s="1" t="str">
        <f ca="1">IFERROR(__xludf.DUMMYFUNCTION("""COMPUTED_VALUE"""),"Fully Remote with Options to travel as and when needed")</f>
        <v>Fully Remote with Options to travel as and when needed</v>
      </c>
      <c r="L1408" s="1" t="str">
        <f ca="1">IFERROR(__xludf.DUMMYFUNCTION("""COMPUTED_VALUE"""),"Employer who pushes your limits by enabling an learning environment, and rewards you at the end")</f>
        <v>Employer who pushes your limits by enabling an learning environment, and rewards you at the end</v>
      </c>
      <c r="M14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08"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1408" s="1" t="str">
        <f ca="1">IFERROR(__xludf.DUMMYFUNCTION("""COMPUTED_VALUE"""),"Manager who sets goal and helps me achieve it")</f>
        <v>Manager who sets goal and helps me achieve it</v>
      </c>
      <c r="P1408" s="1" t="str">
        <f ca="1">IFERROR(__xludf.DUMMYFUNCTION("""COMPUTED_VALUE"""),"Work with more than 10 people in my team")</f>
        <v>Work with more than 10 people in my team</v>
      </c>
      <c r="Q1408" s="1"/>
    </row>
    <row r="1409" spans="1:17" ht="13.2" x14ac:dyDescent="0.25">
      <c r="A1409" s="2">
        <f ca="1">IFERROR(__xludf.DUMMYFUNCTION("""COMPUTED_VALUE"""),45044.8871708449)</f>
        <v>45044.887170844901</v>
      </c>
      <c r="B1409" s="1" t="str">
        <f ca="1">IFERROR(__xludf.DUMMYFUNCTION("""COMPUTED_VALUE"""),"India")</f>
        <v>India</v>
      </c>
      <c r="C1409" s="1">
        <f ca="1">IFERROR(__xludf.DUMMYFUNCTION("""COMPUTED_VALUE"""),500028)</f>
        <v>500028</v>
      </c>
      <c r="D1409" s="3" t="str">
        <f ca="1">IFERROR(__xludf.DUMMYFUNCTION("""COMPUTED_VALUE"""),"Male")</f>
        <v>Male</v>
      </c>
      <c r="E1409" s="1" t="str">
        <f ca="1">IFERROR(__xludf.DUMMYFUNCTION("""COMPUTED_VALUE"""),"People who have changed the world for better")</f>
        <v>People who have changed the world for better</v>
      </c>
      <c r="F1409" s="1" t="str">
        <f ca="1">IFERROR(__xludf.DUMMYFUNCTION("""COMPUTED_VALUE"""),"Yes, I will earn and do that")</f>
        <v>Yes, I will earn and do that</v>
      </c>
      <c r="G1409" s="1" t="str">
        <f ca="1">IFERROR(__xludf.DUMMYFUNCTION("""COMPUTED_VALUE"""),"This will be hard to do, but if it is the right company I would try")</f>
        <v>This will be hard to do, but if it is the right company I would try</v>
      </c>
      <c r="H1409" s="1" t="str">
        <f ca="1">IFERROR(__xludf.DUMMYFUNCTION("""COMPUTED_VALUE"""),"No")</f>
        <v>No</v>
      </c>
      <c r="I1409" s="1" t="str">
        <f ca="1">IFERROR(__xludf.DUMMYFUNCTION("""COMPUTED_VALUE"""),"Will work for them")</f>
        <v>Will work for them</v>
      </c>
      <c r="J1409" s="1">
        <f ca="1">IFERROR(__xludf.DUMMYFUNCTION("""COMPUTED_VALUE"""),10)</f>
        <v>10</v>
      </c>
      <c r="K1409" s="1" t="str">
        <f ca="1">IFERROR(__xludf.DUMMYFUNCTION("""COMPUTED_VALUE"""),"Fully Remote with Options to travel as and when needed")</f>
        <v>Fully Remote with Options to travel as and when needed</v>
      </c>
      <c r="L1409" s="1" t="str">
        <f ca="1">IFERROR(__xludf.DUMMYFUNCTION("""COMPUTED_VALUE"""),"Employer who pushes your limits by enabling an learning environment, and rewards you at the end")</f>
        <v>Employer who pushes your limits by enabling an learning environment, and rewards you at the end</v>
      </c>
      <c r="M140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0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409" s="1" t="str">
        <f ca="1">IFERROR(__xludf.DUMMYFUNCTION("""COMPUTED_VALUE"""),"Manager who sets goal and helps me achieve it")</f>
        <v>Manager who sets goal and helps me achieve it</v>
      </c>
      <c r="P1409" s="1" t="str">
        <f ca="1">IFERROR(__xludf.DUMMYFUNCTION("""COMPUTED_VALUE"""),"Work with more than 10 people in my team")</f>
        <v>Work with more than 10 people in my team</v>
      </c>
      <c r="Q1409" s="1"/>
    </row>
    <row r="1410" spans="1:17" ht="13.2" x14ac:dyDescent="0.25">
      <c r="A1410" s="2">
        <f ca="1">IFERROR(__xludf.DUMMYFUNCTION("""COMPUTED_VALUE"""),45044.8887516203)</f>
        <v>45044.888751620303</v>
      </c>
      <c r="B1410" s="1" t="str">
        <f ca="1">IFERROR(__xludf.DUMMYFUNCTION("""COMPUTED_VALUE"""),"India")</f>
        <v>India</v>
      </c>
      <c r="C1410" s="1">
        <f ca="1">IFERROR(__xludf.DUMMYFUNCTION("""COMPUTED_VALUE"""),563125)</f>
        <v>563125</v>
      </c>
      <c r="D1410" s="3" t="str">
        <f ca="1">IFERROR(__xludf.DUMMYFUNCTION("""COMPUTED_VALUE"""),"Female")</f>
        <v>Female</v>
      </c>
      <c r="E1410" s="1" t="str">
        <f ca="1">IFERROR(__xludf.DUMMYFUNCTION("""COMPUTED_VALUE"""),"My Parents")</f>
        <v>My Parents</v>
      </c>
      <c r="F1410" s="1" t="str">
        <f ca="1">IFERROR(__xludf.DUMMYFUNCTION("""COMPUTED_VALUE"""),"Yes, I will earn and do that")</f>
        <v>Yes, I will earn and do that</v>
      </c>
      <c r="G1410" s="1" t="str">
        <f ca="1">IFERROR(__xludf.DUMMYFUNCTION("""COMPUTED_VALUE"""),"Will work for 3 years or more")</f>
        <v>Will work for 3 years or more</v>
      </c>
      <c r="H1410" s="1" t="str">
        <f ca="1">IFERROR(__xludf.DUMMYFUNCTION("""COMPUTED_VALUE"""),"Yes")</f>
        <v>Yes</v>
      </c>
      <c r="I1410" s="1" t="str">
        <f ca="1">IFERROR(__xludf.DUMMYFUNCTION("""COMPUTED_VALUE"""),"Will work for them")</f>
        <v>Will work for them</v>
      </c>
      <c r="J1410" s="1">
        <f ca="1">IFERROR(__xludf.DUMMYFUNCTION("""COMPUTED_VALUE"""),5)</f>
        <v>5</v>
      </c>
      <c r="K1410" s="1" t="str">
        <f ca="1">IFERROR(__xludf.DUMMYFUNCTION("""COMPUTED_VALUE"""),"Fully Remote with No option to visit offices")</f>
        <v>Fully Remote with No option to visit offices</v>
      </c>
      <c r="L1410" s="1" t="str">
        <f ca="1">IFERROR(__xludf.DUMMYFUNCTION("""COMPUTED_VALUE"""),"Employer who appreciates learning and enables that environment")</f>
        <v>Employer who appreciates learning and enables that environment</v>
      </c>
      <c r="M141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410" s="1" t="str">
        <f ca="1">IFERROR(__xludf.DUMMYFUNCTION("""COMPUTED_VALUE"""),"Manager who sets goal and helps me achieve it")</f>
        <v>Manager who sets goal and helps me achieve it</v>
      </c>
      <c r="P1410" s="1" t="str">
        <f ca="1">IFERROR(__xludf.DUMMYFUNCTION("""COMPUTED_VALUE"""),"Work with 7 to 10 or more people in my team")</f>
        <v>Work with 7 to 10 or more people in my team</v>
      </c>
      <c r="Q1410" s="1"/>
    </row>
    <row r="1411" spans="1:17" ht="13.2" x14ac:dyDescent="0.25">
      <c r="A1411" s="2">
        <f ca="1">IFERROR(__xludf.DUMMYFUNCTION("""COMPUTED_VALUE"""),45044.8893625694)</f>
        <v>45044.889362569404</v>
      </c>
      <c r="B1411" s="1" t="str">
        <f ca="1">IFERROR(__xludf.DUMMYFUNCTION("""COMPUTED_VALUE"""),"India")</f>
        <v>India</v>
      </c>
      <c r="C1411" s="1">
        <f ca="1">IFERROR(__xludf.DUMMYFUNCTION("""COMPUTED_VALUE"""),110044)</f>
        <v>110044</v>
      </c>
      <c r="D1411" s="3" t="str">
        <f ca="1">IFERROR(__xludf.DUMMYFUNCTION("""COMPUTED_VALUE"""),"Male")</f>
        <v>Male</v>
      </c>
      <c r="E1411" s="1" t="str">
        <f ca="1">IFERROR(__xludf.DUMMYFUNCTION("""COMPUTED_VALUE"""),"My Parents")</f>
        <v>My Parents</v>
      </c>
      <c r="F1411" s="1" t="str">
        <f ca="1">IFERROR(__xludf.DUMMYFUNCTION("""COMPUTED_VALUE"""),"Yes, I will earn and do that")</f>
        <v>Yes, I will earn and do that</v>
      </c>
      <c r="G1411" s="1" t="str">
        <f ca="1">IFERROR(__xludf.DUMMYFUNCTION("""COMPUTED_VALUE"""),"Will work for 3 years or more")</f>
        <v>Will work for 3 years or more</v>
      </c>
      <c r="H1411" s="1" t="str">
        <f ca="1">IFERROR(__xludf.DUMMYFUNCTION("""COMPUTED_VALUE"""),"Yes")</f>
        <v>Yes</v>
      </c>
      <c r="I1411" s="1" t="str">
        <f ca="1">IFERROR(__xludf.DUMMYFUNCTION("""COMPUTED_VALUE"""),"Will work for them")</f>
        <v>Will work for them</v>
      </c>
      <c r="J1411" s="1">
        <f ca="1">IFERROR(__xludf.DUMMYFUNCTION("""COMPUTED_VALUE"""),1)</f>
        <v>1</v>
      </c>
      <c r="K1411" s="1" t="str">
        <f ca="1">IFERROR(__xludf.DUMMYFUNCTION("""COMPUTED_VALUE"""),"Every Day Office Environment")</f>
        <v>Every Day Office Environment</v>
      </c>
      <c r="L1411" s="1" t="str">
        <f ca="1">IFERROR(__xludf.DUMMYFUNCTION("""COMPUTED_VALUE"""),"Employer who appreciates learning and enables that environment")</f>
        <v>Employer who appreciates learning and enables that environment</v>
      </c>
      <c r="M141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11" s="1" t="str">
        <f ca="1">IFERROR(__xludf.DUMMYFUNCTION("""COMPUTED_VALUE"""),"Teaching in any of the institutes/colleges/online or offline, Business Operations in any organization, Design and Develop amazing software, Look deeply into Data and generate insights")</f>
        <v>Teaching in any of the institutes/colleges/online or offline, Business Operations in any organization, Design and Develop amazing software, Look deeply into Data and generate insights</v>
      </c>
      <c r="O1411" s="1" t="str">
        <f ca="1">IFERROR(__xludf.DUMMYFUNCTION("""COMPUTED_VALUE"""),"Manager who clearly describes what she/he needs")</f>
        <v>Manager who clearly describes what she/he needs</v>
      </c>
      <c r="P1411" s="1" t="str">
        <f ca="1">IFERROR(__xludf.DUMMYFUNCTION("""COMPUTED_VALUE"""),"Work alone, Work with 2 to 3 people in my team, Work with 5 to 6 people in my team")</f>
        <v>Work alone, Work with 2 to 3 people in my team, Work with 5 to 6 people in my team</v>
      </c>
      <c r="Q1411" s="1"/>
    </row>
    <row r="1412" spans="1:17" ht="13.2" x14ac:dyDescent="0.25">
      <c r="A1412" s="2">
        <f ca="1">IFERROR(__xludf.DUMMYFUNCTION("""COMPUTED_VALUE"""),45044.8910325347)</f>
        <v>45044.891032534702</v>
      </c>
      <c r="B1412" s="1" t="str">
        <f ca="1">IFERROR(__xludf.DUMMYFUNCTION("""COMPUTED_VALUE"""),"India")</f>
        <v>India</v>
      </c>
      <c r="C1412" s="1">
        <f ca="1">IFERROR(__xludf.DUMMYFUNCTION("""COMPUTED_VALUE"""),505209)</f>
        <v>505209</v>
      </c>
      <c r="D1412" s="3" t="str">
        <f ca="1">IFERROR(__xludf.DUMMYFUNCTION("""COMPUTED_VALUE"""),"Male")</f>
        <v>Male</v>
      </c>
      <c r="E1412" s="1" t="str">
        <f ca="1">IFERROR(__xludf.DUMMYFUNCTION("""COMPUTED_VALUE"""),"Influencers who had successful careers")</f>
        <v>Influencers who had successful careers</v>
      </c>
      <c r="F1412" s="1" t="str">
        <f ca="1">IFERROR(__xludf.DUMMYFUNCTION("""COMPUTED_VALUE"""),"No I would not be pursuing Higher Education outside of India")</f>
        <v>No I would not be pursuing Higher Education outside of India</v>
      </c>
      <c r="G1412" s="1" t="str">
        <f ca="1">IFERROR(__xludf.DUMMYFUNCTION("""COMPUTED_VALUE"""),"No way")</f>
        <v>No way</v>
      </c>
      <c r="H1412" s="1" t="str">
        <f ca="1">IFERROR(__xludf.DUMMYFUNCTION("""COMPUTED_VALUE"""),"No")</f>
        <v>No</v>
      </c>
      <c r="I1412" s="1" t="str">
        <f ca="1">IFERROR(__xludf.DUMMYFUNCTION("""COMPUTED_VALUE"""),"Will NOT work for them")</f>
        <v>Will NOT work for them</v>
      </c>
      <c r="J1412" s="1">
        <f ca="1">IFERROR(__xludf.DUMMYFUNCTION("""COMPUTED_VALUE"""),1)</f>
        <v>1</v>
      </c>
      <c r="K1412" s="1" t="str">
        <f ca="1">IFERROR(__xludf.DUMMYFUNCTION("""COMPUTED_VALUE"""),"Fully Remote with Options to travel as and when needed")</f>
        <v>Fully Remote with Options to travel as and when needed</v>
      </c>
      <c r="L1412" s="1" t="str">
        <f ca="1">IFERROR(__xludf.DUMMYFUNCTION("""COMPUTED_VALUE"""),"Employer who appreciates learning and enables that environment")</f>
        <v>Employer who appreciates learning and enables that environment</v>
      </c>
      <c r="M1412" s="1" t="str">
        <f ca="1">IFERROR(__xludf.DUMMYFUNCTION("""COMPUTED_VALUE"""),"Instructor or Expert Learning Programs, Learning by observing others, Manager Teaching you")</f>
        <v>Instructor or Expert Learning Programs, Learning by observing others, Manager Teaching you</v>
      </c>
      <c r="N1412"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12" s="1" t="str">
        <f ca="1">IFERROR(__xludf.DUMMYFUNCTION("""COMPUTED_VALUE"""),"Manager who explains what is expected, sets a goal and helps achieve it")</f>
        <v>Manager who explains what is expected, sets a goal and helps achieve it</v>
      </c>
      <c r="P1412" s="1" t="str">
        <f ca="1">IFERROR(__xludf.DUMMYFUNCTION("""COMPUTED_VALUE"""),"Work with 5 to 6 people in my team")</f>
        <v>Work with 5 to 6 people in my team</v>
      </c>
      <c r="Q1412" s="1"/>
    </row>
    <row r="1413" spans="1:17" ht="13.2" x14ac:dyDescent="0.25">
      <c r="A1413" s="2">
        <f ca="1">IFERROR(__xludf.DUMMYFUNCTION("""COMPUTED_VALUE"""),45044.8922712384)</f>
        <v>45044.892271238401</v>
      </c>
      <c r="B1413" s="1" t="str">
        <f ca="1">IFERROR(__xludf.DUMMYFUNCTION("""COMPUTED_VALUE"""),"India")</f>
        <v>India</v>
      </c>
      <c r="C1413" s="1">
        <f ca="1">IFERROR(__xludf.DUMMYFUNCTION("""COMPUTED_VALUE"""),505211)</f>
        <v>505211</v>
      </c>
      <c r="D1413" s="3" t="str">
        <f ca="1">IFERROR(__xludf.DUMMYFUNCTION("""COMPUTED_VALUE"""),"Male")</f>
        <v>Male</v>
      </c>
      <c r="E1413" s="1" t="str">
        <f ca="1">IFERROR(__xludf.DUMMYFUNCTION("""COMPUTED_VALUE"""),"People who have changed the world for better")</f>
        <v>People who have changed the world for better</v>
      </c>
      <c r="F1413" s="1" t="str">
        <f ca="1">IFERROR(__xludf.DUMMYFUNCTION("""COMPUTED_VALUE"""),"Yes, I will earn and do that")</f>
        <v>Yes, I will earn and do that</v>
      </c>
      <c r="G1413" s="1" t="str">
        <f ca="1">IFERROR(__xludf.DUMMYFUNCTION("""COMPUTED_VALUE"""),"This will be hard to do, but if it is the right company I would try")</f>
        <v>This will be hard to do, but if it is the right company I would try</v>
      </c>
      <c r="H1413" s="1" t="str">
        <f ca="1">IFERROR(__xludf.DUMMYFUNCTION("""COMPUTED_VALUE"""),"Yes")</f>
        <v>Yes</v>
      </c>
      <c r="I1413" s="1" t="str">
        <f ca="1">IFERROR(__xludf.DUMMYFUNCTION("""COMPUTED_VALUE"""),"Will work for them")</f>
        <v>Will work for them</v>
      </c>
      <c r="J1413" s="1">
        <f ca="1">IFERROR(__xludf.DUMMYFUNCTION("""COMPUTED_VALUE"""),1)</f>
        <v>1</v>
      </c>
      <c r="K1413" s="1" t="str">
        <f ca="1">IFERROR(__xludf.DUMMYFUNCTION("""COMPUTED_VALUE"""),"Every Day Office Environment")</f>
        <v>Every Day Office Environment</v>
      </c>
      <c r="L1413" s="1" t="str">
        <f ca="1">IFERROR(__xludf.DUMMYFUNCTION("""COMPUTED_VALUE"""),"Employer who appreciates learning and enables that environment")</f>
        <v>Employer who appreciates learning and enables that environment</v>
      </c>
      <c r="M1413"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413" s="1" t="str">
        <f ca="1">IFERROR(__xludf.DUMMYFUNCTION("""COMPUTED_VALUE"""),"Design and Creative strategy in any company, Work in a BPO setup for some well known client, An Artificial Intelligence Specialist / Talking to Robots, Manufacturing / Oil and Gas/ Construction / Hard Physical Work related")</f>
        <v>Design and Creative strategy in any company, Work in a BPO setup for some well known client, An Artificial Intelligence Specialist / Talking to Robots, Manufacturing / Oil and Gas/ Construction / Hard Physical Work related</v>
      </c>
      <c r="O1413" s="1" t="str">
        <f ca="1">IFERROR(__xludf.DUMMYFUNCTION("""COMPUTED_VALUE"""),"Manager who explains what is expected, sets a goal and helps achieve it")</f>
        <v>Manager who explains what is expected, sets a goal and helps achieve it</v>
      </c>
      <c r="P1413"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413" s="1"/>
    </row>
    <row r="1414" spans="1:17" ht="13.2" x14ac:dyDescent="0.25">
      <c r="A1414" s="2">
        <f ca="1">IFERROR(__xludf.DUMMYFUNCTION("""COMPUTED_VALUE"""),45044.8945060648)</f>
        <v>45044.894506064797</v>
      </c>
      <c r="B1414" s="1" t="str">
        <f ca="1">IFERROR(__xludf.DUMMYFUNCTION("""COMPUTED_VALUE"""),"India")</f>
        <v>India</v>
      </c>
      <c r="C1414" s="1">
        <f ca="1">IFERROR(__xludf.DUMMYFUNCTION("""COMPUTED_VALUE"""),713103)</f>
        <v>713103</v>
      </c>
      <c r="D1414" s="3" t="str">
        <f ca="1">IFERROR(__xludf.DUMMYFUNCTION("""COMPUTED_VALUE"""),"Female")</f>
        <v>Female</v>
      </c>
      <c r="E1414" s="1" t="str">
        <f ca="1">IFERROR(__xludf.DUMMYFUNCTION("""COMPUTED_VALUE"""),"Social Media like LinkedIn")</f>
        <v>Social Media like LinkedIn</v>
      </c>
      <c r="F1414" s="1" t="str">
        <f ca="1">IFERROR(__xludf.DUMMYFUNCTION("""COMPUTED_VALUE"""),"Yes, I will earn and do that")</f>
        <v>Yes, I will earn and do that</v>
      </c>
      <c r="G1414" s="1" t="str">
        <f ca="1">IFERROR(__xludf.DUMMYFUNCTION("""COMPUTED_VALUE"""),"This will be hard to do, but if it is the right company I would try")</f>
        <v>This will be hard to do, but if it is the right company I would try</v>
      </c>
      <c r="H1414" s="1" t="str">
        <f ca="1">IFERROR(__xludf.DUMMYFUNCTION("""COMPUTED_VALUE"""),"Yes")</f>
        <v>Yes</v>
      </c>
      <c r="I1414" s="1" t="str">
        <f ca="1">IFERROR(__xludf.DUMMYFUNCTION("""COMPUTED_VALUE"""),"Will work for them")</f>
        <v>Will work for them</v>
      </c>
      <c r="J1414" s="1">
        <f ca="1">IFERROR(__xludf.DUMMYFUNCTION("""COMPUTED_VALUE"""),6)</f>
        <v>6</v>
      </c>
      <c r="K1414" s="1" t="str">
        <f ca="1">IFERROR(__xludf.DUMMYFUNCTION("""COMPUTED_VALUE"""),"Hybrid Working Environment with less than 3 days a month at office")</f>
        <v>Hybrid Working Environment with less than 3 days a month at office</v>
      </c>
      <c r="L1414" s="1" t="str">
        <f ca="1">IFERROR(__xludf.DUMMYFUNCTION("""COMPUTED_VALUE"""),"Employer who pushes your limits by enabling an learning environment, and rewards you at the end")</f>
        <v>Employer who pushes your limits by enabling an learning environment, and rewards you at the end</v>
      </c>
      <c r="M1414" s="1" t="str">
        <f ca="1">IFERROR(__xludf.DUMMYFUNCTION("""COMPUTED_VALUE"""),"Self Paced Learning Portals of the Company, Instructor or Expert Learning Programs, Manager Teaching you")</f>
        <v>Self Paced Learning Portals of the Company, Instructor or Expert Learning Programs, Manager Teaching you</v>
      </c>
      <c r="N1414"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4" s="1" t="str">
        <f ca="1">IFERROR(__xludf.DUMMYFUNCTION("""COMPUTED_VALUE"""),"Manager who sets goal and helps me achieve it")</f>
        <v>Manager who sets goal and helps me achieve it</v>
      </c>
      <c r="P1414" s="1" t="str">
        <f ca="1">IFERROR(__xludf.DUMMYFUNCTION("""COMPUTED_VALUE"""),"Work with 2 to 3 people in my team")</f>
        <v>Work with 2 to 3 people in my team</v>
      </c>
      <c r="Q1414" s="1"/>
    </row>
    <row r="1415" spans="1:17" ht="13.2" x14ac:dyDescent="0.25">
      <c r="A1415" s="2">
        <f ca="1">IFERROR(__xludf.DUMMYFUNCTION("""COMPUTED_VALUE"""),45044.9011502546)</f>
        <v>45044.901150254598</v>
      </c>
      <c r="B1415" s="1" t="str">
        <f ca="1">IFERROR(__xludf.DUMMYFUNCTION("""COMPUTED_VALUE"""),"India")</f>
        <v>India</v>
      </c>
      <c r="C1415" s="1">
        <f ca="1">IFERROR(__xludf.DUMMYFUNCTION("""COMPUTED_VALUE"""),411014)</f>
        <v>411014</v>
      </c>
      <c r="D1415" s="3" t="str">
        <f ca="1">IFERROR(__xludf.DUMMYFUNCTION("""COMPUTED_VALUE"""),"Male")</f>
        <v>Male</v>
      </c>
      <c r="E1415" s="1" t="str">
        <f ca="1">IFERROR(__xludf.DUMMYFUNCTION("""COMPUTED_VALUE"""),"People who have changed the world for better")</f>
        <v>People who have changed the world for better</v>
      </c>
      <c r="F1415" s="1" t="str">
        <f ca="1">IFERROR(__xludf.DUMMYFUNCTION("""COMPUTED_VALUE"""),"Yes, I will earn and do that")</f>
        <v>Yes, I will earn and do that</v>
      </c>
      <c r="G1415" s="1" t="str">
        <f ca="1">IFERROR(__xludf.DUMMYFUNCTION("""COMPUTED_VALUE"""),"This will be hard to do, but if it is the right company I would try")</f>
        <v>This will be hard to do, but if it is the right company I would try</v>
      </c>
      <c r="H1415" s="1" t="str">
        <f ca="1">IFERROR(__xludf.DUMMYFUNCTION("""COMPUTED_VALUE"""),"No")</f>
        <v>No</v>
      </c>
      <c r="I1415" s="1" t="str">
        <f ca="1">IFERROR(__xludf.DUMMYFUNCTION("""COMPUTED_VALUE"""),"Will NOT work for them")</f>
        <v>Will NOT work for them</v>
      </c>
      <c r="J1415" s="1">
        <f ca="1">IFERROR(__xludf.DUMMYFUNCTION("""COMPUTED_VALUE"""),1)</f>
        <v>1</v>
      </c>
      <c r="K1415" s="1" t="str">
        <f ca="1">IFERROR(__xludf.DUMMYFUNCTION("""COMPUTED_VALUE"""),"Hybrid Working Environment with more than 15 days a month at office")</f>
        <v>Hybrid Working Environment with more than 15 days a month at office</v>
      </c>
      <c r="L1415" s="1" t="str">
        <f ca="1">IFERROR(__xludf.DUMMYFUNCTION("""COMPUTED_VALUE"""),"Employer who pushes your limits by enabling an learning environment, and rewards you at the end")</f>
        <v>Employer who pushes your limits by enabling an learning environment, and rewards you at the end</v>
      </c>
      <c r="M141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5"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15" s="1" t="str">
        <f ca="1">IFERROR(__xludf.DUMMYFUNCTION("""COMPUTED_VALUE"""),"Manager who explains what is expected, sets a goal and helps achieve it")</f>
        <v>Manager who explains what is expected, sets a goal and helps achieve it</v>
      </c>
      <c r="P1415" s="1" t="str">
        <f ca="1">IFERROR(__xludf.DUMMYFUNCTION("""COMPUTED_VALUE"""),"Work with more than 10 people in my team")</f>
        <v>Work with more than 10 people in my team</v>
      </c>
      <c r="Q1415" s="1"/>
    </row>
    <row r="1416" spans="1:17" ht="13.2" x14ac:dyDescent="0.25">
      <c r="A1416" s="2">
        <f ca="1">IFERROR(__xludf.DUMMYFUNCTION("""COMPUTED_VALUE"""),45044.9033888194)</f>
        <v>45044.903388819403</v>
      </c>
      <c r="B1416" s="1" t="str">
        <f ca="1">IFERROR(__xludf.DUMMYFUNCTION("""COMPUTED_VALUE"""),"India")</f>
        <v>India</v>
      </c>
      <c r="C1416" s="1">
        <f ca="1">IFERROR(__xludf.DUMMYFUNCTION("""COMPUTED_VALUE"""),68)</f>
        <v>68</v>
      </c>
      <c r="D1416" s="3" t="str">
        <f ca="1">IFERROR(__xludf.DUMMYFUNCTION("""COMPUTED_VALUE"""),"Male")</f>
        <v>Male</v>
      </c>
      <c r="E1416" s="1" t="str">
        <f ca="1">IFERROR(__xludf.DUMMYFUNCTION("""COMPUTED_VALUE"""),"People from my circle, but not family members")</f>
        <v>People from my circle, but not family members</v>
      </c>
      <c r="F1416" s="1" t="str">
        <f ca="1">IFERROR(__xludf.DUMMYFUNCTION("""COMPUTED_VALUE"""),"No I would not be pursuing Higher Education outside of India")</f>
        <v>No I would not be pursuing Higher Education outside of India</v>
      </c>
      <c r="G1416" s="1" t="str">
        <f ca="1">IFERROR(__xludf.DUMMYFUNCTION("""COMPUTED_VALUE"""),"This will be hard to do, but if it is the right company I would try")</f>
        <v>This will be hard to do, but if it is the right company I would try</v>
      </c>
      <c r="H1416" s="1" t="str">
        <f ca="1">IFERROR(__xludf.DUMMYFUNCTION("""COMPUTED_VALUE"""),"Yes")</f>
        <v>Yes</v>
      </c>
      <c r="I1416" s="1" t="str">
        <f ca="1">IFERROR(__xludf.DUMMYFUNCTION("""COMPUTED_VALUE"""),"Will NOT work for them")</f>
        <v>Will NOT work for them</v>
      </c>
      <c r="J1416" s="1">
        <f ca="1">IFERROR(__xludf.DUMMYFUNCTION("""COMPUTED_VALUE"""),6)</f>
        <v>6</v>
      </c>
      <c r="K1416" s="1" t="str">
        <f ca="1">IFERROR(__xludf.DUMMYFUNCTION("""COMPUTED_VALUE"""),"Fully Remote with Options to travel as and when needed")</f>
        <v>Fully Remote with Options to travel as and when needed</v>
      </c>
      <c r="L1416" s="1" t="str">
        <f ca="1">IFERROR(__xludf.DUMMYFUNCTION("""COMPUTED_VALUE"""),"Employer who pushes your limits by enabling an learning environment, and rewards you at the end")</f>
        <v>Employer who pushes your limits by enabling an learning environment, and rewards you at the end</v>
      </c>
      <c r="M141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16"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6" s="1" t="str">
        <f ca="1">IFERROR(__xludf.DUMMYFUNCTION("""COMPUTED_VALUE"""),"Manager who explains what is expected, sets a goal and helps achieve it")</f>
        <v>Manager who explains what is expected, sets a goal and helps achieve it</v>
      </c>
      <c r="P1416" s="1" t="str">
        <f ca="1">IFERROR(__xludf.DUMMYFUNCTION("""COMPUTED_VALUE"""),"Work with 5 to 6 people in my team")</f>
        <v>Work with 5 to 6 people in my team</v>
      </c>
      <c r="Q1416" s="1"/>
    </row>
    <row r="1417" spans="1:17" ht="13.2" x14ac:dyDescent="0.25">
      <c r="A1417" s="2">
        <f ca="1">IFERROR(__xludf.DUMMYFUNCTION("""COMPUTED_VALUE"""),45044.9049741203)</f>
        <v>45044.904974120298</v>
      </c>
      <c r="B1417" s="1" t="str">
        <f ca="1">IFERROR(__xludf.DUMMYFUNCTION("""COMPUTED_VALUE"""),"India")</f>
        <v>India</v>
      </c>
      <c r="C1417" s="1">
        <f ca="1">IFERROR(__xludf.DUMMYFUNCTION("""COMPUTED_VALUE"""),411032)</f>
        <v>411032</v>
      </c>
      <c r="D1417" s="3" t="str">
        <f ca="1">IFERROR(__xludf.DUMMYFUNCTION("""COMPUTED_VALUE"""),"Male")</f>
        <v>Male</v>
      </c>
      <c r="E1417" s="1" t="str">
        <f ca="1">IFERROR(__xludf.DUMMYFUNCTION("""COMPUTED_VALUE"""),"Influencers who had successful careers")</f>
        <v>Influencers who had successful careers</v>
      </c>
      <c r="F1417" s="1" t="str">
        <f ca="1">IFERROR(__xludf.DUMMYFUNCTION("""COMPUTED_VALUE"""),"Yes, I will earn and do that")</f>
        <v>Yes, I will earn and do that</v>
      </c>
      <c r="G1417" s="1" t="str">
        <f ca="1">IFERROR(__xludf.DUMMYFUNCTION("""COMPUTED_VALUE"""),"This will be hard to do, but if it is the right company I would try")</f>
        <v>This will be hard to do, but if it is the right company I would try</v>
      </c>
      <c r="H1417" s="1" t="str">
        <f ca="1">IFERROR(__xludf.DUMMYFUNCTION("""COMPUTED_VALUE"""),"Yes")</f>
        <v>Yes</v>
      </c>
      <c r="I1417" s="1" t="str">
        <f ca="1">IFERROR(__xludf.DUMMYFUNCTION("""COMPUTED_VALUE"""),"Will work for them")</f>
        <v>Will work for them</v>
      </c>
      <c r="J1417" s="1">
        <f ca="1">IFERROR(__xludf.DUMMYFUNCTION("""COMPUTED_VALUE"""),7)</f>
        <v>7</v>
      </c>
      <c r="K1417" s="1" t="str">
        <f ca="1">IFERROR(__xludf.DUMMYFUNCTION("""COMPUTED_VALUE"""),"Hybrid Working Environment with more than 15 days a month at office")</f>
        <v>Hybrid Working Environment with more than 15 days a month at office</v>
      </c>
      <c r="L1417" s="1" t="str">
        <f ca="1">IFERROR(__xludf.DUMMYFUNCTION("""COMPUTED_VALUE"""),"Employer who pushes your limits by enabling an learning environment, and rewards you at the end")</f>
        <v>Employer who pushes your limits by enabling an learning environment, and rewards you at the end</v>
      </c>
      <c r="M141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417"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417" s="1" t="str">
        <f ca="1">IFERROR(__xludf.DUMMYFUNCTION("""COMPUTED_VALUE"""),"Manager who explains what is expected, sets a goal and helps achieve it")</f>
        <v>Manager who explains what is expected, sets a goal and helps achieve it</v>
      </c>
      <c r="P1417" s="1" t="str">
        <f ca="1">IFERROR(__xludf.DUMMYFUNCTION("""COMPUTED_VALUE"""),"Work with more than 10 people in my team")</f>
        <v>Work with more than 10 people in my team</v>
      </c>
      <c r="Q1417" s="1"/>
    </row>
    <row r="1418" spans="1:17" ht="13.2" x14ac:dyDescent="0.25">
      <c r="A1418" s="2">
        <f ca="1">IFERROR(__xludf.DUMMYFUNCTION("""COMPUTED_VALUE"""),45044.9080630902)</f>
        <v>45044.908063090203</v>
      </c>
      <c r="B1418" s="1" t="str">
        <f ca="1">IFERROR(__xludf.DUMMYFUNCTION("""COMPUTED_VALUE"""),"India")</f>
        <v>India</v>
      </c>
      <c r="C1418" s="1">
        <f ca="1">IFERROR(__xludf.DUMMYFUNCTION("""COMPUTED_VALUE"""),603209)</f>
        <v>603209</v>
      </c>
      <c r="D1418" s="3" t="str">
        <f ca="1">IFERROR(__xludf.DUMMYFUNCTION("""COMPUTED_VALUE"""),"Male")</f>
        <v>Male</v>
      </c>
      <c r="E1418" s="1" t="str">
        <f ca="1">IFERROR(__xludf.DUMMYFUNCTION("""COMPUTED_VALUE"""),"People from my circle, but not family members")</f>
        <v>People from my circle, but not family members</v>
      </c>
      <c r="F1418" s="1" t="str">
        <f ca="1">IFERROR(__xludf.DUMMYFUNCTION("""COMPUTED_VALUE"""),"Yes, I will earn and do that")</f>
        <v>Yes, I will earn and do that</v>
      </c>
      <c r="G1418" s="1" t="str">
        <f ca="1">IFERROR(__xludf.DUMMYFUNCTION("""COMPUTED_VALUE"""),"Will work for 3 years or more")</f>
        <v>Will work for 3 years or more</v>
      </c>
      <c r="H1418" s="1" t="str">
        <f ca="1">IFERROR(__xludf.DUMMYFUNCTION("""COMPUTED_VALUE"""),"No")</f>
        <v>No</v>
      </c>
      <c r="I1418" s="1" t="str">
        <f ca="1">IFERROR(__xludf.DUMMYFUNCTION("""COMPUTED_VALUE"""),"Will NOT work for them")</f>
        <v>Will NOT work for them</v>
      </c>
      <c r="J1418" s="1">
        <f ca="1">IFERROR(__xludf.DUMMYFUNCTION("""COMPUTED_VALUE"""),2)</f>
        <v>2</v>
      </c>
      <c r="K1418" s="1" t="str">
        <f ca="1">IFERROR(__xludf.DUMMYFUNCTION("""COMPUTED_VALUE"""),"Hybrid Working Environment with more than 15 days a month at office")</f>
        <v>Hybrid Working Environment with more than 15 days a month at office</v>
      </c>
      <c r="L1418" s="1" t="str">
        <f ca="1">IFERROR(__xludf.DUMMYFUNCTION("""COMPUTED_VALUE"""),"Employer who pushes your limits by enabling an learning environment, and rewards you at the end")</f>
        <v>Employer who pushes your limits by enabling an learning environment, and rewards you at the end</v>
      </c>
      <c r="M141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1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18" s="1" t="str">
        <f ca="1">IFERROR(__xludf.DUMMYFUNCTION("""COMPUTED_VALUE"""),"Manager who explains what is expected, sets a goal and helps achieve it")</f>
        <v>Manager who explains what is expected, sets a goal and helps achieve it</v>
      </c>
      <c r="P1418" s="1" t="str">
        <f ca="1">IFERROR(__xludf.DUMMYFUNCTION("""COMPUTED_VALUE"""),"Work alone, Work with 5 to 6 people in my team")</f>
        <v>Work alone, Work with 5 to 6 people in my team</v>
      </c>
      <c r="Q1418" s="1"/>
    </row>
    <row r="1419" spans="1:17" ht="13.2" x14ac:dyDescent="0.25">
      <c r="A1419" s="2">
        <f ca="1">IFERROR(__xludf.DUMMYFUNCTION("""COMPUTED_VALUE"""),45044.9100239004)</f>
        <v>45044.910023900396</v>
      </c>
      <c r="B1419" s="1" t="str">
        <f ca="1">IFERROR(__xludf.DUMMYFUNCTION("""COMPUTED_VALUE"""),"India")</f>
        <v>India</v>
      </c>
      <c r="C1419" s="1">
        <f ca="1">IFERROR(__xludf.DUMMYFUNCTION("""COMPUTED_VALUE"""),841221)</f>
        <v>841221</v>
      </c>
      <c r="D1419" s="3" t="str">
        <f ca="1">IFERROR(__xludf.DUMMYFUNCTION("""COMPUTED_VALUE"""),"Female")</f>
        <v>Female</v>
      </c>
      <c r="E1419" s="1" t="str">
        <f ca="1">IFERROR(__xludf.DUMMYFUNCTION("""COMPUTED_VALUE"""),"People who have changed the world for better")</f>
        <v>People who have changed the world for better</v>
      </c>
      <c r="F1419" s="1" t="str">
        <f ca="1">IFERROR(__xludf.DUMMYFUNCTION("""COMPUTED_VALUE"""),"Yes, I will earn and do that")</f>
        <v>Yes, I will earn and do that</v>
      </c>
      <c r="G1419" s="1" t="str">
        <f ca="1">IFERROR(__xludf.DUMMYFUNCTION("""COMPUTED_VALUE"""),"Will work for 3 years or more")</f>
        <v>Will work for 3 years or more</v>
      </c>
      <c r="H1419" s="1" t="str">
        <f ca="1">IFERROR(__xludf.DUMMYFUNCTION("""COMPUTED_VALUE"""),"Yes")</f>
        <v>Yes</v>
      </c>
      <c r="I1419" s="1" t="str">
        <f ca="1">IFERROR(__xludf.DUMMYFUNCTION("""COMPUTED_VALUE"""),"Will work for them")</f>
        <v>Will work for them</v>
      </c>
      <c r="J1419" s="1">
        <f ca="1">IFERROR(__xludf.DUMMYFUNCTION("""COMPUTED_VALUE"""),3)</f>
        <v>3</v>
      </c>
      <c r="K1419" s="1" t="str">
        <f ca="1">IFERROR(__xludf.DUMMYFUNCTION("""COMPUTED_VALUE"""),"Every Day Office Environment")</f>
        <v>Every Day Office Environment</v>
      </c>
      <c r="L1419" s="1" t="str">
        <f ca="1">IFERROR(__xludf.DUMMYFUNCTION("""COMPUTED_VALUE"""),"Employer who rewards learning and enables that environment")</f>
        <v>Employer who rewards learning and enables that environment</v>
      </c>
      <c r="M14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9" s="1" t="str">
        <f ca="1">IFERROR(__xludf.DUMMYFUNCTION("""COMPUTED_VALUE"""),"Look deeply into Data and generate insights, Work in a BPO setup for some well known client, Work as a freelancer and do my thing my way, Become a content Creator in some platform")</f>
        <v>Look deeply into Data and generate insights, Work in a BPO setup for some well known client, Work as a freelancer and do my thing my way, Become a content Creator in some platform</v>
      </c>
      <c r="O1419" s="1" t="str">
        <f ca="1">IFERROR(__xludf.DUMMYFUNCTION("""COMPUTED_VALUE"""),"Manager who sets targets and expects me to achieve it")</f>
        <v>Manager who sets targets and expects me to achieve it</v>
      </c>
      <c r="P1419" s="1" t="str">
        <f ca="1">IFERROR(__xludf.DUMMYFUNCTION("""COMPUTED_VALUE"""),"Work with 5 to 6 people in my team")</f>
        <v>Work with 5 to 6 people in my team</v>
      </c>
      <c r="Q1419" s="1"/>
    </row>
    <row r="1420" spans="1:17" ht="13.2" x14ac:dyDescent="0.25">
      <c r="A1420" s="2">
        <f ca="1">IFERROR(__xludf.DUMMYFUNCTION("""COMPUTED_VALUE"""),45044.9112696064)</f>
        <v>45044.911269606397</v>
      </c>
      <c r="B1420" s="1" t="str">
        <f ca="1">IFERROR(__xludf.DUMMYFUNCTION("""COMPUTED_VALUE"""),"India")</f>
        <v>India</v>
      </c>
      <c r="C1420" s="1">
        <f ca="1">IFERROR(__xludf.DUMMYFUNCTION("""COMPUTED_VALUE"""),803302)</f>
        <v>803302</v>
      </c>
      <c r="D1420" s="3" t="str">
        <f ca="1">IFERROR(__xludf.DUMMYFUNCTION("""COMPUTED_VALUE"""),"Female")</f>
        <v>Female</v>
      </c>
      <c r="E1420" s="1" t="str">
        <f ca="1">IFERROR(__xludf.DUMMYFUNCTION("""COMPUTED_VALUE"""),"My Parents")</f>
        <v>My Parents</v>
      </c>
      <c r="F1420" s="1" t="str">
        <f ca="1">IFERROR(__xludf.DUMMYFUNCTION("""COMPUTED_VALUE"""),"No, But if someone could bare the cost I will")</f>
        <v>No, But if someone could bare the cost I will</v>
      </c>
      <c r="G1420" s="1" t="str">
        <f ca="1">IFERROR(__xludf.DUMMYFUNCTION("""COMPUTED_VALUE"""),"This will be hard to do, but if it is the right company I would try")</f>
        <v>This will be hard to do, but if it is the right company I would try</v>
      </c>
      <c r="H1420" s="1" t="str">
        <f ca="1">IFERROR(__xludf.DUMMYFUNCTION("""COMPUTED_VALUE"""),"No")</f>
        <v>No</v>
      </c>
      <c r="I1420" s="1" t="str">
        <f ca="1">IFERROR(__xludf.DUMMYFUNCTION("""COMPUTED_VALUE"""),"Will work for them")</f>
        <v>Will work for them</v>
      </c>
      <c r="J1420" s="1">
        <f ca="1">IFERROR(__xludf.DUMMYFUNCTION("""COMPUTED_VALUE"""),4)</f>
        <v>4</v>
      </c>
      <c r="K1420" s="1" t="str">
        <f ca="1">IFERROR(__xludf.DUMMYFUNCTION("""COMPUTED_VALUE"""),"Every Day Office Environment")</f>
        <v>Every Day Office Environment</v>
      </c>
      <c r="L1420" s="1" t="str">
        <f ca="1">IFERROR(__xludf.DUMMYFUNCTION("""COMPUTED_VALUE"""),"Employer who appreciates learning and enables that environment")</f>
        <v>Employer who appreciates learning and enables that environment</v>
      </c>
      <c r="M142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420" s="1" t="str">
        <f ca="1">IFERROR(__xludf.DUMMYFUNCTION("""COMPUTED_VALUE"""),"Manage and drive End-to-End Projects or Products, Look deeply into Data and generate insights, Entrepreneur or Start Up, I Want to sell things/Sales")</f>
        <v>Manage and drive End-to-End Projects or Products, Look deeply into Data and generate insights, Entrepreneur or Start Up, I Want to sell things/Sales</v>
      </c>
      <c r="O1420" s="1" t="str">
        <f ca="1">IFERROR(__xludf.DUMMYFUNCTION("""COMPUTED_VALUE"""),"Manager who sets targets and expects me to achieve it")</f>
        <v>Manager who sets targets and expects me to achieve it</v>
      </c>
      <c r="P1420" s="1" t="str">
        <f ca="1">IFERROR(__xludf.DUMMYFUNCTION("""COMPUTED_VALUE"""),"Work with 2 to 3 people in my team")</f>
        <v>Work with 2 to 3 people in my team</v>
      </c>
      <c r="Q1420" s="1"/>
    </row>
    <row r="1421" spans="1:17" ht="13.2" x14ac:dyDescent="0.25">
      <c r="A1421" s="2">
        <f ca="1">IFERROR(__xludf.DUMMYFUNCTION("""COMPUTED_VALUE"""),45044.9137991319)</f>
        <v>45044.9137991319</v>
      </c>
      <c r="B1421" s="1" t="str">
        <f ca="1">IFERROR(__xludf.DUMMYFUNCTION("""COMPUTED_VALUE"""),"India")</f>
        <v>India</v>
      </c>
      <c r="C1421" s="1">
        <f ca="1">IFERROR(__xludf.DUMMYFUNCTION("""COMPUTED_VALUE"""),201310)</f>
        <v>201310</v>
      </c>
      <c r="D1421" s="3" t="str">
        <f ca="1">IFERROR(__xludf.DUMMYFUNCTION("""COMPUTED_VALUE"""),"Female")</f>
        <v>Female</v>
      </c>
      <c r="E1421" s="1" t="str">
        <f ca="1">IFERROR(__xludf.DUMMYFUNCTION("""COMPUTED_VALUE"""),"People from my circle, but not family members")</f>
        <v>People from my circle, but not family members</v>
      </c>
      <c r="F1421" s="1" t="str">
        <f ca="1">IFERROR(__xludf.DUMMYFUNCTION("""COMPUTED_VALUE"""),"No I would not be pursuing Higher Education outside of India")</f>
        <v>No I would not be pursuing Higher Education outside of India</v>
      </c>
      <c r="G1421" s="1" t="str">
        <f ca="1">IFERROR(__xludf.DUMMYFUNCTION("""COMPUTED_VALUE"""),"This will be hard to do, but if it is the right company I would try")</f>
        <v>This will be hard to do, but if it is the right company I would try</v>
      </c>
      <c r="H1421" s="1" t="str">
        <f ca="1">IFERROR(__xludf.DUMMYFUNCTION("""COMPUTED_VALUE"""),"Yes")</f>
        <v>Yes</v>
      </c>
      <c r="I1421" s="1" t="str">
        <f ca="1">IFERROR(__xludf.DUMMYFUNCTION("""COMPUTED_VALUE"""),"Will NOT work for them")</f>
        <v>Will NOT work for them</v>
      </c>
      <c r="J1421" s="1">
        <f ca="1">IFERROR(__xludf.DUMMYFUNCTION("""COMPUTED_VALUE"""),4)</f>
        <v>4</v>
      </c>
      <c r="K1421" s="1" t="str">
        <f ca="1">IFERROR(__xludf.DUMMYFUNCTION("""COMPUTED_VALUE"""),"Every Day Office Environment")</f>
        <v>Every Day Office Environment</v>
      </c>
      <c r="L1421" s="1" t="str">
        <f ca="1">IFERROR(__xludf.DUMMYFUNCTION("""COMPUTED_VALUE"""),"Employer who rewards learning and enables that environment")</f>
        <v>Employer who rewards learning and enables that environment</v>
      </c>
      <c r="M142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2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421" s="1" t="str">
        <f ca="1">IFERROR(__xludf.DUMMYFUNCTION("""COMPUTED_VALUE"""),"Manager who explains what is expected, sets a goal and helps achieve it")</f>
        <v>Manager who explains what is expected, sets a goal and helps achieve it</v>
      </c>
      <c r="P1421" s="1" t="str">
        <f ca="1">IFERROR(__xludf.DUMMYFUNCTION("""COMPUTED_VALUE"""),"Work with 2 to 3 people in my team, Work with 5 to 6 people in my team")</f>
        <v>Work with 2 to 3 people in my team, Work with 5 to 6 people in my team</v>
      </c>
      <c r="Q1421" s="1"/>
    </row>
    <row r="1422" spans="1:17" ht="13.2" x14ac:dyDescent="0.25">
      <c r="A1422" s="2">
        <f ca="1">IFERROR(__xludf.DUMMYFUNCTION("""COMPUTED_VALUE"""),45044.9143012731)</f>
        <v>45044.9143012731</v>
      </c>
      <c r="B1422" s="1" t="str">
        <f ca="1">IFERROR(__xludf.DUMMYFUNCTION("""COMPUTED_VALUE"""),"India")</f>
        <v>India</v>
      </c>
      <c r="C1422" s="1">
        <f ca="1">IFERROR(__xludf.DUMMYFUNCTION("""COMPUTED_VALUE"""),201308)</f>
        <v>201308</v>
      </c>
      <c r="D1422" s="3" t="str">
        <f ca="1">IFERROR(__xludf.DUMMYFUNCTION("""COMPUTED_VALUE"""),"Female")</f>
        <v>Female</v>
      </c>
      <c r="E1422" s="1" t="str">
        <f ca="1">IFERROR(__xludf.DUMMYFUNCTION("""COMPUTED_VALUE"""),"People from my circle, but not family members")</f>
        <v>People from my circle, but not family members</v>
      </c>
      <c r="F1422" s="1" t="str">
        <f ca="1">IFERROR(__xludf.DUMMYFUNCTION("""COMPUTED_VALUE"""),"No, But if someone could bare the cost I will")</f>
        <v>No, But if someone could bare the cost I will</v>
      </c>
      <c r="G1422" s="1" t="str">
        <f ca="1">IFERROR(__xludf.DUMMYFUNCTION("""COMPUTED_VALUE"""),"Will work for 3 years or more")</f>
        <v>Will work for 3 years or more</v>
      </c>
      <c r="H1422" s="1" t="str">
        <f ca="1">IFERROR(__xludf.DUMMYFUNCTION("""COMPUTED_VALUE"""),"No")</f>
        <v>No</v>
      </c>
      <c r="I1422" s="1" t="str">
        <f ca="1">IFERROR(__xludf.DUMMYFUNCTION("""COMPUTED_VALUE"""),"Will NOT work for them")</f>
        <v>Will NOT work for them</v>
      </c>
      <c r="J1422" s="1">
        <f ca="1">IFERROR(__xludf.DUMMYFUNCTION("""COMPUTED_VALUE"""),4)</f>
        <v>4</v>
      </c>
      <c r="K1422" s="1" t="str">
        <f ca="1">IFERROR(__xludf.DUMMYFUNCTION("""COMPUTED_VALUE"""),"Fully Remote with No option to visit offices")</f>
        <v>Fully Remote with No option to visit offices</v>
      </c>
      <c r="L1422" s="1" t="str">
        <f ca="1">IFERROR(__xludf.DUMMYFUNCTION("""COMPUTED_VALUE"""),"Employer who appreciates learning and enables that environment")</f>
        <v>Employer who appreciates learning and enables that environment</v>
      </c>
      <c r="M14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22"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422" s="1" t="str">
        <f ca="1">IFERROR(__xludf.DUMMYFUNCTION("""COMPUTED_VALUE"""),"Manager who explains what is expected, sets a goal and helps achieve it")</f>
        <v>Manager who explains what is expected, sets a goal and helps achieve it</v>
      </c>
      <c r="P1422" s="1" t="str">
        <f ca="1">IFERROR(__xludf.DUMMYFUNCTION("""COMPUTED_VALUE"""),"Work alone, Work with 2 to 3 people in my team")</f>
        <v>Work alone, Work with 2 to 3 people in my team</v>
      </c>
      <c r="Q1422" s="1"/>
    </row>
    <row r="1423" spans="1:17" ht="13.2" x14ac:dyDescent="0.25">
      <c r="A1423" s="2">
        <f ca="1">IFERROR(__xludf.DUMMYFUNCTION("""COMPUTED_VALUE"""),45044.9153819675)</f>
        <v>45044.915381967498</v>
      </c>
      <c r="B1423" s="1" t="str">
        <f ca="1">IFERROR(__xludf.DUMMYFUNCTION("""COMPUTED_VALUE"""),"India")</f>
        <v>India</v>
      </c>
      <c r="C1423" s="1">
        <f ca="1">IFERROR(__xludf.DUMMYFUNCTION("""COMPUTED_VALUE"""),803302)</f>
        <v>803302</v>
      </c>
      <c r="D1423" s="3" t="str">
        <f ca="1">IFERROR(__xludf.DUMMYFUNCTION("""COMPUTED_VALUE"""),"Female")</f>
        <v>Female</v>
      </c>
      <c r="E1423" s="1" t="str">
        <f ca="1">IFERROR(__xludf.DUMMYFUNCTION("""COMPUTED_VALUE"""),"My Parents")</f>
        <v>My Parents</v>
      </c>
      <c r="F1423" s="1" t="str">
        <f ca="1">IFERROR(__xludf.DUMMYFUNCTION("""COMPUTED_VALUE"""),"No, But if someone could bare the cost I will")</f>
        <v>No, But if someone could bare the cost I will</v>
      </c>
      <c r="G1423" s="1" t="str">
        <f ca="1">IFERROR(__xludf.DUMMYFUNCTION("""COMPUTED_VALUE"""),"This will be hard to do, but if it is the right company I would try")</f>
        <v>This will be hard to do, but if it is the right company I would try</v>
      </c>
      <c r="H1423" s="1" t="str">
        <f ca="1">IFERROR(__xludf.DUMMYFUNCTION("""COMPUTED_VALUE"""),"No")</f>
        <v>No</v>
      </c>
      <c r="I1423" s="1" t="str">
        <f ca="1">IFERROR(__xludf.DUMMYFUNCTION("""COMPUTED_VALUE"""),"Will NOT work for them")</f>
        <v>Will NOT work for them</v>
      </c>
      <c r="J1423" s="1">
        <f ca="1">IFERROR(__xludf.DUMMYFUNCTION("""COMPUTED_VALUE"""),5)</f>
        <v>5</v>
      </c>
      <c r="K1423" s="1" t="str">
        <f ca="1">IFERROR(__xludf.DUMMYFUNCTION("""COMPUTED_VALUE"""),"Fully Remote with No option to visit offices")</f>
        <v>Fully Remote with No option to visit offices</v>
      </c>
      <c r="L1423" s="1" t="str">
        <f ca="1">IFERROR(__xludf.DUMMYFUNCTION("""COMPUTED_VALUE"""),"Employer who pushes your limits by enabling an learning environment, and rewards you at the end")</f>
        <v>Employer who pushes your limits by enabling an learning environment, and rewards you at the end</v>
      </c>
      <c r="M1423" s="1" t="str">
        <f ca="1">IFERROR(__xludf.DUMMYFUNCTION("""COMPUTED_VALUE"""),"Instructor or Expert Learning Programs, Learning by observing others, Manager Teaching you")</f>
        <v>Instructor or Expert Learning Programs, Learning by observing others, Manager Teaching you</v>
      </c>
      <c r="N1423" s="1" t="str">
        <f ca="1">IFERROR(__xludf.DUMMYFUNCTION("""COMPUTED_VALUE"""),"Business Operations in any organization, Design and Develop amazing software, Work as a freelancer and do my thing my way, An Artificial Intelligence Specialist / Talking to Robots")</f>
        <v>Business Operations in any organization, Design and Develop amazing software, Work as a freelancer and do my thing my way, An Artificial Intelligence Specialist / Talking to Robots</v>
      </c>
      <c r="O1423" s="1" t="str">
        <f ca="1">IFERROR(__xludf.DUMMYFUNCTION("""COMPUTED_VALUE"""),"Manager who explains what is expected, sets a goal and helps achieve it")</f>
        <v>Manager who explains what is expected, sets a goal and helps achieve it</v>
      </c>
      <c r="P1423" s="1" t="str">
        <f ca="1">IFERROR(__xludf.DUMMYFUNCTION("""COMPUTED_VALUE"""),"Work with 2 to 3 people in my team")</f>
        <v>Work with 2 to 3 people in my team</v>
      </c>
      <c r="Q1423" s="1"/>
    </row>
    <row r="1424" spans="1:17" ht="13.2" x14ac:dyDescent="0.25">
      <c r="A1424" s="2">
        <f ca="1">IFERROR(__xludf.DUMMYFUNCTION("""COMPUTED_VALUE"""),45044.9156552777)</f>
        <v>45044.915655277699</v>
      </c>
      <c r="B1424" s="1" t="str">
        <f ca="1">IFERROR(__xludf.DUMMYFUNCTION("""COMPUTED_VALUE"""),"India")</f>
        <v>India</v>
      </c>
      <c r="C1424" s="1">
        <f ca="1">IFERROR(__xludf.DUMMYFUNCTION("""COMPUTED_VALUE"""),600073)</f>
        <v>600073</v>
      </c>
      <c r="D1424" s="3" t="str">
        <f ca="1">IFERROR(__xludf.DUMMYFUNCTION("""COMPUTED_VALUE"""),"Female")</f>
        <v>Female</v>
      </c>
      <c r="E1424" s="1" t="str">
        <f ca="1">IFERROR(__xludf.DUMMYFUNCTION("""COMPUTED_VALUE"""),"Influencers who had successful careers")</f>
        <v>Influencers who had successful careers</v>
      </c>
      <c r="F1424" s="1" t="str">
        <f ca="1">IFERROR(__xludf.DUMMYFUNCTION("""COMPUTED_VALUE"""),"No, But if someone could bare the cost I will")</f>
        <v>No, But if someone could bare the cost I will</v>
      </c>
      <c r="G1424" s="1" t="str">
        <f ca="1">IFERROR(__xludf.DUMMYFUNCTION("""COMPUTED_VALUE"""),"No way")</f>
        <v>No way</v>
      </c>
      <c r="H1424" s="1" t="str">
        <f ca="1">IFERROR(__xludf.DUMMYFUNCTION("""COMPUTED_VALUE"""),"No")</f>
        <v>No</v>
      </c>
      <c r="I1424" s="1" t="str">
        <f ca="1">IFERROR(__xludf.DUMMYFUNCTION("""COMPUTED_VALUE"""),"Will NOT work for them")</f>
        <v>Will NOT work for them</v>
      </c>
      <c r="J1424" s="1">
        <f ca="1">IFERROR(__xludf.DUMMYFUNCTION("""COMPUTED_VALUE"""),9)</f>
        <v>9</v>
      </c>
      <c r="K1424" s="1" t="str">
        <f ca="1">IFERROR(__xludf.DUMMYFUNCTION("""COMPUTED_VALUE"""),"Hybrid Working Environment with more than 15 days a month at office")</f>
        <v>Hybrid Working Environment with more than 15 days a month at office</v>
      </c>
      <c r="L1424" s="1" t="str">
        <f ca="1">IFERROR(__xludf.DUMMYFUNCTION("""COMPUTED_VALUE"""),"Employer who rewards learning and enables that environment")</f>
        <v>Employer who rewards learning and enables that environment</v>
      </c>
      <c r="M1424" s="1" t="str">
        <f ca="1">IFERROR(__xludf.DUMMYFUNCTION("""COMPUTED_VALUE"""),"Instructor or Expert Learning Programs, Self Purchased Course from External Platforms, Manager Teaching you")</f>
        <v>Instructor or Expert Learning Programs, Self Purchased Course from External Platforms, Manager Teaching you</v>
      </c>
      <c r="N1424" s="1" t="str">
        <f ca="1">IFERROR(__xludf.DUMMYFUNCTION("""COMPUTED_VALUE"""),"Business Operations in any organization, Become a content Creator in some platform, Entrepreneur or Start Up, An Artificial Intelligence Specialist / Talking to Robots")</f>
        <v>Business Operations in any organization, Become a content Creator in some platform, Entrepreneur or Start Up, An Artificial Intelligence Specialist / Talking to Robots</v>
      </c>
      <c r="O1424" s="1" t="str">
        <f ca="1">IFERROR(__xludf.DUMMYFUNCTION("""COMPUTED_VALUE"""),"Manager who clearly describes what she/he needs")</f>
        <v>Manager who clearly describes what she/he needs</v>
      </c>
      <c r="P1424" s="1" t="str">
        <f ca="1">IFERROR(__xludf.DUMMYFUNCTION("""COMPUTED_VALUE"""),"Work alone")</f>
        <v>Work alone</v>
      </c>
      <c r="Q1424" s="1"/>
    </row>
    <row r="1425" spans="1:17" ht="13.2" x14ac:dyDescent="0.25">
      <c r="A1425" s="2">
        <f ca="1">IFERROR(__xludf.DUMMYFUNCTION("""COMPUTED_VALUE"""),45044.916570243)</f>
        <v>45044.916570242996</v>
      </c>
      <c r="B1425" s="1" t="str">
        <f ca="1">IFERROR(__xludf.DUMMYFUNCTION("""COMPUTED_VALUE"""),"India")</f>
        <v>India</v>
      </c>
      <c r="C1425" s="1">
        <f ca="1">IFERROR(__xludf.DUMMYFUNCTION("""COMPUTED_VALUE"""),803303)</f>
        <v>803303</v>
      </c>
      <c r="D1425" s="3" t="str">
        <f ca="1">IFERROR(__xludf.DUMMYFUNCTION("""COMPUTED_VALUE"""),"Male")</f>
        <v>Male</v>
      </c>
      <c r="E1425" s="1" t="str">
        <f ca="1">IFERROR(__xludf.DUMMYFUNCTION("""COMPUTED_VALUE"""),"My Parents")</f>
        <v>My Parents</v>
      </c>
      <c r="F1425" s="1" t="str">
        <f ca="1">IFERROR(__xludf.DUMMYFUNCTION("""COMPUTED_VALUE"""),"No, But if someone could bare the cost I will")</f>
        <v>No, But if someone could bare the cost I will</v>
      </c>
      <c r="G1425" s="1" t="str">
        <f ca="1">IFERROR(__xludf.DUMMYFUNCTION("""COMPUTED_VALUE"""),"Will work for 3 years or more")</f>
        <v>Will work for 3 years or more</v>
      </c>
      <c r="H1425" s="1" t="str">
        <f ca="1">IFERROR(__xludf.DUMMYFUNCTION("""COMPUTED_VALUE"""),"No")</f>
        <v>No</v>
      </c>
      <c r="I1425" s="1" t="str">
        <f ca="1">IFERROR(__xludf.DUMMYFUNCTION("""COMPUTED_VALUE"""),"Will NOT work for them")</f>
        <v>Will NOT work for them</v>
      </c>
      <c r="J1425" s="1">
        <f ca="1">IFERROR(__xludf.DUMMYFUNCTION("""COMPUTED_VALUE"""),1)</f>
        <v>1</v>
      </c>
      <c r="K1425" s="1" t="str">
        <f ca="1">IFERROR(__xludf.DUMMYFUNCTION("""COMPUTED_VALUE"""),"Fully Remote with Options to travel as and when needed")</f>
        <v>Fully Remote with Options to travel as and when needed</v>
      </c>
      <c r="L1425" s="1" t="str">
        <f ca="1">IFERROR(__xludf.DUMMYFUNCTION("""COMPUTED_VALUE"""),"Employer who pushes your limits by enabling an learning environment, and rewards you at the end")</f>
        <v>Employer who pushes your limits by enabling an learning environment, and rewards you at the end</v>
      </c>
      <c r="M142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25" s="1" t="str">
        <f ca="1">IFERROR(__xludf.DUMMYFUNCTION("""COMPUTED_VALUE"""),"Teaching in any of the institutes/colleges/online or offline, Manage and drive End-to-End Projects or Products, Design and Develop amazing software, Entrepreneur or Start Up")</f>
        <v>Teaching in any of the institutes/colleges/online or offline, Manage and drive End-to-End Projects or Products, Design and Develop amazing software, Entrepreneur or Start Up</v>
      </c>
      <c r="O1425" s="1" t="str">
        <f ca="1">IFERROR(__xludf.DUMMYFUNCTION("""COMPUTED_VALUE"""),"Manager who explains what is expected, sets a goal and helps achieve it")</f>
        <v>Manager who explains what is expected, sets a goal and helps achieve it</v>
      </c>
      <c r="P1425" s="1" t="str">
        <f ca="1">IFERROR(__xludf.DUMMYFUNCTION("""COMPUTED_VALUE"""),"Work with 7 to 10 or more people in my team")</f>
        <v>Work with 7 to 10 or more people in my team</v>
      </c>
      <c r="Q1425" s="1"/>
    </row>
    <row r="1426" spans="1:17" ht="13.2" x14ac:dyDescent="0.25">
      <c r="A1426" s="2">
        <f ca="1">IFERROR(__xludf.DUMMYFUNCTION("""COMPUTED_VALUE"""),45044.9206566666)</f>
        <v>45044.920656666603</v>
      </c>
      <c r="B1426" s="1" t="str">
        <f ca="1">IFERROR(__xludf.DUMMYFUNCTION("""COMPUTED_VALUE"""),"India")</f>
        <v>India</v>
      </c>
      <c r="C1426" s="1">
        <f ca="1">IFERROR(__xludf.DUMMYFUNCTION("""COMPUTED_VALUE"""),247667)</f>
        <v>247667</v>
      </c>
      <c r="D1426" s="3" t="str">
        <f ca="1">IFERROR(__xludf.DUMMYFUNCTION("""COMPUTED_VALUE"""),"Female")</f>
        <v>Female</v>
      </c>
      <c r="E1426" s="1" t="str">
        <f ca="1">IFERROR(__xludf.DUMMYFUNCTION("""COMPUTED_VALUE"""),"People who have changed the world for better")</f>
        <v>People who have changed the world for better</v>
      </c>
      <c r="F1426" s="1" t="str">
        <f ca="1">IFERROR(__xludf.DUMMYFUNCTION("""COMPUTED_VALUE"""),"No I would not be pursuing Higher Education outside of India")</f>
        <v>No I would not be pursuing Higher Education outside of India</v>
      </c>
      <c r="G1426" s="1" t="str">
        <f ca="1">IFERROR(__xludf.DUMMYFUNCTION("""COMPUTED_VALUE"""),"Will work for 3 years or more")</f>
        <v>Will work for 3 years or more</v>
      </c>
      <c r="H1426" s="1" t="str">
        <f ca="1">IFERROR(__xludf.DUMMYFUNCTION("""COMPUTED_VALUE"""),"No")</f>
        <v>No</v>
      </c>
      <c r="I1426" s="1" t="str">
        <f ca="1">IFERROR(__xludf.DUMMYFUNCTION("""COMPUTED_VALUE"""),"Will work for them")</f>
        <v>Will work for them</v>
      </c>
      <c r="J1426" s="1">
        <f ca="1">IFERROR(__xludf.DUMMYFUNCTION("""COMPUTED_VALUE"""),5)</f>
        <v>5</v>
      </c>
      <c r="K1426" s="1" t="str">
        <f ca="1">IFERROR(__xludf.DUMMYFUNCTION("""COMPUTED_VALUE"""),"Hybrid Working Environment with more than 15 days a month at office")</f>
        <v>Hybrid Working Environment with more than 15 days a month at office</v>
      </c>
      <c r="L1426" s="1" t="str">
        <f ca="1">IFERROR(__xludf.DUMMYFUNCTION("""COMPUTED_VALUE"""),"Employer who pushes your limits by enabling an learning environment, and rewards you at the end")</f>
        <v>Employer who pushes your limits by enabling an learning environment, and rewards you at the end</v>
      </c>
      <c r="M1426" s="1" t="str">
        <f ca="1">IFERROR(__xludf.DUMMYFUNCTION("""COMPUTED_VALUE"""),"Self Paced Learning Portals of the Company, Learning by observing others, Manager Teaching you")</f>
        <v>Self Paced Learning Portals of the Company, Learning by observing others, Manager Teaching you</v>
      </c>
      <c r="N1426"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1426" s="1" t="str">
        <f ca="1">IFERROR(__xludf.DUMMYFUNCTION("""COMPUTED_VALUE"""),"Manager who clearly describes what she/he needs")</f>
        <v>Manager who clearly describes what she/he needs</v>
      </c>
      <c r="P1426" s="1" t="str">
        <f ca="1">IFERROR(__xludf.DUMMYFUNCTION("""COMPUTED_VALUE"""),"Work with more than 10 people in my team")</f>
        <v>Work with more than 10 people in my team</v>
      </c>
      <c r="Q1426" s="1"/>
    </row>
    <row r="1427" spans="1:17" ht="13.2" x14ac:dyDescent="0.25">
      <c r="A1427" s="2">
        <f ca="1">IFERROR(__xludf.DUMMYFUNCTION("""COMPUTED_VALUE"""),45044.9212987963)</f>
        <v>45044.921298796296</v>
      </c>
      <c r="B1427" s="1" t="str">
        <f ca="1">IFERROR(__xludf.DUMMYFUNCTION("""COMPUTED_VALUE"""),"India")</f>
        <v>India</v>
      </c>
      <c r="C1427" s="1">
        <f ca="1">IFERROR(__xludf.DUMMYFUNCTION("""COMPUTED_VALUE"""),201310)</f>
        <v>201310</v>
      </c>
      <c r="D1427" s="3" t="str">
        <f ca="1">IFERROR(__xludf.DUMMYFUNCTION("""COMPUTED_VALUE"""),"Female")</f>
        <v>Female</v>
      </c>
      <c r="E1427" s="1" t="str">
        <f ca="1">IFERROR(__xludf.DUMMYFUNCTION("""COMPUTED_VALUE"""),"Social Media like LinkedIn")</f>
        <v>Social Media like LinkedIn</v>
      </c>
      <c r="F1427" s="1" t="str">
        <f ca="1">IFERROR(__xludf.DUMMYFUNCTION("""COMPUTED_VALUE"""),"No, But if someone could bare the cost I will")</f>
        <v>No, But if someone could bare the cost I will</v>
      </c>
      <c r="G1427" s="1" t="str">
        <f ca="1">IFERROR(__xludf.DUMMYFUNCTION("""COMPUTED_VALUE"""),"This will be hard to do, but if it is the right company I would try")</f>
        <v>This will be hard to do, but if it is the right company I would try</v>
      </c>
      <c r="H1427" s="1" t="str">
        <f ca="1">IFERROR(__xludf.DUMMYFUNCTION("""COMPUTED_VALUE"""),"Yes")</f>
        <v>Yes</v>
      </c>
      <c r="I1427" s="1" t="str">
        <f ca="1">IFERROR(__xludf.DUMMYFUNCTION("""COMPUTED_VALUE"""),"Will work for them")</f>
        <v>Will work for them</v>
      </c>
      <c r="J1427" s="1">
        <f ca="1">IFERROR(__xludf.DUMMYFUNCTION("""COMPUTED_VALUE"""),8)</f>
        <v>8</v>
      </c>
      <c r="K1427" s="1" t="str">
        <f ca="1">IFERROR(__xludf.DUMMYFUNCTION("""COMPUTED_VALUE"""),"Hybrid Working Environment with more than 15 days a month at office")</f>
        <v>Hybrid Working Environment with more than 15 days a month at office</v>
      </c>
      <c r="L1427" s="1" t="str">
        <f ca="1">IFERROR(__xludf.DUMMYFUNCTION("""COMPUTED_VALUE"""),"Employer who appreciates learning and enables that environment")</f>
        <v>Employer who appreciates learning and enables that environment</v>
      </c>
      <c r="M14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27" s="1" t="str">
        <f ca="1">IFERROR(__xludf.DUMMYFUNCTION("""COMPUTED_VALUE"""),"Manage and drive End-to-End Projects or Products, Become a content Creator in some platform, Entrepreneur or Start Up, Manufacturing / Oil and Gas/ Construction / Hard Physical Work related")</f>
        <v>Manage and drive End-to-End Projects or Products, Become a content Creator in some platform, Entrepreneur or Start Up, Manufacturing / Oil and Gas/ Construction / Hard Physical Work related</v>
      </c>
      <c r="O1427" s="1" t="str">
        <f ca="1">IFERROR(__xludf.DUMMYFUNCTION("""COMPUTED_VALUE"""),"Manager who sets unrealistic targets")</f>
        <v>Manager who sets unrealistic targets</v>
      </c>
      <c r="P1427" s="1" t="str">
        <f ca="1">IFERROR(__xludf.DUMMYFUNCTION("""COMPUTED_VALUE"""),"Work alone")</f>
        <v>Work alone</v>
      </c>
      <c r="Q1427" s="1"/>
    </row>
    <row r="1428" spans="1:17" ht="13.2" x14ac:dyDescent="0.25">
      <c r="A1428" s="2">
        <f ca="1">IFERROR(__xludf.DUMMYFUNCTION("""COMPUTED_VALUE"""),45044.9240179513)</f>
        <v>45044.9240179513</v>
      </c>
      <c r="B1428" s="1" t="str">
        <f ca="1">IFERROR(__xludf.DUMMYFUNCTION("""COMPUTED_VALUE"""),"India")</f>
        <v>India</v>
      </c>
      <c r="C1428" s="1">
        <f ca="1">IFERROR(__xludf.DUMMYFUNCTION("""COMPUTED_VALUE"""),201310)</f>
        <v>201310</v>
      </c>
      <c r="D1428" s="3" t="str">
        <f ca="1">IFERROR(__xludf.DUMMYFUNCTION("""COMPUTED_VALUE"""),"Female")</f>
        <v>Female</v>
      </c>
      <c r="E1428" s="1" t="str">
        <f ca="1">IFERROR(__xludf.DUMMYFUNCTION("""COMPUTED_VALUE"""),"People who have changed the world for better")</f>
        <v>People who have changed the world for better</v>
      </c>
      <c r="F1428" s="1" t="str">
        <f ca="1">IFERROR(__xludf.DUMMYFUNCTION("""COMPUTED_VALUE"""),"Yes, I will earn and do that")</f>
        <v>Yes, I will earn and do that</v>
      </c>
      <c r="G1428" s="1" t="str">
        <f ca="1">IFERROR(__xludf.DUMMYFUNCTION("""COMPUTED_VALUE"""),"This will be hard to do, but if it is the right company I would try")</f>
        <v>This will be hard to do, but if it is the right company I would try</v>
      </c>
      <c r="H1428" s="1" t="str">
        <f ca="1">IFERROR(__xludf.DUMMYFUNCTION("""COMPUTED_VALUE"""),"No")</f>
        <v>No</v>
      </c>
      <c r="I1428" s="1" t="str">
        <f ca="1">IFERROR(__xludf.DUMMYFUNCTION("""COMPUTED_VALUE"""),"Will NOT work for them")</f>
        <v>Will NOT work for them</v>
      </c>
      <c r="J1428" s="1">
        <f ca="1">IFERROR(__xludf.DUMMYFUNCTION("""COMPUTED_VALUE"""),4)</f>
        <v>4</v>
      </c>
      <c r="K1428" s="1" t="str">
        <f ca="1">IFERROR(__xludf.DUMMYFUNCTION("""COMPUTED_VALUE"""),"Hybrid Working Environment with less than 3 days a month at office")</f>
        <v>Hybrid Working Environment with less than 3 days a month at office</v>
      </c>
      <c r="L1428" s="1" t="str">
        <f ca="1">IFERROR(__xludf.DUMMYFUNCTION("""COMPUTED_VALUE"""),"Employer who pushes your limits by enabling an learning environment, and rewards you at the end")</f>
        <v>Employer who pushes your limits by enabling an learning environment, and rewards you at the end</v>
      </c>
      <c r="M1428" s="1" t="str">
        <f ca="1">IFERROR(__xludf.DUMMYFUNCTION("""COMPUTED_VALUE"""),"Instructor or Expert Learning Programs, Learning by observing others, Manager Teaching you")</f>
        <v>Instructor or Expert Learning Programs, Learning by observing others, Manager Teaching you</v>
      </c>
      <c r="N142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28" s="1" t="str">
        <f ca="1">IFERROR(__xludf.DUMMYFUNCTION("""COMPUTED_VALUE"""),"Manager who explains what is expected, sets a goal and helps achieve it")</f>
        <v>Manager who explains what is expected, sets a goal and helps achieve it</v>
      </c>
      <c r="P1428" s="1" t="str">
        <f ca="1">IFERROR(__xludf.DUMMYFUNCTION("""COMPUTED_VALUE"""),"Work alone, Work with 2 to 3 people in my team, Work with 5 to 6 people in my team")</f>
        <v>Work alone, Work with 2 to 3 people in my team, Work with 5 to 6 people in my team</v>
      </c>
      <c r="Q1428" s="1"/>
    </row>
    <row r="1429" spans="1:17" ht="13.2" x14ac:dyDescent="0.25">
      <c r="A1429" s="2">
        <f ca="1">IFERROR(__xludf.DUMMYFUNCTION("""COMPUTED_VALUE"""),45044.92486478)</f>
        <v>45044.924864779998</v>
      </c>
      <c r="B1429" s="1" t="str">
        <f ca="1">IFERROR(__xludf.DUMMYFUNCTION("""COMPUTED_VALUE"""),"India")</f>
        <v>India</v>
      </c>
      <c r="C1429" s="1">
        <f ca="1">IFERROR(__xludf.DUMMYFUNCTION("""COMPUTED_VALUE"""),440013)</f>
        <v>440013</v>
      </c>
      <c r="D1429" s="3" t="str">
        <f ca="1">IFERROR(__xludf.DUMMYFUNCTION("""COMPUTED_VALUE"""),"Male")</f>
        <v>Male</v>
      </c>
      <c r="E1429" s="1" t="str">
        <f ca="1">IFERROR(__xludf.DUMMYFUNCTION("""COMPUTED_VALUE"""),"My Parents")</f>
        <v>My Parents</v>
      </c>
      <c r="F1429" s="1" t="str">
        <f ca="1">IFERROR(__xludf.DUMMYFUNCTION("""COMPUTED_VALUE"""),"No I would not be pursuing Higher Education outside of India")</f>
        <v>No I would not be pursuing Higher Education outside of India</v>
      </c>
      <c r="G1429" s="1" t="str">
        <f ca="1">IFERROR(__xludf.DUMMYFUNCTION("""COMPUTED_VALUE"""),"Will work for 3 years or more")</f>
        <v>Will work for 3 years or more</v>
      </c>
      <c r="H1429" s="1" t="str">
        <f ca="1">IFERROR(__xludf.DUMMYFUNCTION("""COMPUTED_VALUE"""),"No")</f>
        <v>No</v>
      </c>
      <c r="I1429" s="1" t="str">
        <f ca="1">IFERROR(__xludf.DUMMYFUNCTION("""COMPUTED_VALUE"""),"Will NOT work for them")</f>
        <v>Will NOT work for them</v>
      </c>
      <c r="J1429" s="1">
        <f ca="1">IFERROR(__xludf.DUMMYFUNCTION("""COMPUTED_VALUE"""),10)</f>
        <v>10</v>
      </c>
      <c r="K1429" s="1" t="str">
        <f ca="1">IFERROR(__xludf.DUMMYFUNCTION("""COMPUTED_VALUE"""),"Every Day Office Environment")</f>
        <v>Every Day Office Environment</v>
      </c>
      <c r="L1429" s="1" t="str">
        <f ca="1">IFERROR(__xludf.DUMMYFUNCTION("""COMPUTED_VALUE"""),"Employer who pushes your limits by enabling an learning environment, and rewards you at the end")</f>
        <v>Employer who pushes your limits by enabling an learning environment, and rewards you at the end</v>
      </c>
      <c r="M14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29"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1429" s="1" t="str">
        <f ca="1">IFERROR(__xludf.DUMMYFUNCTION("""COMPUTED_VALUE"""),"Manager who explains what is expected, sets a goal and helps achieve it")</f>
        <v>Manager who explains what is expected, sets a goal and helps achieve it</v>
      </c>
      <c r="P1429" s="1" t="str">
        <f ca="1">IFERROR(__xludf.DUMMYFUNCTION("""COMPUTED_VALUE"""),"Work alone, Work with 2 to 3 people in my team")</f>
        <v>Work alone, Work with 2 to 3 people in my team</v>
      </c>
      <c r="Q1429" s="1"/>
    </row>
    <row r="1430" spans="1:17" ht="13.2" x14ac:dyDescent="0.25">
      <c r="A1430" s="2">
        <f ca="1">IFERROR(__xludf.DUMMYFUNCTION("""COMPUTED_VALUE"""),45044.9380643402)</f>
        <v>45044.938064340196</v>
      </c>
      <c r="B1430" s="1" t="str">
        <f ca="1">IFERROR(__xludf.DUMMYFUNCTION("""COMPUTED_VALUE"""),"India")</f>
        <v>India</v>
      </c>
      <c r="C1430" s="1">
        <f ca="1">IFERROR(__xludf.DUMMYFUNCTION("""COMPUTED_VALUE"""),246174)</f>
        <v>246174</v>
      </c>
      <c r="D1430" s="3" t="str">
        <f ca="1">IFERROR(__xludf.DUMMYFUNCTION("""COMPUTED_VALUE"""),"Male")</f>
        <v>Male</v>
      </c>
      <c r="E1430" s="1" t="str">
        <f ca="1">IFERROR(__xludf.DUMMYFUNCTION("""COMPUTED_VALUE"""),"Social Media like LinkedIn")</f>
        <v>Social Media like LinkedIn</v>
      </c>
      <c r="F1430" s="1" t="str">
        <f ca="1">IFERROR(__xludf.DUMMYFUNCTION("""COMPUTED_VALUE"""),"Yes, I will earn and do that")</f>
        <v>Yes, I will earn and do that</v>
      </c>
      <c r="G1430" s="1" t="str">
        <f ca="1">IFERROR(__xludf.DUMMYFUNCTION("""COMPUTED_VALUE"""),"Will work for 3 years or more")</f>
        <v>Will work for 3 years or more</v>
      </c>
      <c r="H1430" s="1" t="str">
        <f ca="1">IFERROR(__xludf.DUMMYFUNCTION("""COMPUTED_VALUE"""),"No")</f>
        <v>No</v>
      </c>
      <c r="I1430" s="1" t="str">
        <f ca="1">IFERROR(__xludf.DUMMYFUNCTION("""COMPUTED_VALUE"""),"Will NOT work for them")</f>
        <v>Will NOT work for them</v>
      </c>
      <c r="J1430" s="1">
        <f ca="1">IFERROR(__xludf.DUMMYFUNCTION("""COMPUTED_VALUE"""),5)</f>
        <v>5</v>
      </c>
      <c r="K1430" s="1" t="str">
        <f ca="1">IFERROR(__xludf.DUMMYFUNCTION("""COMPUTED_VALUE"""),"Fully Remote with Options to travel as and when needed")</f>
        <v>Fully Remote with Options to travel as and when needed</v>
      </c>
      <c r="L1430" s="1" t="str">
        <f ca="1">IFERROR(__xludf.DUMMYFUNCTION("""COMPUTED_VALUE"""),"Employer who appreciates learning and enables that environment")</f>
        <v>Employer who appreciates learning and enables that environment</v>
      </c>
      <c r="M143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30"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1430" s="1" t="str">
        <f ca="1">IFERROR(__xludf.DUMMYFUNCTION("""COMPUTED_VALUE"""),"Manager who sets goal and helps me achieve it")</f>
        <v>Manager who sets goal and helps me achieve it</v>
      </c>
      <c r="P1430" s="1" t="str">
        <f ca="1">IFERROR(__xludf.DUMMYFUNCTION("""COMPUTED_VALUE"""),"Work with 5 to 6 people in my team")</f>
        <v>Work with 5 to 6 people in my team</v>
      </c>
      <c r="Q1430" s="1"/>
    </row>
    <row r="1431" spans="1:17" ht="13.2" x14ac:dyDescent="0.25">
      <c r="A1431" s="2">
        <f ca="1">IFERROR(__xludf.DUMMYFUNCTION("""COMPUTED_VALUE"""),45044.9406211458)</f>
        <v>45044.940621145797</v>
      </c>
      <c r="B1431" s="1" t="str">
        <f ca="1">IFERROR(__xludf.DUMMYFUNCTION("""COMPUTED_VALUE"""),"India")</f>
        <v>India</v>
      </c>
      <c r="C1431" s="1">
        <f ca="1">IFERROR(__xludf.DUMMYFUNCTION("""COMPUTED_VALUE"""),452010)</f>
        <v>452010</v>
      </c>
      <c r="D1431" s="3" t="str">
        <f ca="1">IFERROR(__xludf.DUMMYFUNCTION("""COMPUTED_VALUE"""),"Male")</f>
        <v>Male</v>
      </c>
      <c r="E1431" s="1" t="str">
        <f ca="1">IFERROR(__xludf.DUMMYFUNCTION("""COMPUTED_VALUE"""),"Influencers who had successful careers")</f>
        <v>Influencers who had successful careers</v>
      </c>
      <c r="F1431" s="1" t="str">
        <f ca="1">IFERROR(__xludf.DUMMYFUNCTION("""COMPUTED_VALUE"""),"Yes, I will earn and do that")</f>
        <v>Yes, I will earn and do that</v>
      </c>
      <c r="G1431" s="1" t="str">
        <f ca="1">IFERROR(__xludf.DUMMYFUNCTION("""COMPUTED_VALUE"""),"Will work for 3 years or more")</f>
        <v>Will work for 3 years or more</v>
      </c>
      <c r="H1431" s="1" t="str">
        <f ca="1">IFERROR(__xludf.DUMMYFUNCTION("""COMPUTED_VALUE"""),"No")</f>
        <v>No</v>
      </c>
      <c r="I1431" s="1" t="str">
        <f ca="1">IFERROR(__xludf.DUMMYFUNCTION("""COMPUTED_VALUE"""),"Will work for them")</f>
        <v>Will work for them</v>
      </c>
      <c r="J1431" s="1">
        <f ca="1">IFERROR(__xludf.DUMMYFUNCTION("""COMPUTED_VALUE"""),5)</f>
        <v>5</v>
      </c>
      <c r="K1431" s="1" t="str">
        <f ca="1">IFERROR(__xludf.DUMMYFUNCTION("""COMPUTED_VALUE"""),"Every Day Office Environment")</f>
        <v>Every Day Office Environment</v>
      </c>
      <c r="L1431" s="1" t="str">
        <f ca="1">IFERROR(__xludf.DUMMYFUNCTION("""COMPUTED_VALUE"""),"Employer who pushes your limits by enabling an learning environment, and rewards you at the end")</f>
        <v>Employer who pushes your limits by enabling an learning environment, and rewards you at the end</v>
      </c>
      <c r="M143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3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31" s="1" t="str">
        <f ca="1">IFERROR(__xludf.DUMMYFUNCTION("""COMPUTED_VALUE"""),"Manager who sets goal and helps me achieve it")</f>
        <v>Manager who sets goal and helps me achieve it</v>
      </c>
      <c r="P1431" s="1" t="str">
        <f ca="1">IFERROR(__xludf.DUMMYFUNCTION("""COMPUTED_VALUE"""),"Work alone, Work with 5 to 6 people in my team, Work with 7 to 10 or more people in my team")</f>
        <v>Work alone, Work with 5 to 6 people in my team, Work with 7 to 10 or more people in my team</v>
      </c>
      <c r="Q1431" s="1"/>
    </row>
    <row r="1432" spans="1:17" ht="13.2" x14ac:dyDescent="0.25">
      <c r="A1432" s="2">
        <f ca="1">IFERROR(__xludf.DUMMYFUNCTION("""COMPUTED_VALUE"""),45044.9409028819)</f>
        <v>45044.940902881899</v>
      </c>
      <c r="B1432" s="1" t="str">
        <f ca="1">IFERROR(__xludf.DUMMYFUNCTION("""COMPUTED_VALUE"""),"India")</f>
        <v>India</v>
      </c>
      <c r="C1432" s="1">
        <f ca="1">IFERROR(__xludf.DUMMYFUNCTION("""COMPUTED_VALUE"""),411007)</f>
        <v>411007</v>
      </c>
      <c r="D1432" s="3" t="str">
        <f ca="1">IFERROR(__xludf.DUMMYFUNCTION("""COMPUTED_VALUE"""),"Male")</f>
        <v>Male</v>
      </c>
      <c r="E1432" s="1" t="str">
        <f ca="1">IFERROR(__xludf.DUMMYFUNCTION("""COMPUTED_VALUE"""),"My Parents")</f>
        <v>My Parents</v>
      </c>
      <c r="F1432" s="1" t="str">
        <f ca="1">IFERROR(__xludf.DUMMYFUNCTION("""COMPUTED_VALUE"""),"Yes, I will earn and do that")</f>
        <v>Yes, I will earn and do that</v>
      </c>
      <c r="G1432" s="1" t="str">
        <f ca="1">IFERROR(__xludf.DUMMYFUNCTION("""COMPUTED_VALUE"""),"Will work for 3 years or more")</f>
        <v>Will work for 3 years or more</v>
      </c>
      <c r="H1432" s="1" t="str">
        <f ca="1">IFERROR(__xludf.DUMMYFUNCTION("""COMPUTED_VALUE"""),"No")</f>
        <v>No</v>
      </c>
      <c r="I1432" s="1" t="str">
        <f ca="1">IFERROR(__xludf.DUMMYFUNCTION("""COMPUTED_VALUE"""),"Will NOT work for them")</f>
        <v>Will NOT work for them</v>
      </c>
      <c r="J1432" s="1">
        <f ca="1">IFERROR(__xludf.DUMMYFUNCTION("""COMPUTED_VALUE"""),5)</f>
        <v>5</v>
      </c>
      <c r="K1432" s="1" t="str">
        <f ca="1">IFERROR(__xludf.DUMMYFUNCTION("""COMPUTED_VALUE"""),"Hybrid Working Environment with more than 15 days a month at office")</f>
        <v>Hybrid Working Environment with more than 15 days a month at office</v>
      </c>
      <c r="L1432" s="1" t="str">
        <f ca="1">IFERROR(__xludf.DUMMYFUNCTION("""COMPUTED_VALUE"""),"Employer who pushes your limits by enabling an learning environment, and rewards you at the end")</f>
        <v>Employer who pushes your limits by enabling an learning environment, and rewards you at the end</v>
      </c>
      <c r="M143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3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32" s="1" t="str">
        <f ca="1">IFERROR(__xludf.DUMMYFUNCTION("""COMPUTED_VALUE"""),"Manager who sets goal and helps me achieve it")</f>
        <v>Manager who sets goal and helps me achieve it</v>
      </c>
      <c r="P1432" s="1" t="str">
        <f ca="1">IFERROR(__xludf.DUMMYFUNCTION("""COMPUTED_VALUE"""),"Work with more than 10 people in my team")</f>
        <v>Work with more than 10 people in my team</v>
      </c>
      <c r="Q1432" s="1"/>
    </row>
    <row r="1433" spans="1:17" ht="13.2" x14ac:dyDescent="0.25">
      <c r="A1433" s="2">
        <f ca="1">IFERROR(__xludf.DUMMYFUNCTION("""COMPUTED_VALUE"""),45044.9423257407)</f>
        <v>45044.942325740703</v>
      </c>
      <c r="B1433" s="1" t="str">
        <f ca="1">IFERROR(__xludf.DUMMYFUNCTION("""COMPUTED_VALUE"""),"India")</f>
        <v>India</v>
      </c>
      <c r="C1433" s="1">
        <f ca="1">IFERROR(__xludf.DUMMYFUNCTION("""COMPUTED_VALUE"""),606603)</f>
        <v>606603</v>
      </c>
      <c r="D1433" s="3" t="str">
        <f ca="1">IFERROR(__xludf.DUMMYFUNCTION("""COMPUTED_VALUE"""),"Female")</f>
        <v>Female</v>
      </c>
      <c r="E1433" s="1" t="str">
        <f ca="1">IFERROR(__xludf.DUMMYFUNCTION("""COMPUTED_VALUE"""),"People who have changed the world for better")</f>
        <v>People who have changed the world for better</v>
      </c>
      <c r="F1433" s="1" t="str">
        <f ca="1">IFERROR(__xludf.DUMMYFUNCTION("""COMPUTED_VALUE"""),"No I would not be pursuing Higher Education outside of India")</f>
        <v>No I would not be pursuing Higher Education outside of India</v>
      </c>
      <c r="G1433" s="1" t="str">
        <f ca="1">IFERROR(__xludf.DUMMYFUNCTION("""COMPUTED_VALUE"""),"This will be hard to do, but if it is the right company I would try")</f>
        <v>This will be hard to do, but if it is the right company I would try</v>
      </c>
      <c r="H1433" s="1" t="str">
        <f ca="1">IFERROR(__xludf.DUMMYFUNCTION("""COMPUTED_VALUE"""),"No")</f>
        <v>No</v>
      </c>
      <c r="I1433" s="1" t="str">
        <f ca="1">IFERROR(__xludf.DUMMYFUNCTION("""COMPUTED_VALUE"""),"Will NOT work for them")</f>
        <v>Will NOT work for them</v>
      </c>
      <c r="J1433" s="1">
        <f ca="1">IFERROR(__xludf.DUMMYFUNCTION("""COMPUTED_VALUE"""),6)</f>
        <v>6</v>
      </c>
      <c r="K1433" s="1" t="str">
        <f ca="1">IFERROR(__xludf.DUMMYFUNCTION("""COMPUTED_VALUE"""),"Every Day Office Environment")</f>
        <v>Every Day Office Environment</v>
      </c>
      <c r="L1433" s="1" t="str">
        <f ca="1">IFERROR(__xludf.DUMMYFUNCTION("""COMPUTED_VALUE"""),"Employer who pushes your limits by enabling an learning environment, and rewards you at the end")</f>
        <v>Employer who pushes your limits by enabling an learning environment, and rewards you at the end</v>
      </c>
      <c r="M143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33"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1433" s="1" t="str">
        <f ca="1">IFERROR(__xludf.DUMMYFUNCTION("""COMPUTED_VALUE"""),"Manager who explains what is expected, sets a goal and helps achieve it")</f>
        <v>Manager who explains what is expected, sets a goal and helps achieve it</v>
      </c>
      <c r="P1433" s="1" t="str">
        <f ca="1">IFERROR(__xludf.DUMMYFUNCTION("""COMPUTED_VALUE"""),"Work with more than 10 people in my team")</f>
        <v>Work with more than 10 people in my team</v>
      </c>
      <c r="Q1433" s="1"/>
    </row>
    <row r="1434" spans="1:17" ht="13.2" x14ac:dyDescent="0.25">
      <c r="A1434" s="2">
        <f ca="1">IFERROR(__xludf.DUMMYFUNCTION("""COMPUTED_VALUE"""),45044.9437500925)</f>
        <v>45044.943750092498</v>
      </c>
      <c r="B1434" s="1" t="str">
        <f ca="1">IFERROR(__xludf.DUMMYFUNCTION("""COMPUTED_VALUE"""),"India")</f>
        <v>India</v>
      </c>
      <c r="C1434" s="1">
        <f ca="1">IFERROR(__xludf.DUMMYFUNCTION("""COMPUTED_VALUE"""),500072)</f>
        <v>500072</v>
      </c>
      <c r="D1434" s="3" t="str">
        <f ca="1">IFERROR(__xludf.DUMMYFUNCTION("""COMPUTED_VALUE"""),"Female")</f>
        <v>Female</v>
      </c>
      <c r="E1434" s="1" t="str">
        <f ca="1">IFERROR(__xludf.DUMMYFUNCTION("""COMPUTED_VALUE"""),"Influencers who had successful careers")</f>
        <v>Influencers who had successful careers</v>
      </c>
      <c r="F1434" s="1" t="str">
        <f ca="1">IFERROR(__xludf.DUMMYFUNCTION("""COMPUTED_VALUE"""),"No I would not be pursuing Higher Education outside of India")</f>
        <v>No I would not be pursuing Higher Education outside of India</v>
      </c>
      <c r="G1434" s="1" t="str">
        <f ca="1">IFERROR(__xludf.DUMMYFUNCTION("""COMPUTED_VALUE"""),"Will work for 3 years or more")</f>
        <v>Will work for 3 years or more</v>
      </c>
      <c r="H1434" s="1" t="str">
        <f ca="1">IFERROR(__xludf.DUMMYFUNCTION("""COMPUTED_VALUE"""),"No")</f>
        <v>No</v>
      </c>
      <c r="I1434" s="1" t="str">
        <f ca="1">IFERROR(__xludf.DUMMYFUNCTION("""COMPUTED_VALUE"""),"Will NOT work for them")</f>
        <v>Will NOT work for them</v>
      </c>
      <c r="J1434" s="1">
        <f ca="1">IFERROR(__xludf.DUMMYFUNCTION("""COMPUTED_VALUE"""),1)</f>
        <v>1</v>
      </c>
      <c r="K1434" s="1" t="str">
        <f ca="1">IFERROR(__xludf.DUMMYFUNCTION("""COMPUTED_VALUE"""),"Fully Remote with Options to travel as and when needed")</f>
        <v>Fully Remote with Options to travel as and when needed</v>
      </c>
      <c r="L1434" s="1" t="str">
        <f ca="1">IFERROR(__xludf.DUMMYFUNCTION("""COMPUTED_VALUE"""),"Employer who appreciates learning and enables that environment")</f>
        <v>Employer who appreciates learning and enables that environment</v>
      </c>
      <c r="M1434" s="1" t="str">
        <f ca="1">IFERROR(__xludf.DUMMYFUNCTION("""COMPUTED_VALUE"""),"Self Paced Learning Portals of the Company, Instructor or Expert Learning Programs, Manager Teaching you")</f>
        <v>Self Paced Learning Portals of the Company, Instructor or Expert Learning Programs, Manager Teaching you</v>
      </c>
      <c r="N143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434" s="1" t="str">
        <f ca="1">IFERROR(__xludf.DUMMYFUNCTION("""COMPUTED_VALUE"""),"Manager who explains what is expected, sets a goal and helps achieve it")</f>
        <v>Manager who explains what is expected, sets a goal and helps achieve it</v>
      </c>
      <c r="P1434" s="1" t="str">
        <f ca="1">IFERROR(__xludf.DUMMYFUNCTION("""COMPUTED_VALUE"""),"Work with more than 10 people in my team")</f>
        <v>Work with more than 10 people in my team</v>
      </c>
      <c r="Q1434" s="1"/>
    </row>
    <row r="1435" spans="1:17" ht="13.2" x14ac:dyDescent="0.25">
      <c r="A1435" s="2">
        <f ca="1">IFERROR(__xludf.DUMMYFUNCTION("""COMPUTED_VALUE"""),45044.9449275115)</f>
        <v>45044.944927511497</v>
      </c>
      <c r="B1435" s="1" t="str">
        <f ca="1">IFERROR(__xludf.DUMMYFUNCTION("""COMPUTED_VALUE"""),"India")</f>
        <v>India</v>
      </c>
      <c r="C1435" s="1">
        <f ca="1">IFERROR(__xludf.DUMMYFUNCTION("""COMPUTED_VALUE"""),411044)</f>
        <v>411044</v>
      </c>
      <c r="D1435" s="3" t="str">
        <f ca="1">IFERROR(__xludf.DUMMYFUNCTION("""COMPUTED_VALUE"""),"Female")</f>
        <v>Female</v>
      </c>
      <c r="E1435" s="1" t="str">
        <f ca="1">IFERROR(__xludf.DUMMYFUNCTION("""COMPUTED_VALUE"""),"My Parents")</f>
        <v>My Parents</v>
      </c>
      <c r="F1435" s="1" t="str">
        <f ca="1">IFERROR(__xludf.DUMMYFUNCTION("""COMPUTED_VALUE"""),"No, But if someone could bare the cost I will")</f>
        <v>No, But if someone could bare the cost I will</v>
      </c>
      <c r="G1435" s="1" t="str">
        <f ca="1">IFERROR(__xludf.DUMMYFUNCTION("""COMPUTED_VALUE"""),"Will work for 3 years or more")</f>
        <v>Will work for 3 years or more</v>
      </c>
      <c r="H1435" s="1" t="str">
        <f ca="1">IFERROR(__xludf.DUMMYFUNCTION("""COMPUTED_VALUE"""),"No")</f>
        <v>No</v>
      </c>
      <c r="I1435" s="1" t="str">
        <f ca="1">IFERROR(__xludf.DUMMYFUNCTION("""COMPUTED_VALUE"""),"Will NOT work for them")</f>
        <v>Will NOT work for them</v>
      </c>
      <c r="J1435" s="1">
        <f ca="1">IFERROR(__xludf.DUMMYFUNCTION("""COMPUTED_VALUE"""),2)</f>
        <v>2</v>
      </c>
      <c r="K1435" s="1" t="str">
        <f ca="1">IFERROR(__xludf.DUMMYFUNCTION("""COMPUTED_VALUE"""),"Fully Remote with Options to travel as and when needed")</f>
        <v>Fully Remote with Options to travel as and when needed</v>
      </c>
      <c r="L1435" s="1" t="str">
        <f ca="1">IFERROR(__xludf.DUMMYFUNCTION("""COMPUTED_VALUE"""),"Employer who appreciates learning and enables that environment")</f>
        <v>Employer who appreciates learning and enables that environment</v>
      </c>
      <c r="M14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35"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435" s="1" t="str">
        <f ca="1">IFERROR(__xludf.DUMMYFUNCTION("""COMPUTED_VALUE"""),"Manager who explains what is expected, sets a goal and helps achieve it")</f>
        <v>Manager who explains what is expected, sets a goal and helps achieve it</v>
      </c>
      <c r="P1435" s="1" t="str">
        <f ca="1">IFERROR(__xludf.DUMMYFUNCTION("""COMPUTED_VALUE"""),"Work with 2 to 3 people in my team")</f>
        <v>Work with 2 to 3 people in my team</v>
      </c>
      <c r="Q1435" s="1"/>
    </row>
    <row r="1436" spans="1:17" ht="13.2" x14ac:dyDescent="0.25">
      <c r="A1436" s="2">
        <f ca="1">IFERROR(__xludf.DUMMYFUNCTION("""COMPUTED_VALUE"""),45044.9464931134)</f>
        <v>45044.946493113399</v>
      </c>
      <c r="B1436" s="1" t="str">
        <f ca="1">IFERROR(__xludf.DUMMYFUNCTION("""COMPUTED_VALUE"""),"India")</f>
        <v>India</v>
      </c>
      <c r="C1436" s="1">
        <f ca="1">IFERROR(__xludf.DUMMYFUNCTION("""COMPUTED_VALUE"""),560075)</f>
        <v>560075</v>
      </c>
      <c r="D1436" s="3" t="str">
        <f ca="1">IFERROR(__xludf.DUMMYFUNCTION("""COMPUTED_VALUE"""),"Male")</f>
        <v>Male</v>
      </c>
      <c r="E1436" s="1" t="str">
        <f ca="1">IFERROR(__xludf.DUMMYFUNCTION("""COMPUTED_VALUE"""),"People who have changed the world for better")</f>
        <v>People who have changed the world for better</v>
      </c>
      <c r="F1436" s="1" t="str">
        <f ca="1">IFERROR(__xludf.DUMMYFUNCTION("""COMPUTED_VALUE"""),"No I would not be pursuing Higher Education outside of India")</f>
        <v>No I would not be pursuing Higher Education outside of India</v>
      </c>
      <c r="G1436" s="1" t="str">
        <f ca="1">IFERROR(__xludf.DUMMYFUNCTION("""COMPUTED_VALUE"""),"Will work for 3 years or more")</f>
        <v>Will work for 3 years or more</v>
      </c>
      <c r="H1436" s="1" t="str">
        <f ca="1">IFERROR(__xludf.DUMMYFUNCTION("""COMPUTED_VALUE"""),"No")</f>
        <v>No</v>
      </c>
      <c r="I1436" s="1" t="str">
        <f ca="1">IFERROR(__xludf.DUMMYFUNCTION("""COMPUTED_VALUE"""),"Will NOT work for them")</f>
        <v>Will NOT work for them</v>
      </c>
      <c r="J1436" s="1">
        <f ca="1">IFERROR(__xludf.DUMMYFUNCTION("""COMPUTED_VALUE"""),7)</f>
        <v>7</v>
      </c>
      <c r="K1436" s="1" t="str">
        <f ca="1">IFERROR(__xludf.DUMMYFUNCTION("""COMPUTED_VALUE"""),"Hybrid Working Environment with more than 15 days a month at office")</f>
        <v>Hybrid Working Environment with more than 15 days a month at office</v>
      </c>
      <c r="L1436" s="1" t="str">
        <f ca="1">IFERROR(__xludf.DUMMYFUNCTION("""COMPUTED_VALUE"""),"Employer who appreciates learning and enables that environment")</f>
        <v>Employer who appreciates learning and enables that environment</v>
      </c>
      <c r="M143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3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36" s="1" t="str">
        <f ca="1">IFERROR(__xludf.DUMMYFUNCTION("""COMPUTED_VALUE"""),"Manager who sets goal and helps me achieve it")</f>
        <v>Manager who sets goal and helps me achieve it</v>
      </c>
      <c r="P1436" s="1" t="str">
        <f ca="1">IFERROR(__xludf.DUMMYFUNCTION("""COMPUTED_VALUE"""),"Work with 5 to 6 people in my team")</f>
        <v>Work with 5 to 6 people in my team</v>
      </c>
      <c r="Q1436" s="1"/>
    </row>
    <row r="1437" spans="1:17" ht="13.2" x14ac:dyDescent="0.25">
      <c r="A1437" s="2">
        <f ca="1">IFERROR(__xludf.DUMMYFUNCTION("""COMPUTED_VALUE"""),45044.94734978)</f>
        <v>45044.947349779999</v>
      </c>
      <c r="B1437" s="1" t="str">
        <f ca="1">IFERROR(__xludf.DUMMYFUNCTION("""COMPUTED_VALUE"""),"India")</f>
        <v>India</v>
      </c>
      <c r="C1437" s="1">
        <f ca="1">IFERROR(__xludf.DUMMYFUNCTION("""COMPUTED_VALUE"""),411014)</f>
        <v>411014</v>
      </c>
      <c r="D1437" s="3" t="str">
        <f ca="1">IFERROR(__xludf.DUMMYFUNCTION("""COMPUTED_VALUE"""),"Female")</f>
        <v>Female</v>
      </c>
      <c r="E1437" s="1" t="str">
        <f ca="1">IFERROR(__xludf.DUMMYFUNCTION("""COMPUTED_VALUE"""),"My Parents")</f>
        <v>My Parents</v>
      </c>
      <c r="F1437" s="1" t="str">
        <f ca="1">IFERROR(__xludf.DUMMYFUNCTION("""COMPUTED_VALUE"""),"No I would not be pursuing Higher Education outside of India")</f>
        <v>No I would not be pursuing Higher Education outside of India</v>
      </c>
      <c r="G1437" s="1" t="str">
        <f ca="1">IFERROR(__xludf.DUMMYFUNCTION("""COMPUTED_VALUE"""),"This will be hard to do, but if it is the right company I would try")</f>
        <v>This will be hard to do, but if it is the right company I would try</v>
      </c>
      <c r="H1437" s="1" t="str">
        <f ca="1">IFERROR(__xludf.DUMMYFUNCTION("""COMPUTED_VALUE"""),"No")</f>
        <v>No</v>
      </c>
      <c r="I1437" s="1" t="str">
        <f ca="1">IFERROR(__xludf.DUMMYFUNCTION("""COMPUTED_VALUE"""),"Will NOT work for them")</f>
        <v>Will NOT work for them</v>
      </c>
      <c r="J1437" s="1">
        <f ca="1">IFERROR(__xludf.DUMMYFUNCTION("""COMPUTED_VALUE"""),8)</f>
        <v>8</v>
      </c>
      <c r="K1437" s="1" t="str">
        <f ca="1">IFERROR(__xludf.DUMMYFUNCTION("""COMPUTED_VALUE"""),"Every Day Office Environment")</f>
        <v>Every Day Office Environment</v>
      </c>
      <c r="L1437" s="1" t="str">
        <f ca="1">IFERROR(__xludf.DUMMYFUNCTION("""COMPUTED_VALUE"""),"Employer who appreciates learning and enables that environment")</f>
        <v>Employer who appreciates learning and enables that environment</v>
      </c>
      <c r="M143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37"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437" s="1" t="str">
        <f ca="1">IFERROR(__xludf.DUMMYFUNCTION("""COMPUTED_VALUE"""),"Manager who clearly describes what she/he needs")</f>
        <v>Manager who clearly describes what she/he needs</v>
      </c>
      <c r="P1437" s="1" t="str">
        <f ca="1">IFERROR(__xludf.DUMMYFUNCTION("""COMPUTED_VALUE"""),"Work alone, Work with 5 to 6 people in my team")</f>
        <v>Work alone, Work with 5 to 6 people in my team</v>
      </c>
      <c r="Q1437" s="1"/>
    </row>
    <row r="1438" spans="1:17" ht="13.2" x14ac:dyDescent="0.25">
      <c r="A1438" s="2">
        <f ca="1">IFERROR(__xludf.DUMMYFUNCTION("""COMPUTED_VALUE"""),45044.9521768981)</f>
        <v>45044.952176898099</v>
      </c>
      <c r="B1438" s="1" t="str">
        <f ca="1">IFERROR(__xludf.DUMMYFUNCTION("""COMPUTED_VALUE"""),"India")</f>
        <v>India</v>
      </c>
      <c r="C1438" s="1">
        <f ca="1">IFERROR(__xludf.DUMMYFUNCTION("""COMPUTED_VALUE"""),92)</f>
        <v>92</v>
      </c>
      <c r="D1438" s="3" t="str">
        <f ca="1">IFERROR(__xludf.DUMMYFUNCTION("""COMPUTED_VALUE"""),"Female")</f>
        <v>Female</v>
      </c>
      <c r="E1438" s="1" t="str">
        <f ca="1">IFERROR(__xludf.DUMMYFUNCTION("""COMPUTED_VALUE"""),"Influencers who had successful careers")</f>
        <v>Influencers who had successful careers</v>
      </c>
      <c r="F1438" s="1" t="str">
        <f ca="1">IFERROR(__xludf.DUMMYFUNCTION("""COMPUTED_VALUE"""),"Yes, I will earn and do that")</f>
        <v>Yes, I will earn and do that</v>
      </c>
      <c r="G1438" s="1" t="str">
        <f ca="1">IFERROR(__xludf.DUMMYFUNCTION("""COMPUTED_VALUE"""),"This will be hard to do, but if it is the right company I would try")</f>
        <v>This will be hard to do, but if it is the right company I would try</v>
      </c>
      <c r="H1438" s="1" t="str">
        <f ca="1">IFERROR(__xludf.DUMMYFUNCTION("""COMPUTED_VALUE"""),"No")</f>
        <v>No</v>
      </c>
      <c r="I1438" s="1" t="str">
        <f ca="1">IFERROR(__xludf.DUMMYFUNCTION("""COMPUTED_VALUE"""),"Will NOT work for them")</f>
        <v>Will NOT work for them</v>
      </c>
      <c r="J1438" s="1">
        <f ca="1">IFERROR(__xludf.DUMMYFUNCTION("""COMPUTED_VALUE"""),8)</f>
        <v>8</v>
      </c>
      <c r="K1438" s="1" t="str">
        <f ca="1">IFERROR(__xludf.DUMMYFUNCTION("""COMPUTED_VALUE"""),"Hybrid Working Environment with more than 15 days a month at office")</f>
        <v>Hybrid Working Environment with more than 15 days a month at office</v>
      </c>
      <c r="L1438" s="1" t="str">
        <f ca="1">IFERROR(__xludf.DUMMYFUNCTION("""COMPUTED_VALUE"""),"Employer who pushes your limits by enabling an learning environment, and rewards you at the end")</f>
        <v>Employer who pushes your limits by enabling an learning environment, and rewards you at the end</v>
      </c>
      <c r="M1438" s="1" t="str">
        <f ca="1">IFERROR(__xludf.DUMMYFUNCTION("""COMPUTED_VALUE"""),"Self Paced Learning Portals of the Company, Instructor or Expert Learning Programs, Manager Teaching you")</f>
        <v>Self Paced Learning Portals of the Company, Instructor or Expert Learning Programs, Manager Teaching you</v>
      </c>
      <c r="N1438"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38" s="1" t="str">
        <f ca="1">IFERROR(__xludf.DUMMYFUNCTION("""COMPUTED_VALUE"""),"Manager who explains what is expected, sets a goal and helps achieve it")</f>
        <v>Manager who explains what is expected, sets a goal and helps achieve it</v>
      </c>
      <c r="P1438" s="1" t="str">
        <f ca="1">IFERROR(__xludf.DUMMYFUNCTION("""COMPUTED_VALUE"""),"Work with 5 to 6 people in my team")</f>
        <v>Work with 5 to 6 people in my team</v>
      </c>
      <c r="Q1438" s="1"/>
    </row>
    <row r="1439" spans="1:17" ht="13.2" x14ac:dyDescent="0.25">
      <c r="A1439" s="2">
        <f ca="1">IFERROR(__xludf.DUMMYFUNCTION("""COMPUTED_VALUE"""),45044.9608226736)</f>
        <v>45044.960822673602</v>
      </c>
      <c r="B1439" s="1" t="str">
        <f ca="1">IFERROR(__xludf.DUMMYFUNCTION("""COMPUTED_VALUE"""),"India")</f>
        <v>India</v>
      </c>
      <c r="C1439" s="1">
        <f ca="1">IFERROR(__xludf.DUMMYFUNCTION("""COMPUTED_VALUE"""),765022)</f>
        <v>765022</v>
      </c>
      <c r="D1439" s="3" t="str">
        <f ca="1">IFERROR(__xludf.DUMMYFUNCTION("""COMPUTED_VALUE"""),"Female")</f>
        <v>Female</v>
      </c>
      <c r="E1439" s="1" t="str">
        <f ca="1">IFERROR(__xludf.DUMMYFUNCTION("""COMPUTED_VALUE"""),"My Parents")</f>
        <v>My Parents</v>
      </c>
      <c r="F1439" s="1" t="str">
        <f ca="1">IFERROR(__xludf.DUMMYFUNCTION("""COMPUTED_VALUE"""),"Yes, I will earn and do that")</f>
        <v>Yes, I will earn and do that</v>
      </c>
      <c r="G1439" s="1" t="str">
        <f ca="1">IFERROR(__xludf.DUMMYFUNCTION("""COMPUTED_VALUE"""),"Will work for 3 years or more")</f>
        <v>Will work for 3 years or more</v>
      </c>
      <c r="H1439" s="1" t="str">
        <f ca="1">IFERROR(__xludf.DUMMYFUNCTION("""COMPUTED_VALUE"""),"No")</f>
        <v>No</v>
      </c>
      <c r="I1439" s="1" t="str">
        <f ca="1">IFERROR(__xludf.DUMMYFUNCTION("""COMPUTED_VALUE"""),"Will NOT work for them")</f>
        <v>Will NOT work for them</v>
      </c>
      <c r="J1439" s="1">
        <f ca="1">IFERROR(__xludf.DUMMYFUNCTION("""COMPUTED_VALUE"""),1)</f>
        <v>1</v>
      </c>
      <c r="K1439" s="1" t="str">
        <f ca="1">IFERROR(__xludf.DUMMYFUNCTION("""COMPUTED_VALUE"""),"Hybrid Working Environment with more than 15 days a month at office")</f>
        <v>Hybrid Working Environment with more than 15 days a month at office</v>
      </c>
      <c r="L1439" s="1" t="str">
        <f ca="1">IFERROR(__xludf.DUMMYFUNCTION("""COMPUTED_VALUE"""),"Employer who appreciates learning and enables that environment")</f>
        <v>Employer who appreciates learning and enables that environment</v>
      </c>
      <c r="M143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3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439" s="1" t="str">
        <f ca="1">IFERROR(__xludf.DUMMYFUNCTION("""COMPUTED_VALUE"""),"Manager who explains what is expected, sets a goal and helps achieve it")</f>
        <v>Manager who explains what is expected, sets a goal and helps achieve it</v>
      </c>
      <c r="P1439" s="1" t="str">
        <f ca="1">IFERROR(__xludf.DUMMYFUNCTION("""COMPUTED_VALUE"""),"Work with more than 10 people in my team")</f>
        <v>Work with more than 10 people in my team</v>
      </c>
      <c r="Q1439" s="1"/>
    </row>
    <row r="1440" spans="1:17" ht="13.2" x14ac:dyDescent="0.25">
      <c r="A1440" s="2">
        <f ca="1">IFERROR(__xludf.DUMMYFUNCTION("""COMPUTED_VALUE"""),45044.9644630439)</f>
        <v>45044.9644630439</v>
      </c>
      <c r="B1440" s="1" t="str">
        <f ca="1">IFERROR(__xludf.DUMMYFUNCTION("""COMPUTED_VALUE"""),"India")</f>
        <v>India</v>
      </c>
      <c r="C1440" s="1">
        <f ca="1">IFERROR(__xludf.DUMMYFUNCTION("""COMPUTED_VALUE"""),530051)</f>
        <v>530051</v>
      </c>
      <c r="D1440" s="3" t="str">
        <f ca="1">IFERROR(__xludf.DUMMYFUNCTION("""COMPUTED_VALUE"""),"Female")</f>
        <v>Female</v>
      </c>
      <c r="E1440" s="1" t="str">
        <f ca="1">IFERROR(__xludf.DUMMYFUNCTION("""COMPUTED_VALUE"""),"People who have changed the world for better")</f>
        <v>People who have changed the world for better</v>
      </c>
      <c r="F1440" s="1" t="str">
        <f ca="1">IFERROR(__xludf.DUMMYFUNCTION("""COMPUTED_VALUE"""),"Yes, I will earn and do that")</f>
        <v>Yes, I will earn and do that</v>
      </c>
      <c r="G1440" s="1" t="str">
        <f ca="1">IFERROR(__xludf.DUMMYFUNCTION("""COMPUTED_VALUE"""),"Will work for 3 years or more")</f>
        <v>Will work for 3 years or more</v>
      </c>
      <c r="H1440" s="1" t="str">
        <f ca="1">IFERROR(__xludf.DUMMYFUNCTION("""COMPUTED_VALUE"""),"No")</f>
        <v>No</v>
      </c>
      <c r="I1440" s="1" t="str">
        <f ca="1">IFERROR(__xludf.DUMMYFUNCTION("""COMPUTED_VALUE"""),"Will NOT work for them")</f>
        <v>Will NOT work for them</v>
      </c>
      <c r="J1440" s="1">
        <f ca="1">IFERROR(__xludf.DUMMYFUNCTION("""COMPUTED_VALUE"""),5)</f>
        <v>5</v>
      </c>
      <c r="K1440" s="1" t="str">
        <f ca="1">IFERROR(__xludf.DUMMYFUNCTION("""COMPUTED_VALUE"""),"Hybrid Working Environment with more than 15 days a month at office")</f>
        <v>Hybrid Working Environment with more than 15 days a month at office</v>
      </c>
      <c r="L1440" s="1" t="str">
        <f ca="1">IFERROR(__xludf.DUMMYFUNCTION("""COMPUTED_VALUE"""),"Employer who pushes your limits by enabling an learning environment, and rewards you at the end")</f>
        <v>Employer who pushes your limits by enabling an learning environment, and rewards you at the end</v>
      </c>
      <c r="M1440" s="1" t="str">
        <f ca="1">IFERROR(__xludf.DUMMYFUNCTION("""COMPUTED_VALUE"""),"Learning by observing others, Self Purchased Course from External Platforms, Manager Teaching you")</f>
        <v>Learning by observing others, Self Purchased Course from External Platforms, Manager Teaching you</v>
      </c>
      <c r="N1440" s="1" t="str">
        <f ca="1">IFERROR(__xludf.DUMMYFUNCTION("""COMPUTED_VALUE"""),"Teaching in any of the institutes/colleges/online or offline, Build and develop a Team, I Want to sell things/Sales, An Artificial Intelligence Specialist / Talking to Robots")</f>
        <v>Teaching in any of the institutes/colleges/online or offline, Build and develop a Team, I Want to sell things/Sales, An Artificial Intelligence Specialist / Talking to Robots</v>
      </c>
      <c r="O1440" s="1" t="str">
        <f ca="1">IFERROR(__xludf.DUMMYFUNCTION("""COMPUTED_VALUE"""),"Manager who sets goal and helps me achieve it")</f>
        <v>Manager who sets goal and helps me achieve it</v>
      </c>
      <c r="P1440" s="1" t="str">
        <f ca="1">IFERROR(__xludf.DUMMYFUNCTION("""COMPUTED_VALUE"""),"Work with 5 to 6 people in my team")</f>
        <v>Work with 5 to 6 people in my team</v>
      </c>
      <c r="Q1440" s="1"/>
    </row>
    <row r="1441" spans="1:17" ht="13.2" x14ac:dyDescent="0.25">
      <c r="A1441" s="2">
        <f ca="1">IFERROR(__xludf.DUMMYFUNCTION("""COMPUTED_VALUE"""),45044.9650175115)</f>
        <v>45044.965017511502</v>
      </c>
      <c r="B1441" s="1" t="str">
        <f ca="1">IFERROR(__xludf.DUMMYFUNCTION("""COMPUTED_VALUE"""),"India")</f>
        <v>India</v>
      </c>
      <c r="C1441" s="1">
        <f ca="1">IFERROR(__xludf.DUMMYFUNCTION("""COMPUTED_VALUE"""),560067)</f>
        <v>560067</v>
      </c>
      <c r="D1441" s="3" t="str">
        <f ca="1">IFERROR(__xludf.DUMMYFUNCTION("""COMPUTED_VALUE"""),"Male")</f>
        <v>Male</v>
      </c>
      <c r="E1441" s="1" t="str">
        <f ca="1">IFERROR(__xludf.DUMMYFUNCTION("""COMPUTED_VALUE"""),"People from my circle, but not family members")</f>
        <v>People from my circle, but not family members</v>
      </c>
      <c r="F1441" s="1" t="str">
        <f ca="1">IFERROR(__xludf.DUMMYFUNCTION("""COMPUTED_VALUE"""),"No, But if someone could bare the cost I will")</f>
        <v>No, But if someone could bare the cost I will</v>
      </c>
      <c r="G1441" s="1" t="str">
        <f ca="1">IFERROR(__xludf.DUMMYFUNCTION("""COMPUTED_VALUE"""),"Will work for 3 years or more")</f>
        <v>Will work for 3 years or more</v>
      </c>
      <c r="H1441" s="1" t="str">
        <f ca="1">IFERROR(__xludf.DUMMYFUNCTION("""COMPUTED_VALUE"""),"No")</f>
        <v>No</v>
      </c>
      <c r="I1441" s="1" t="str">
        <f ca="1">IFERROR(__xludf.DUMMYFUNCTION("""COMPUTED_VALUE"""),"Will NOT work for them")</f>
        <v>Will NOT work for them</v>
      </c>
      <c r="J1441" s="1">
        <f ca="1">IFERROR(__xludf.DUMMYFUNCTION("""COMPUTED_VALUE"""),1)</f>
        <v>1</v>
      </c>
      <c r="K1441" s="1" t="str">
        <f ca="1">IFERROR(__xludf.DUMMYFUNCTION("""COMPUTED_VALUE"""),"Fully Remote with Options to travel as and when needed")</f>
        <v>Fully Remote with Options to travel as and when needed</v>
      </c>
      <c r="L1441" s="1" t="str">
        <f ca="1">IFERROR(__xludf.DUMMYFUNCTION("""COMPUTED_VALUE"""),"Employer who pushes your limits by enabling an learning environment, and rewards you at the end")</f>
        <v>Employer who pushes your limits by enabling an learning environment, and rewards you at the end</v>
      </c>
      <c r="M1441" s="1" t="str">
        <f ca="1">IFERROR(__xludf.DUMMYFUNCTION("""COMPUTED_VALUE"""),"Self Paced Learning Portals of the Company, Learning by observing others, Manager Teaching you")</f>
        <v>Self Paced Learning Portals of the Company, Learning by observing others, Manager Teaching you</v>
      </c>
      <c r="N144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41" s="1" t="str">
        <f ca="1">IFERROR(__xludf.DUMMYFUNCTION("""COMPUTED_VALUE"""),"Manager who explains what is expected, sets a goal and helps achieve it")</f>
        <v>Manager who explains what is expected, sets a goal and helps achieve it</v>
      </c>
      <c r="P1441" s="1" t="str">
        <f ca="1">IFERROR(__xludf.DUMMYFUNCTION("""COMPUTED_VALUE"""),"Work with more than 10 people in my team")</f>
        <v>Work with more than 10 people in my team</v>
      </c>
      <c r="Q1441" s="1"/>
    </row>
    <row r="1442" spans="1:17" ht="13.2" x14ac:dyDescent="0.25">
      <c r="A1442" s="2">
        <f ca="1">IFERROR(__xludf.DUMMYFUNCTION("""COMPUTED_VALUE"""),45044.9684545023)</f>
        <v>45044.968454502297</v>
      </c>
      <c r="B1442" s="1" t="str">
        <f ca="1">IFERROR(__xludf.DUMMYFUNCTION("""COMPUTED_VALUE"""),"India")</f>
        <v>India</v>
      </c>
      <c r="C1442" s="1">
        <f ca="1">IFERROR(__xludf.DUMMYFUNCTION("""COMPUTED_VALUE"""),600015)</f>
        <v>600015</v>
      </c>
      <c r="D1442" s="3" t="str">
        <f ca="1">IFERROR(__xludf.DUMMYFUNCTION("""COMPUTED_VALUE"""),"Female")</f>
        <v>Female</v>
      </c>
      <c r="E1442" s="1" t="str">
        <f ca="1">IFERROR(__xludf.DUMMYFUNCTION("""COMPUTED_VALUE"""),"People who have changed the world for better")</f>
        <v>People who have changed the world for better</v>
      </c>
      <c r="F1442" s="1" t="str">
        <f ca="1">IFERROR(__xludf.DUMMYFUNCTION("""COMPUTED_VALUE"""),"Yes, I will earn and do that")</f>
        <v>Yes, I will earn and do that</v>
      </c>
      <c r="G1442" s="1" t="str">
        <f ca="1">IFERROR(__xludf.DUMMYFUNCTION("""COMPUTED_VALUE"""),"This will be hard to do, but if it is the right company I would try")</f>
        <v>This will be hard to do, but if it is the right company I would try</v>
      </c>
      <c r="H1442" s="1" t="str">
        <f ca="1">IFERROR(__xludf.DUMMYFUNCTION("""COMPUTED_VALUE"""),"No")</f>
        <v>No</v>
      </c>
      <c r="I1442" s="1" t="str">
        <f ca="1">IFERROR(__xludf.DUMMYFUNCTION("""COMPUTED_VALUE"""),"Will NOT work for them")</f>
        <v>Will NOT work for them</v>
      </c>
      <c r="J1442" s="1">
        <f ca="1">IFERROR(__xludf.DUMMYFUNCTION("""COMPUTED_VALUE"""),9)</f>
        <v>9</v>
      </c>
      <c r="K1442" s="1" t="str">
        <f ca="1">IFERROR(__xludf.DUMMYFUNCTION("""COMPUTED_VALUE"""),"Hybrid Working Environment with less than 3 days a month at office")</f>
        <v>Hybrid Working Environment with less than 3 days a month at office</v>
      </c>
      <c r="L1442" s="1" t="str">
        <f ca="1">IFERROR(__xludf.DUMMYFUNCTION("""COMPUTED_VALUE"""),"Employer who appreciates learning and enables that environment")</f>
        <v>Employer who appreciates learning and enables that environment</v>
      </c>
      <c r="M144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442" s="1" t="str">
        <f ca="1">IFERROR(__xludf.DUMMYFUNCTION("""COMPUTED_VALUE"""),"Manager who sets goal and helps me achieve it")</f>
        <v>Manager who sets goal and helps me achieve it</v>
      </c>
      <c r="P1442" s="1" t="str">
        <f ca="1">IFERROR(__xludf.DUMMYFUNCTION("""COMPUTED_VALUE"""),"Work with 7 to 10 or more people in my team, Work with more than 10 people in my team")</f>
        <v>Work with 7 to 10 or more people in my team, Work with more than 10 people in my team</v>
      </c>
      <c r="Q1442" s="1"/>
    </row>
    <row r="1443" spans="1:17" ht="13.2" x14ac:dyDescent="0.25">
      <c r="A1443" s="2">
        <f ca="1">IFERROR(__xludf.DUMMYFUNCTION("""COMPUTED_VALUE"""),45044.9764543634)</f>
        <v>45044.976454363401</v>
      </c>
      <c r="B1443" s="1" t="str">
        <f ca="1">IFERROR(__xludf.DUMMYFUNCTION("""COMPUTED_VALUE"""),"India")</f>
        <v>India</v>
      </c>
      <c r="C1443" s="1">
        <f ca="1">IFERROR(__xludf.DUMMYFUNCTION("""COMPUTED_VALUE"""),560090)</f>
        <v>560090</v>
      </c>
      <c r="D1443" s="3" t="str">
        <f ca="1">IFERROR(__xludf.DUMMYFUNCTION("""COMPUTED_VALUE"""),"Male")</f>
        <v>Male</v>
      </c>
      <c r="E1443" s="1" t="str">
        <f ca="1">IFERROR(__xludf.DUMMYFUNCTION("""COMPUTED_VALUE"""),"My Parents")</f>
        <v>My Parents</v>
      </c>
      <c r="F1443" s="1" t="str">
        <f ca="1">IFERROR(__xludf.DUMMYFUNCTION("""COMPUTED_VALUE"""),"No, But if someone could bare the cost I will")</f>
        <v>No, But if someone could bare the cost I will</v>
      </c>
      <c r="G1443" s="1" t="str">
        <f ca="1">IFERROR(__xludf.DUMMYFUNCTION("""COMPUTED_VALUE"""),"No way")</f>
        <v>No way</v>
      </c>
      <c r="H1443" s="1" t="str">
        <f ca="1">IFERROR(__xludf.DUMMYFUNCTION("""COMPUTED_VALUE"""),"No")</f>
        <v>No</v>
      </c>
      <c r="I1443" s="1" t="str">
        <f ca="1">IFERROR(__xludf.DUMMYFUNCTION("""COMPUTED_VALUE"""),"Will NOT work for them")</f>
        <v>Will NOT work for them</v>
      </c>
      <c r="J1443" s="1">
        <f ca="1">IFERROR(__xludf.DUMMYFUNCTION("""COMPUTED_VALUE"""),6)</f>
        <v>6</v>
      </c>
      <c r="K1443" s="1" t="str">
        <f ca="1">IFERROR(__xludf.DUMMYFUNCTION("""COMPUTED_VALUE"""),"Hybrid Working Environment with more than 15 days a month at office")</f>
        <v>Hybrid Working Environment with more than 15 days a month at office</v>
      </c>
      <c r="L1443" s="1" t="str">
        <f ca="1">IFERROR(__xludf.DUMMYFUNCTION("""COMPUTED_VALUE"""),"Employer who pushes your limits by enabling an learning environment, and rewards you at the end")</f>
        <v>Employer who pushes your limits by enabling an learning environment, and rewards you at the end</v>
      </c>
      <c r="M14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43"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443" s="1" t="str">
        <f ca="1">IFERROR(__xludf.DUMMYFUNCTION("""COMPUTED_VALUE"""),"Manager who sets targets and expects me to achieve it")</f>
        <v>Manager who sets targets and expects me to achieve it</v>
      </c>
      <c r="P1443" s="1" t="str">
        <f ca="1">IFERROR(__xludf.DUMMYFUNCTION("""COMPUTED_VALUE"""),"Work with 5 to 6 people in my team")</f>
        <v>Work with 5 to 6 people in my team</v>
      </c>
      <c r="Q1443" s="1"/>
    </row>
    <row r="1444" spans="1:17" ht="13.2" x14ac:dyDescent="0.25">
      <c r="A1444" s="2">
        <f ca="1">IFERROR(__xludf.DUMMYFUNCTION("""COMPUTED_VALUE"""),45044.9845628935)</f>
        <v>45044.9845628935</v>
      </c>
      <c r="B1444" s="1" t="str">
        <f ca="1">IFERROR(__xludf.DUMMYFUNCTION("""COMPUTED_VALUE"""),"India")</f>
        <v>India</v>
      </c>
      <c r="C1444" s="1">
        <f ca="1">IFERROR(__xludf.DUMMYFUNCTION("""COMPUTED_VALUE"""),410206)</f>
        <v>410206</v>
      </c>
      <c r="D1444" s="3" t="str">
        <f ca="1">IFERROR(__xludf.DUMMYFUNCTION("""COMPUTED_VALUE"""),"Female")</f>
        <v>Female</v>
      </c>
      <c r="E1444" s="1" t="str">
        <f ca="1">IFERROR(__xludf.DUMMYFUNCTION("""COMPUTED_VALUE"""),"Social Media like LinkedIn")</f>
        <v>Social Media like LinkedIn</v>
      </c>
      <c r="F1444" s="1" t="str">
        <f ca="1">IFERROR(__xludf.DUMMYFUNCTION("""COMPUTED_VALUE"""),"Yes, I will earn and do that")</f>
        <v>Yes, I will earn and do that</v>
      </c>
      <c r="G1444" s="1" t="str">
        <f ca="1">IFERROR(__xludf.DUMMYFUNCTION("""COMPUTED_VALUE"""),"This will be hard to do, but if it is the right company I would try")</f>
        <v>This will be hard to do, but if it is the right company I would try</v>
      </c>
      <c r="H1444" s="1" t="str">
        <f ca="1">IFERROR(__xludf.DUMMYFUNCTION("""COMPUTED_VALUE"""),"No")</f>
        <v>No</v>
      </c>
      <c r="I1444" s="1" t="str">
        <f ca="1">IFERROR(__xludf.DUMMYFUNCTION("""COMPUTED_VALUE"""),"Will NOT work for them")</f>
        <v>Will NOT work for them</v>
      </c>
      <c r="J1444" s="1">
        <f ca="1">IFERROR(__xludf.DUMMYFUNCTION("""COMPUTED_VALUE"""),7)</f>
        <v>7</v>
      </c>
      <c r="K1444" s="1" t="str">
        <f ca="1">IFERROR(__xludf.DUMMYFUNCTION("""COMPUTED_VALUE"""),"Hybrid Working Environment with more than 15 days a month at office")</f>
        <v>Hybrid Working Environment with more than 15 days a month at office</v>
      </c>
      <c r="L1444" s="1" t="str">
        <f ca="1">IFERROR(__xludf.DUMMYFUNCTION("""COMPUTED_VALUE"""),"Employer who appreciates learning and enables that environment")</f>
        <v>Employer who appreciates learning and enables that environment</v>
      </c>
      <c r="M14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4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444" s="1" t="str">
        <f ca="1">IFERROR(__xludf.DUMMYFUNCTION("""COMPUTED_VALUE"""),"Manager who explains what is expected, sets a goal and helps achieve it")</f>
        <v>Manager who explains what is expected, sets a goal and helps achieve it</v>
      </c>
      <c r="P1444" s="1" t="str">
        <f ca="1">IFERROR(__xludf.DUMMYFUNCTION("""COMPUTED_VALUE"""),"Work with 5 to 6 people in my team")</f>
        <v>Work with 5 to 6 people in my team</v>
      </c>
      <c r="Q1444" s="1"/>
    </row>
    <row r="1445" spans="1:17" ht="13.2" x14ac:dyDescent="0.25">
      <c r="A1445" s="2">
        <f ca="1">IFERROR(__xludf.DUMMYFUNCTION("""COMPUTED_VALUE"""),45044.993011493)</f>
        <v>45044.993011493003</v>
      </c>
      <c r="B1445" s="1" t="str">
        <f ca="1">IFERROR(__xludf.DUMMYFUNCTION("""COMPUTED_VALUE"""),"India")</f>
        <v>India</v>
      </c>
      <c r="C1445" s="1">
        <f ca="1">IFERROR(__xludf.DUMMYFUNCTION("""COMPUTED_VALUE"""),562107)</f>
        <v>562107</v>
      </c>
      <c r="D1445" s="3" t="str">
        <f ca="1">IFERROR(__xludf.DUMMYFUNCTION("""COMPUTED_VALUE"""),"Female")</f>
        <v>Female</v>
      </c>
      <c r="E1445" s="1" t="str">
        <f ca="1">IFERROR(__xludf.DUMMYFUNCTION("""COMPUTED_VALUE"""),"People who have changed the world for better")</f>
        <v>People who have changed the world for better</v>
      </c>
      <c r="F1445" s="1" t="str">
        <f ca="1">IFERROR(__xludf.DUMMYFUNCTION("""COMPUTED_VALUE"""),"Yes, I will earn and do that")</f>
        <v>Yes, I will earn and do that</v>
      </c>
      <c r="G1445" s="1" t="str">
        <f ca="1">IFERROR(__xludf.DUMMYFUNCTION("""COMPUTED_VALUE"""),"This will be hard to do, but if it is the right company I would try")</f>
        <v>This will be hard to do, but if it is the right company I would try</v>
      </c>
      <c r="H1445" s="1" t="str">
        <f ca="1">IFERROR(__xludf.DUMMYFUNCTION("""COMPUTED_VALUE"""),"No")</f>
        <v>No</v>
      </c>
      <c r="I1445" s="1" t="str">
        <f ca="1">IFERROR(__xludf.DUMMYFUNCTION("""COMPUTED_VALUE"""),"Will NOT work for them")</f>
        <v>Will NOT work for them</v>
      </c>
      <c r="J1445" s="1">
        <f ca="1">IFERROR(__xludf.DUMMYFUNCTION("""COMPUTED_VALUE"""),3)</f>
        <v>3</v>
      </c>
      <c r="K1445" s="1" t="str">
        <f ca="1">IFERROR(__xludf.DUMMYFUNCTION("""COMPUTED_VALUE"""),"Hybrid Working Environment with more than 15 days a month at office")</f>
        <v>Hybrid Working Environment with more than 15 days a month at office</v>
      </c>
      <c r="L1445" s="1" t="str">
        <f ca="1">IFERROR(__xludf.DUMMYFUNCTION("""COMPUTED_VALUE"""),"Employer who pushes your limits by enabling an learning environment, and rewards you at the end")</f>
        <v>Employer who pushes your limits by enabling an learning environment, and rewards you at the end</v>
      </c>
      <c r="M144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5"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445" s="1" t="str">
        <f ca="1">IFERROR(__xludf.DUMMYFUNCTION("""COMPUTED_VALUE"""),"Manager who explains what is expected, sets a goal and helps achieve it")</f>
        <v>Manager who explains what is expected, sets a goal and helps achieve it</v>
      </c>
      <c r="P1445" s="1" t="str">
        <f ca="1">IFERROR(__xludf.DUMMYFUNCTION("""COMPUTED_VALUE"""),"Work with 5 to 6 people in my team")</f>
        <v>Work with 5 to 6 people in my team</v>
      </c>
      <c r="Q1445" s="1"/>
    </row>
    <row r="1446" spans="1:17" ht="13.2" x14ac:dyDescent="0.25">
      <c r="A1446" s="2">
        <f ca="1">IFERROR(__xludf.DUMMYFUNCTION("""COMPUTED_VALUE"""),45044.9931558101)</f>
        <v>45044.993155810102</v>
      </c>
      <c r="B1446" s="1" t="str">
        <f ca="1">IFERROR(__xludf.DUMMYFUNCTION("""COMPUTED_VALUE"""),"India")</f>
        <v>India</v>
      </c>
      <c r="C1446" s="1">
        <f ca="1">IFERROR(__xludf.DUMMYFUNCTION("""COMPUTED_VALUE"""),638004)</f>
        <v>638004</v>
      </c>
      <c r="D1446" s="3" t="str">
        <f ca="1">IFERROR(__xludf.DUMMYFUNCTION("""COMPUTED_VALUE"""),"Male")</f>
        <v>Male</v>
      </c>
      <c r="E1446" s="1" t="str">
        <f ca="1">IFERROR(__xludf.DUMMYFUNCTION("""COMPUTED_VALUE"""),"My Parents")</f>
        <v>My Parents</v>
      </c>
      <c r="F1446" s="1" t="str">
        <f ca="1">IFERROR(__xludf.DUMMYFUNCTION("""COMPUTED_VALUE"""),"Yes, I will earn and do that")</f>
        <v>Yes, I will earn and do that</v>
      </c>
      <c r="G1446" s="1" t="str">
        <f ca="1">IFERROR(__xludf.DUMMYFUNCTION("""COMPUTED_VALUE"""),"Will work for 3 years or more")</f>
        <v>Will work for 3 years or more</v>
      </c>
      <c r="H1446" s="1" t="str">
        <f ca="1">IFERROR(__xludf.DUMMYFUNCTION("""COMPUTED_VALUE"""),"No")</f>
        <v>No</v>
      </c>
      <c r="I1446" s="1" t="str">
        <f ca="1">IFERROR(__xludf.DUMMYFUNCTION("""COMPUTED_VALUE"""),"Will NOT work for them")</f>
        <v>Will NOT work for them</v>
      </c>
      <c r="J1446" s="1">
        <f ca="1">IFERROR(__xludf.DUMMYFUNCTION("""COMPUTED_VALUE"""),8)</f>
        <v>8</v>
      </c>
      <c r="K1446" s="1" t="str">
        <f ca="1">IFERROR(__xludf.DUMMYFUNCTION("""COMPUTED_VALUE"""),"Every Day Office Environment")</f>
        <v>Every Day Office Environment</v>
      </c>
      <c r="L1446" s="1" t="str">
        <f ca="1">IFERROR(__xludf.DUMMYFUNCTION("""COMPUTED_VALUE"""),"Employer who rewards learning and enables that environment")</f>
        <v>Employer who rewards learning and enables that environment</v>
      </c>
      <c r="M144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4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446" s="1" t="str">
        <f ca="1">IFERROR(__xludf.DUMMYFUNCTION("""COMPUTED_VALUE"""),"Manager who clearly describes what she/he needs")</f>
        <v>Manager who clearly describes what she/he needs</v>
      </c>
      <c r="P1446" s="1" t="str">
        <f ca="1">IFERROR(__xludf.DUMMYFUNCTION("""COMPUTED_VALUE"""),"Work with 2 to 3 people in my team")</f>
        <v>Work with 2 to 3 people in my team</v>
      </c>
      <c r="Q1446" s="1"/>
    </row>
    <row r="1447" spans="1:17" ht="13.2" x14ac:dyDescent="0.25">
      <c r="A1447" s="2">
        <f ca="1">IFERROR(__xludf.DUMMYFUNCTION("""COMPUTED_VALUE"""),45045.006365949)</f>
        <v>45045.006365948997</v>
      </c>
      <c r="B1447" s="1" t="str">
        <f ca="1">IFERROR(__xludf.DUMMYFUNCTION("""COMPUTED_VALUE"""),"India")</f>
        <v>India</v>
      </c>
      <c r="C1447" s="1">
        <f ca="1">IFERROR(__xludf.DUMMYFUNCTION("""COMPUTED_VALUE"""),500001)</f>
        <v>500001</v>
      </c>
      <c r="D1447" s="3" t="str">
        <f ca="1">IFERROR(__xludf.DUMMYFUNCTION("""COMPUTED_VALUE"""),"Male")</f>
        <v>Male</v>
      </c>
      <c r="E1447" s="1" t="str">
        <f ca="1">IFERROR(__xludf.DUMMYFUNCTION("""COMPUTED_VALUE"""),"People from my circle, but not family members")</f>
        <v>People from my circle, but not family members</v>
      </c>
      <c r="F1447" s="1" t="str">
        <f ca="1">IFERROR(__xludf.DUMMYFUNCTION("""COMPUTED_VALUE"""),"Yes, I will earn and do that")</f>
        <v>Yes, I will earn and do that</v>
      </c>
      <c r="G1447" s="1" t="str">
        <f ca="1">IFERROR(__xludf.DUMMYFUNCTION("""COMPUTED_VALUE"""),"Will work for 3 years or more")</f>
        <v>Will work for 3 years or more</v>
      </c>
      <c r="H1447" s="1" t="str">
        <f ca="1">IFERROR(__xludf.DUMMYFUNCTION("""COMPUTED_VALUE"""),"Yes")</f>
        <v>Yes</v>
      </c>
      <c r="I1447" s="1" t="str">
        <f ca="1">IFERROR(__xludf.DUMMYFUNCTION("""COMPUTED_VALUE"""),"Will work for them")</f>
        <v>Will work for them</v>
      </c>
      <c r="J1447" s="1">
        <f ca="1">IFERROR(__xludf.DUMMYFUNCTION("""COMPUTED_VALUE"""),2)</f>
        <v>2</v>
      </c>
      <c r="K1447" s="1" t="str">
        <f ca="1">IFERROR(__xludf.DUMMYFUNCTION("""COMPUTED_VALUE"""),"Fully Remote with Options to travel as and when needed")</f>
        <v>Fully Remote with Options to travel as and when needed</v>
      </c>
      <c r="L1447" s="1" t="str">
        <f ca="1">IFERROR(__xludf.DUMMYFUNCTION("""COMPUTED_VALUE"""),"Employer who pushes your limits by enabling an learning environment, and rewards you at the end")</f>
        <v>Employer who pushes your limits by enabling an learning environment, and rewards you at the end</v>
      </c>
      <c r="M1447" s="1" t="str">
        <f ca="1">IFERROR(__xludf.DUMMYFUNCTION("""COMPUTED_VALUE"""),"Self Paced Learning Portals of the Company, Learning by observing others, Manager Teaching you")</f>
        <v>Self Paced Learning Portals of the Company, Learning by observing others, Manager Teaching you</v>
      </c>
      <c r="N1447"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1447" s="1" t="str">
        <f ca="1">IFERROR(__xludf.DUMMYFUNCTION("""COMPUTED_VALUE"""),"Manager who explains what is expected, sets a goal and helps achieve it")</f>
        <v>Manager who explains what is expected, sets a goal and helps achieve it</v>
      </c>
      <c r="P1447" s="1" t="str">
        <f ca="1">IFERROR(__xludf.DUMMYFUNCTION("""COMPUTED_VALUE"""),"Work with 5 to 6 people in my team, Work with 7 to 10 or more people in my team")</f>
        <v>Work with 5 to 6 people in my team, Work with 7 to 10 or more people in my team</v>
      </c>
      <c r="Q1447" s="1"/>
    </row>
    <row r="1448" spans="1:17" ht="13.2" x14ac:dyDescent="0.25">
      <c r="A1448" s="2">
        <f ca="1">IFERROR(__xludf.DUMMYFUNCTION("""COMPUTED_VALUE"""),45045.0122109143)</f>
        <v>45045.012210914298</v>
      </c>
      <c r="B1448" s="1" t="str">
        <f ca="1">IFERROR(__xludf.DUMMYFUNCTION("""COMPUTED_VALUE"""),"India")</f>
        <v>India</v>
      </c>
      <c r="C1448" s="1">
        <f ca="1">IFERROR(__xludf.DUMMYFUNCTION("""COMPUTED_VALUE"""),400074)</f>
        <v>400074</v>
      </c>
      <c r="D1448" s="3" t="str">
        <f ca="1">IFERROR(__xludf.DUMMYFUNCTION("""COMPUTED_VALUE"""),"Male")</f>
        <v>Male</v>
      </c>
      <c r="E1448" s="1" t="str">
        <f ca="1">IFERROR(__xludf.DUMMYFUNCTION("""COMPUTED_VALUE"""),"People from my circle, but not family members")</f>
        <v>People from my circle, but not family members</v>
      </c>
      <c r="F1448" s="1" t="str">
        <f ca="1">IFERROR(__xludf.DUMMYFUNCTION("""COMPUTED_VALUE"""),"No, But if someone could bare the cost I will")</f>
        <v>No, But if someone could bare the cost I will</v>
      </c>
      <c r="G1448" s="1" t="str">
        <f ca="1">IFERROR(__xludf.DUMMYFUNCTION("""COMPUTED_VALUE"""),"Will work for 3 years or more")</f>
        <v>Will work for 3 years or more</v>
      </c>
      <c r="H1448" s="1" t="str">
        <f ca="1">IFERROR(__xludf.DUMMYFUNCTION("""COMPUTED_VALUE"""),"Yes")</f>
        <v>Yes</v>
      </c>
      <c r="I1448" s="1" t="str">
        <f ca="1">IFERROR(__xludf.DUMMYFUNCTION("""COMPUTED_VALUE"""),"Will NOT work for them")</f>
        <v>Will NOT work for them</v>
      </c>
      <c r="J1448" s="1">
        <f ca="1">IFERROR(__xludf.DUMMYFUNCTION("""COMPUTED_VALUE"""),5)</f>
        <v>5</v>
      </c>
      <c r="K1448" s="1" t="str">
        <f ca="1">IFERROR(__xludf.DUMMYFUNCTION("""COMPUTED_VALUE"""),"Hybrid Working Environment with more than 15 days a month at office")</f>
        <v>Hybrid Working Environment with more than 15 days a month at office</v>
      </c>
      <c r="L1448" s="1" t="str">
        <f ca="1">IFERROR(__xludf.DUMMYFUNCTION("""COMPUTED_VALUE"""),"Employer who rewards learning and enables that environment")</f>
        <v>Employer who rewards learning and enables that environment</v>
      </c>
      <c r="M144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48"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448" s="1" t="str">
        <f ca="1">IFERROR(__xludf.DUMMYFUNCTION("""COMPUTED_VALUE"""),"Manager who explains what is expected, sets a goal and helps achieve it")</f>
        <v>Manager who explains what is expected, sets a goal and helps achieve it</v>
      </c>
      <c r="P1448" s="1" t="str">
        <f ca="1">IFERROR(__xludf.DUMMYFUNCTION("""COMPUTED_VALUE"""),"Work alone, Work with 2 to 3 people in my team, Work with more than 10 people in my team")</f>
        <v>Work alone, Work with 2 to 3 people in my team, Work with more than 10 people in my team</v>
      </c>
      <c r="Q1448" s="1"/>
    </row>
    <row r="1449" spans="1:17" ht="13.2" x14ac:dyDescent="0.25">
      <c r="A1449" s="2">
        <f ca="1">IFERROR(__xludf.DUMMYFUNCTION("""COMPUTED_VALUE"""),45045.0167609143)</f>
        <v>45045.016760914303</v>
      </c>
      <c r="B1449" s="1" t="str">
        <f ca="1">IFERROR(__xludf.DUMMYFUNCTION("""COMPUTED_VALUE"""),"India")</f>
        <v>India</v>
      </c>
      <c r="C1449" s="1">
        <f ca="1">IFERROR(__xludf.DUMMYFUNCTION("""COMPUTED_VALUE"""),500001)</f>
        <v>500001</v>
      </c>
      <c r="D1449" s="3" t="str">
        <f ca="1">IFERROR(__xludf.DUMMYFUNCTION("""COMPUTED_VALUE"""),"Female")</f>
        <v>Female</v>
      </c>
      <c r="E1449" s="1" t="str">
        <f ca="1">IFERROR(__xludf.DUMMYFUNCTION("""COMPUTED_VALUE"""),"My Parents")</f>
        <v>My Parents</v>
      </c>
      <c r="F1449" s="1" t="str">
        <f ca="1">IFERROR(__xludf.DUMMYFUNCTION("""COMPUTED_VALUE"""),"Yes, I will earn and do that")</f>
        <v>Yes, I will earn and do that</v>
      </c>
      <c r="G1449" s="1" t="str">
        <f ca="1">IFERROR(__xludf.DUMMYFUNCTION("""COMPUTED_VALUE"""),"This will be hard to do, but if it is the right company I would try")</f>
        <v>This will be hard to do, but if it is the right company I would try</v>
      </c>
      <c r="H1449" s="1" t="str">
        <f ca="1">IFERROR(__xludf.DUMMYFUNCTION("""COMPUTED_VALUE"""),"No")</f>
        <v>No</v>
      </c>
      <c r="I1449" s="1" t="str">
        <f ca="1">IFERROR(__xludf.DUMMYFUNCTION("""COMPUTED_VALUE"""),"Will NOT work for them")</f>
        <v>Will NOT work for them</v>
      </c>
      <c r="J1449" s="1">
        <f ca="1">IFERROR(__xludf.DUMMYFUNCTION("""COMPUTED_VALUE"""),4)</f>
        <v>4</v>
      </c>
      <c r="K1449" s="1" t="str">
        <f ca="1">IFERROR(__xludf.DUMMYFUNCTION("""COMPUTED_VALUE"""),"Fully Remote with Options to travel as and when needed")</f>
        <v>Fully Remote with Options to travel as and when needed</v>
      </c>
      <c r="L1449" s="1" t="str">
        <f ca="1">IFERROR(__xludf.DUMMYFUNCTION("""COMPUTED_VALUE"""),"Employer who rewards learning and enables that environment")</f>
        <v>Employer who rewards learning and enables that environment</v>
      </c>
      <c r="M144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9"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49" s="1" t="str">
        <f ca="1">IFERROR(__xludf.DUMMYFUNCTION("""COMPUTED_VALUE"""),"Manager who explains what is expected, sets a goal and helps achieve it")</f>
        <v>Manager who explains what is expected, sets a goal and helps achieve it</v>
      </c>
      <c r="P1449" s="1" t="str">
        <f ca="1">IFERROR(__xludf.DUMMYFUNCTION("""COMPUTED_VALUE"""),"Work alone, Work with 2 to 3 people in my team")</f>
        <v>Work alone, Work with 2 to 3 people in my team</v>
      </c>
      <c r="Q1449" s="1"/>
    </row>
    <row r="1450" spans="1:17" ht="13.2" x14ac:dyDescent="0.25">
      <c r="A1450" s="2">
        <f ca="1">IFERROR(__xludf.DUMMYFUNCTION("""COMPUTED_VALUE"""),45045.0241839583)</f>
        <v>45045.024183958303</v>
      </c>
      <c r="B1450" s="1" t="str">
        <f ca="1">IFERROR(__xludf.DUMMYFUNCTION("""COMPUTED_VALUE"""),"India")</f>
        <v>India</v>
      </c>
      <c r="C1450" s="1">
        <f ca="1">IFERROR(__xludf.DUMMYFUNCTION("""COMPUTED_VALUE"""),247667)</f>
        <v>247667</v>
      </c>
      <c r="D1450" s="3" t="str">
        <f ca="1">IFERROR(__xludf.DUMMYFUNCTION("""COMPUTED_VALUE"""),"Male")</f>
        <v>Male</v>
      </c>
      <c r="E1450" s="1" t="str">
        <f ca="1">IFERROR(__xludf.DUMMYFUNCTION("""COMPUTED_VALUE"""),"People who have changed the world for better")</f>
        <v>People who have changed the world for better</v>
      </c>
      <c r="F1450" s="1" t="str">
        <f ca="1">IFERROR(__xludf.DUMMYFUNCTION("""COMPUTED_VALUE"""),"Yes, I will earn and do that")</f>
        <v>Yes, I will earn and do that</v>
      </c>
      <c r="G1450" s="1" t="str">
        <f ca="1">IFERROR(__xludf.DUMMYFUNCTION("""COMPUTED_VALUE"""),"Will work for 3 years or more")</f>
        <v>Will work for 3 years or more</v>
      </c>
      <c r="H1450" s="1" t="str">
        <f ca="1">IFERROR(__xludf.DUMMYFUNCTION("""COMPUTED_VALUE"""),"No")</f>
        <v>No</v>
      </c>
      <c r="I1450" s="1" t="str">
        <f ca="1">IFERROR(__xludf.DUMMYFUNCTION("""COMPUTED_VALUE"""),"Will NOT work for them")</f>
        <v>Will NOT work for them</v>
      </c>
      <c r="J1450" s="1">
        <f ca="1">IFERROR(__xludf.DUMMYFUNCTION("""COMPUTED_VALUE"""),7)</f>
        <v>7</v>
      </c>
      <c r="K1450" s="1" t="str">
        <f ca="1">IFERROR(__xludf.DUMMYFUNCTION("""COMPUTED_VALUE"""),"Hybrid Working Environment with less than 3 days a month at office")</f>
        <v>Hybrid Working Environment with less than 3 days a month at office</v>
      </c>
      <c r="L1450" s="1" t="str">
        <f ca="1">IFERROR(__xludf.DUMMYFUNCTION("""COMPUTED_VALUE"""),"Employer who pushes your limits by enabling an learning environment, and rewards you at the end")</f>
        <v>Employer who pushes your limits by enabling an learning environment, and rewards you at the end</v>
      </c>
      <c r="M1450" s="1" t="str">
        <f ca="1">IFERROR(__xludf.DUMMYFUNCTION("""COMPUTED_VALUE"""),"Self Paced Learning Portals of the Company, Instructor or Expert Learning Programs, Manager Teaching you")</f>
        <v>Self Paced Learning Portals of the Company, Instructor or Expert Learning Programs, Manager Teaching you</v>
      </c>
      <c r="N1450"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450" s="1" t="str">
        <f ca="1">IFERROR(__xludf.DUMMYFUNCTION("""COMPUTED_VALUE"""),"Manager who clearly describes what she/he needs")</f>
        <v>Manager who clearly describes what she/he needs</v>
      </c>
      <c r="P1450" s="1" t="str">
        <f ca="1">IFERROR(__xludf.DUMMYFUNCTION("""COMPUTED_VALUE"""),"Work with more than 10 people in my team")</f>
        <v>Work with more than 10 people in my team</v>
      </c>
      <c r="Q1450" s="1"/>
    </row>
    <row r="1451" spans="1:17" ht="13.2" x14ac:dyDescent="0.25">
      <c r="A1451" s="2">
        <f ca="1">IFERROR(__xludf.DUMMYFUNCTION("""COMPUTED_VALUE"""),45045.0409939583)</f>
        <v>45045.040993958297</v>
      </c>
      <c r="B1451" s="1" t="str">
        <f ca="1">IFERROR(__xludf.DUMMYFUNCTION("""COMPUTED_VALUE"""),"India")</f>
        <v>India</v>
      </c>
      <c r="C1451" s="1">
        <f ca="1">IFERROR(__xludf.DUMMYFUNCTION("""COMPUTED_VALUE"""),500016)</f>
        <v>500016</v>
      </c>
      <c r="D1451" s="3" t="str">
        <f ca="1">IFERROR(__xludf.DUMMYFUNCTION("""COMPUTED_VALUE"""),"Male")</f>
        <v>Male</v>
      </c>
      <c r="E1451" s="1" t="str">
        <f ca="1">IFERROR(__xludf.DUMMYFUNCTION("""COMPUTED_VALUE"""),"My Parents")</f>
        <v>My Parents</v>
      </c>
      <c r="F1451" s="1" t="str">
        <f ca="1">IFERROR(__xludf.DUMMYFUNCTION("""COMPUTED_VALUE"""),"No, But if someone could bare the cost I will")</f>
        <v>No, But if someone could bare the cost I will</v>
      </c>
      <c r="G1451" s="1" t="str">
        <f ca="1">IFERROR(__xludf.DUMMYFUNCTION("""COMPUTED_VALUE"""),"This will be hard to do, but if it is the right company I would try")</f>
        <v>This will be hard to do, but if it is the right company I would try</v>
      </c>
      <c r="H1451" s="1" t="str">
        <f ca="1">IFERROR(__xludf.DUMMYFUNCTION("""COMPUTED_VALUE"""),"No")</f>
        <v>No</v>
      </c>
      <c r="I1451" s="1" t="str">
        <f ca="1">IFERROR(__xludf.DUMMYFUNCTION("""COMPUTED_VALUE"""),"Will NOT work for them")</f>
        <v>Will NOT work for them</v>
      </c>
      <c r="J1451" s="1">
        <f ca="1">IFERROR(__xludf.DUMMYFUNCTION("""COMPUTED_VALUE"""),1)</f>
        <v>1</v>
      </c>
      <c r="K1451" s="1" t="str">
        <f ca="1">IFERROR(__xludf.DUMMYFUNCTION("""COMPUTED_VALUE"""),"Hybrid Working Environment with more than 15 days a month at office")</f>
        <v>Hybrid Working Environment with more than 15 days a month at office</v>
      </c>
      <c r="L1451" s="1" t="str">
        <f ca="1">IFERROR(__xludf.DUMMYFUNCTION("""COMPUTED_VALUE"""),"Employer who appreciates learning and enables that environment")</f>
        <v>Employer who appreciates learning and enables that environment</v>
      </c>
      <c r="M145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51"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451" s="1" t="str">
        <f ca="1">IFERROR(__xludf.DUMMYFUNCTION("""COMPUTED_VALUE"""),"Manager who explains what is expected, sets a goal and helps achieve it")</f>
        <v>Manager who explains what is expected, sets a goal and helps achieve it</v>
      </c>
      <c r="P1451" s="1" t="str">
        <f ca="1">IFERROR(__xludf.DUMMYFUNCTION("""COMPUTED_VALUE"""),"Work with 2 to 3 people in my team")</f>
        <v>Work with 2 to 3 people in my team</v>
      </c>
      <c r="Q1451" s="1"/>
    </row>
    <row r="1452" spans="1:17" ht="13.2" x14ac:dyDescent="0.25">
      <c r="A1452" s="2">
        <f ca="1">IFERROR(__xludf.DUMMYFUNCTION("""COMPUTED_VALUE"""),45045.0489693055)</f>
        <v>45045.048969305499</v>
      </c>
      <c r="B1452" s="1" t="str">
        <f ca="1">IFERROR(__xludf.DUMMYFUNCTION("""COMPUTED_VALUE"""),"India")</f>
        <v>India</v>
      </c>
      <c r="C1452" s="1">
        <f ca="1">IFERROR(__xludf.DUMMYFUNCTION("""COMPUTED_VALUE"""),560064)</f>
        <v>560064</v>
      </c>
      <c r="D1452" s="3" t="str">
        <f ca="1">IFERROR(__xludf.DUMMYFUNCTION("""COMPUTED_VALUE"""),"Male")</f>
        <v>Male</v>
      </c>
      <c r="E1452" s="1" t="str">
        <f ca="1">IFERROR(__xludf.DUMMYFUNCTION("""COMPUTED_VALUE"""),"People from my circle, but not family members")</f>
        <v>People from my circle, but not family members</v>
      </c>
      <c r="F1452" s="1" t="str">
        <f ca="1">IFERROR(__xludf.DUMMYFUNCTION("""COMPUTED_VALUE"""),"No I would not be pursuing Higher Education outside of India")</f>
        <v>No I would not be pursuing Higher Education outside of India</v>
      </c>
      <c r="G1452" s="1" t="str">
        <f ca="1">IFERROR(__xludf.DUMMYFUNCTION("""COMPUTED_VALUE"""),"Will work for 3 years or more")</f>
        <v>Will work for 3 years or more</v>
      </c>
      <c r="H1452" s="1" t="str">
        <f ca="1">IFERROR(__xludf.DUMMYFUNCTION("""COMPUTED_VALUE"""),"Yes")</f>
        <v>Yes</v>
      </c>
      <c r="I1452" s="1" t="str">
        <f ca="1">IFERROR(__xludf.DUMMYFUNCTION("""COMPUTED_VALUE"""),"Will NOT work for them")</f>
        <v>Will NOT work for them</v>
      </c>
      <c r="J1452" s="1">
        <f ca="1">IFERROR(__xludf.DUMMYFUNCTION("""COMPUTED_VALUE"""),6)</f>
        <v>6</v>
      </c>
      <c r="K1452" s="1" t="str">
        <f ca="1">IFERROR(__xludf.DUMMYFUNCTION("""COMPUTED_VALUE"""),"Hybrid Working Environment with more than 15 days a month at office")</f>
        <v>Hybrid Working Environment with more than 15 days a month at office</v>
      </c>
      <c r="L1452" s="1" t="str">
        <f ca="1">IFERROR(__xludf.DUMMYFUNCTION("""COMPUTED_VALUE"""),"Employer who pushes your limits by enabling an learning environment, and rewards you at the end")</f>
        <v>Employer who pushes your limits by enabling an learning environment, and rewards you at the end</v>
      </c>
      <c r="M145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5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452" s="1" t="str">
        <f ca="1">IFERROR(__xludf.DUMMYFUNCTION("""COMPUTED_VALUE"""),"Manager who explains what is expected, sets a goal and helps achieve it")</f>
        <v>Manager who explains what is expected, sets a goal and helps achieve it</v>
      </c>
      <c r="P1452" s="1" t="str">
        <f ca="1">IFERROR(__xludf.DUMMYFUNCTION("""COMPUTED_VALUE"""),"Work with 5 to 6 people in my team, Work with 7 to 10 or more people in my team")</f>
        <v>Work with 5 to 6 people in my team, Work with 7 to 10 or more people in my team</v>
      </c>
      <c r="Q1452" s="1"/>
    </row>
    <row r="1453" spans="1:17" ht="13.2" x14ac:dyDescent="0.25">
      <c r="A1453" s="2">
        <f ca="1">IFERROR(__xludf.DUMMYFUNCTION("""COMPUTED_VALUE"""),45045.0720153703)</f>
        <v>45045.072015370301</v>
      </c>
      <c r="B1453" s="1" t="str">
        <f ca="1">IFERROR(__xludf.DUMMYFUNCTION("""COMPUTED_VALUE"""),"India")</f>
        <v>India</v>
      </c>
      <c r="C1453" s="1">
        <f ca="1">IFERROR(__xludf.DUMMYFUNCTION("""COMPUTED_VALUE"""),695033)</f>
        <v>695033</v>
      </c>
      <c r="D1453" s="3" t="str">
        <f ca="1">IFERROR(__xludf.DUMMYFUNCTION("""COMPUTED_VALUE"""),"Male")</f>
        <v>Male</v>
      </c>
      <c r="E1453" s="1" t="str">
        <f ca="1">IFERROR(__xludf.DUMMYFUNCTION("""COMPUTED_VALUE"""),"Influencers who had successful careers")</f>
        <v>Influencers who had successful careers</v>
      </c>
      <c r="F1453" s="1" t="str">
        <f ca="1">IFERROR(__xludf.DUMMYFUNCTION("""COMPUTED_VALUE"""),"No, But if someone could bare the cost I will")</f>
        <v>No, But if someone could bare the cost I will</v>
      </c>
      <c r="G1453" s="1" t="str">
        <f ca="1">IFERROR(__xludf.DUMMYFUNCTION("""COMPUTED_VALUE"""),"This will be hard to do, but if it is the right company I would try")</f>
        <v>This will be hard to do, but if it is the right company I would try</v>
      </c>
      <c r="H1453" s="1" t="str">
        <f ca="1">IFERROR(__xludf.DUMMYFUNCTION("""COMPUTED_VALUE"""),"Yes")</f>
        <v>Yes</v>
      </c>
      <c r="I1453" s="1" t="str">
        <f ca="1">IFERROR(__xludf.DUMMYFUNCTION("""COMPUTED_VALUE"""),"Will NOT work for them")</f>
        <v>Will NOT work for them</v>
      </c>
      <c r="J1453" s="1">
        <f ca="1">IFERROR(__xludf.DUMMYFUNCTION("""COMPUTED_VALUE"""),5)</f>
        <v>5</v>
      </c>
      <c r="K1453" s="1" t="str">
        <f ca="1">IFERROR(__xludf.DUMMYFUNCTION("""COMPUTED_VALUE"""),"Hybrid Working Environment with less than 3 days a month at office")</f>
        <v>Hybrid Working Environment with less than 3 days a month at office</v>
      </c>
      <c r="L1453" s="1" t="str">
        <f ca="1">IFERROR(__xludf.DUMMYFUNCTION("""COMPUTED_VALUE"""),"Employer who appreciates learning and enables that environment")</f>
        <v>Employer who appreciates learning and enables that environment</v>
      </c>
      <c r="M1453" s="1" t="str">
        <f ca="1">IFERROR(__xludf.DUMMYFUNCTION("""COMPUTED_VALUE"""),"Instructor or Expert Learning Programs, Learning by observing others, Manager Teaching you")</f>
        <v>Instructor or Expert Learning Programs, Learning by observing others, Manager Teaching you</v>
      </c>
      <c r="N1453"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453" s="1" t="str">
        <f ca="1">IFERROR(__xludf.DUMMYFUNCTION("""COMPUTED_VALUE"""),"Manager who sets goal and helps me achieve it")</f>
        <v>Manager who sets goal and helps me achieve it</v>
      </c>
      <c r="P1453" s="1" t="str">
        <f ca="1">IFERROR(__xludf.DUMMYFUNCTION("""COMPUTED_VALUE"""),"Work with 2 to 3 people in my team")</f>
        <v>Work with 2 to 3 people in my team</v>
      </c>
      <c r="Q1453" s="1"/>
    </row>
    <row r="1454" spans="1:17" ht="13.2" x14ac:dyDescent="0.25">
      <c r="A1454" s="2">
        <f ca="1">IFERROR(__xludf.DUMMYFUNCTION("""COMPUTED_VALUE"""),45045.2251423958)</f>
        <v>45045.225142395801</v>
      </c>
      <c r="B1454" s="1" t="str">
        <f ca="1">IFERROR(__xludf.DUMMYFUNCTION("""COMPUTED_VALUE"""),"India")</f>
        <v>India</v>
      </c>
      <c r="C1454" s="1">
        <f ca="1">IFERROR(__xludf.DUMMYFUNCTION("""COMPUTED_VALUE"""),500008)</f>
        <v>500008</v>
      </c>
      <c r="D1454" s="3" t="str">
        <f ca="1">IFERROR(__xludf.DUMMYFUNCTION("""COMPUTED_VALUE"""),"Female")</f>
        <v>Female</v>
      </c>
      <c r="E1454" s="1" t="str">
        <f ca="1">IFERROR(__xludf.DUMMYFUNCTION("""COMPUTED_VALUE"""),"My Parents")</f>
        <v>My Parents</v>
      </c>
      <c r="F1454" s="1" t="str">
        <f ca="1">IFERROR(__xludf.DUMMYFUNCTION("""COMPUTED_VALUE"""),"Yes, I will earn and do that")</f>
        <v>Yes, I will earn and do that</v>
      </c>
      <c r="G1454" s="1" t="str">
        <f ca="1">IFERROR(__xludf.DUMMYFUNCTION("""COMPUTED_VALUE"""),"No way")</f>
        <v>No way</v>
      </c>
      <c r="H1454" s="1" t="str">
        <f ca="1">IFERROR(__xludf.DUMMYFUNCTION("""COMPUTED_VALUE"""),"No")</f>
        <v>No</v>
      </c>
      <c r="I1454" s="1" t="str">
        <f ca="1">IFERROR(__xludf.DUMMYFUNCTION("""COMPUTED_VALUE"""),"Will NOT work for them")</f>
        <v>Will NOT work for them</v>
      </c>
      <c r="J1454" s="1">
        <f ca="1">IFERROR(__xludf.DUMMYFUNCTION("""COMPUTED_VALUE"""),6)</f>
        <v>6</v>
      </c>
      <c r="K1454" s="1" t="str">
        <f ca="1">IFERROR(__xludf.DUMMYFUNCTION("""COMPUTED_VALUE"""),"Fully Remote with Options to travel as and when needed")</f>
        <v>Fully Remote with Options to travel as and when needed</v>
      </c>
      <c r="L1454" s="1" t="str">
        <f ca="1">IFERROR(__xludf.DUMMYFUNCTION("""COMPUTED_VALUE"""),"Employer who pushes your limits by enabling an learning environment, and rewards you at the end")</f>
        <v>Employer who pushes your limits by enabling an learning environment, and rewards you at the end</v>
      </c>
      <c r="M14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4"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1454" s="1" t="str">
        <f ca="1">IFERROR(__xludf.DUMMYFUNCTION("""COMPUTED_VALUE"""),"Manager who explains what is expected, sets a goal and helps achieve it")</f>
        <v>Manager who explains what is expected, sets a goal and helps achieve it</v>
      </c>
      <c r="P1454" s="1" t="str">
        <f ca="1">IFERROR(__xludf.DUMMYFUNCTION("""COMPUTED_VALUE"""),"Work with 2 to 3 people in my team")</f>
        <v>Work with 2 to 3 people in my team</v>
      </c>
      <c r="Q1454" s="1"/>
    </row>
    <row r="1455" spans="1:17" ht="13.2" x14ac:dyDescent="0.25">
      <c r="A1455" s="2">
        <f ca="1">IFERROR(__xludf.DUMMYFUNCTION("""COMPUTED_VALUE"""),45045.2783016087)</f>
        <v>45045.278301608698</v>
      </c>
      <c r="B1455" s="1" t="str">
        <f ca="1">IFERROR(__xludf.DUMMYFUNCTION("""COMPUTED_VALUE"""),"India")</f>
        <v>India</v>
      </c>
      <c r="C1455" s="1">
        <f ca="1">IFERROR(__xludf.DUMMYFUNCTION("""COMPUTED_VALUE"""),500043)</f>
        <v>500043</v>
      </c>
      <c r="D1455" s="3" t="str">
        <f ca="1">IFERROR(__xludf.DUMMYFUNCTION("""COMPUTED_VALUE"""),"Female")</f>
        <v>Female</v>
      </c>
      <c r="E1455" s="1" t="str">
        <f ca="1">IFERROR(__xludf.DUMMYFUNCTION("""COMPUTED_VALUE"""),"My Parents")</f>
        <v>My Parents</v>
      </c>
      <c r="F1455" s="1" t="str">
        <f ca="1">IFERROR(__xludf.DUMMYFUNCTION("""COMPUTED_VALUE"""),"No, But if someone could bare the cost I will")</f>
        <v>No, But if someone could bare the cost I will</v>
      </c>
      <c r="G1455" s="1" t="str">
        <f ca="1">IFERROR(__xludf.DUMMYFUNCTION("""COMPUTED_VALUE"""),"Will work for 3 years or more")</f>
        <v>Will work for 3 years or more</v>
      </c>
      <c r="H1455" s="1" t="str">
        <f ca="1">IFERROR(__xludf.DUMMYFUNCTION("""COMPUTED_VALUE"""),"No")</f>
        <v>No</v>
      </c>
      <c r="I1455" s="1" t="str">
        <f ca="1">IFERROR(__xludf.DUMMYFUNCTION("""COMPUTED_VALUE"""),"Will NOT work for them")</f>
        <v>Will NOT work for them</v>
      </c>
      <c r="J1455" s="1">
        <f ca="1">IFERROR(__xludf.DUMMYFUNCTION("""COMPUTED_VALUE"""),1)</f>
        <v>1</v>
      </c>
      <c r="K1455" s="1" t="str">
        <f ca="1">IFERROR(__xludf.DUMMYFUNCTION("""COMPUTED_VALUE"""),"Fully Remote with Options to travel as and when needed")</f>
        <v>Fully Remote with Options to travel as and when needed</v>
      </c>
      <c r="L1455" s="1" t="str">
        <f ca="1">IFERROR(__xludf.DUMMYFUNCTION("""COMPUTED_VALUE"""),"Employer who rewards learning and enables that environment")</f>
        <v>Employer who rewards learning and enables that environment</v>
      </c>
      <c r="M1455" s="1" t="str">
        <f ca="1">IFERROR(__xludf.DUMMYFUNCTION("""COMPUTED_VALUE"""),"Self Paced Learning Portals of the Company, Instructor or Expert Learning Programs, Manager Teaching you")</f>
        <v>Self Paced Learning Portals of the Company, Instructor or Expert Learning Programs, Manager Teaching you</v>
      </c>
      <c r="N1455"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55" s="1" t="str">
        <f ca="1">IFERROR(__xludf.DUMMYFUNCTION("""COMPUTED_VALUE"""),"Manager who clearly describes what she/he needs")</f>
        <v>Manager who clearly describes what she/he needs</v>
      </c>
      <c r="P1455" s="1" t="str">
        <f ca="1">IFERROR(__xludf.DUMMYFUNCTION("""COMPUTED_VALUE"""),"Work with 7 to 10 or more people in my team")</f>
        <v>Work with 7 to 10 or more people in my team</v>
      </c>
      <c r="Q1455" s="1"/>
    </row>
    <row r="1456" spans="1:17" ht="13.2" x14ac:dyDescent="0.25">
      <c r="A1456" s="2">
        <f ca="1">IFERROR(__xludf.DUMMYFUNCTION("""COMPUTED_VALUE"""),45045.3252866435)</f>
        <v>45045.3252866435</v>
      </c>
      <c r="B1456" s="1" t="str">
        <f ca="1">IFERROR(__xludf.DUMMYFUNCTION("""COMPUTED_VALUE"""),"India")</f>
        <v>India</v>
      </c>
      <c r="C1456" s="1">
        <f ca="1">IFERROR(__xludf.DUMMYFUNCTION("""COMPUTED_VALUE"""),500088)</f>
        <v>500088</v>
      </c>
      <c r="D1456" s="3" t="str">
        <f ca="1">IFERROR(__xludf.DUMMYFUNCTION("""COMPUTED_VALUE"""),"Female")</f>
        <v>Female</v>
      </c>
      <c r="E1456" s="1" t="str">
        <f ca="1">IFERROR(__xludf.DUMMYFUNCTION("""COMPUTED_VALUE"""),"People who have changed the world for better")</f>
        <v>People who have changed the world for better</v>
      </c>
      <c r="F1456" s="1" t="str">
        <f ca="1">IFERROR(__xludf.DUMMYFUNCTION("""COMPUTED_VALUE"""),"No I would not be pursuing Higher Education outside of India")</f>
        <v>No I would not be pursuing Higher Education outside of India</v>
      </c>
      <c r="G1456" s="1" t="str">
        <f ca="1">IFERROR(__xludf.DUMMYFUNCTION("""COMPUTED_VALUE"""),"This will be hard to do, but if it is the right company I would try")</f>
        <v>This will be hard to do, but if it is the right company I would try</v>
      </c>
      <c r="H1456" s="1" t="str">
        <f ca="1">IFERROR(__xludf.DUMMYFUNCTION("""COMPUTED_VALUE"""),"Yes")</f>
        <v>Yes</v>
      </c>
      <c r="I1456" s="1" t="str">
        <f ca="1">IFERROR(__xludf.DUMMYFUNCTION("""COMPUTED_VALUE"""),"Will NOT work for them")</f>
        <v>Will NOT work for them</v>
      </c>
      <c r="J1456" s="1">
        <f ca="1">IFERROR(__xludf.DUMMYFUNCTION("""COMPUTED_VALUE"""),10)</f>
        <v>10</v>
      </c>
      <c r="K1456" s="1" t="str">
        <f ca="1">IFERROR(__xludf.DUMMYFUNCTION("""COMPUTED_VALUE"""),"Hybrid Working Environment with more than 15 days a month at office")</f>
        <v>Hybrid Working Environment with more than 15 days a month at office</v>
      </c>
      <c r="L1456" s="1" t="str">
        <f ca="1">IFERROR(__xludf.DUMMYFUNCTION("""COMPUTED_VALUE"""),"Employer who appreciates learning and enables that environment")</f>
        <v>Employer who appreciates learning and enables that environment</v>
      </c>
      <c r="M14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456" s="1" t="str">
        <f ca="1">IFERROR(__xludf.DUMMYFUNCTION("""COMPUTED_VALUE"""),"Manager who explains what is expected, sets a goal and helps achieve it")</f>
        <v>Manager who explains what is expected, sets a goal and helps achieve it</v>
      </c>
      <c r="P1456" s="1" t="str">
        <f ca="1">IFERROR(__xludf.DUMMYFUNCTION("""COMPUTED_VALUE"""),"Work with 7 to 10 or more people in my team")</f>
        <v>Work with 7 to 10 or more people in my team</v>
      </c>
      <c r="Q1456" s="1"/>
    </row>
    <row r="1457" spans="1:17" ht="13.2" x14ac:dyDescent="0.25">
      <c r="A1457" s="2">
        <f ca="1">IFERROR(__xludf.DUMMYFUNCTION("""COMPUTED_VALUE"""),45045.3398399884)</f>
        <v>45045.339839988403</v>
      </c>
      <c r="B1457" s="1" t="str">
        <f ca="1">IFERROR(__xludf.DUMMYFUNCTION("""COMPUTED_VALUE"""),"India")</f>
        <v>India</v>
      </c>
      <c r="C1457" s="1">
        <f ca="1">IFERROR(__xludf.DUMMYFUNCTION("""COMPUTED_VALUE"""),505460)</f>
        <v>505460</v>
      </c>
      <c r="D1457" s="3" t="str">
        <f ca="1">IFERROR(__xludf.DUMMYFUNCTION("""COMPUTED_VALUE"""),"Male")</f>
        <v>Male</v>
      </c>
      <c r="E1457" s="1" t="str">
        <f ca="1">IFERROR(__xludf.DUMMYFUNCTION("""COMPUTED_VALUE"""),"My Parents")</f>
        <v>My Parents</v>
      </c>
      <c r="F1457" s="1" t="str">
        <f ca="1">IFERROR(__xludf.DUMMYFUNCTION("""COMPUTED_VALUE"""),"No I would not be pursuing Higher Education outside of India")</f>
        <v>No I would not be pursuing Higher Education outside of India</v>
      </c>
      <c r="G1457" s="1" t="str">
        <f ca="1">IFERROR(__xludf.DUMMYFUNCTION("""COMPUTED_VALUE"""),"This will be hard to do, but if it is the right company I would try")</f>
        <v>This will be hard to do, but if it is the right company I would try</v>
      </c>
      <c r="H1457" s="1" t="str">
        <f ca="1">IFERROR(__xludf.DUMMYFUNCTION("""COMPUTED_VALUE"""),"No")</f>
        <v>No</v>
      </c>
      <c r="I1457" s="1" t="str">
        <f ca="1">IFERROR(__xludf.DUMMYFUNCTION("""COMPUTED_VALUE"""),"Will NOT work for them")</f>
        <v>Will NOT work for them</v>
      </c>
      <c r="J1457" s="1">
        <f ca="1">IFERROR(__xludf.DUMMYFUNCTION("""COMPUTED_VALUE"""),7)</f>
        <v>7</v>
      </c>
      <c r="K1457" s="1" t="str">
        <f ca="1">IFERROR(__xludf.DUMMYFUNCTION("""COMPUTED_VALUE"""),"Hybrid Working Environment with less than 3 days a month at office")</f>
        <v>Hybrid Working Environment with less than 3 days a month at office</v>
      </c>
      <c r="L1457" s="1" t="str">
        <f ca="1">IFERROR(__xludf.DUMMYFUNCTION("""COMPUTED_VALUE"""),"Employer who appreciates learning and enables that environment")</f>
        <v>Employer who appreciates learning and enables that environment</v>
      </c>
      <c r="M145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57"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457" s="1" t="str">
        <f ca="1">IFERROR(__xludf.DUMMYFUNCTION("""COMPUTED_VALUE"""),"Manager who explains what is expected, sets a goal and helps achieve it")</f>
        <v>Manager who explains what is expected, sets a goal and helps achieve it</v>
      </c>
      <c r="P1457" s="1" t="str">
        <f ca="1">IFERROR(__xludf.DUMMYFUNCTION("""COMPUTED_VALUE"""),"Work with 2 to 3 people in my team, Work with 5 to 6 people in my team")</f>
        <v>Work with 2 to 3 people in my team, Work with 5 to 6 people in my team</v>
      </c>
      <c r="Q1457" s="1"/>
    </row>
    <row r="1458" spans="1:17" ht="13.2" x14ac:dyDescent="0.25">
      <c r="A1458" s="2">
        <f ca="1">IFERROR(__xludf.DUMMYFUNCTION("""COMPUTED_VALUE"""),45045.3400963194)</f>
        <v>45045.3400963194</v>
      </c>
      <c r="B1458" s="1" t="str">
        <f ca="1">IFERROR(__xludf.DUMMYFUNCTION("""COMPUTED_VALUE"""),"India")</f>
        <v>India</v>
      </c>
      <c r="C1458" s="1">
        <f ca="1">IFERROR(__xludf.DUMMYFUNCTION("""COMPUTED_VALUE"""),500070)</f>
        <v>500070</v>
      </c>
      <c r="D1458" s="3" t="str">
        <f ca="1">IFERROR(__xludf.DUMMYFUNCTION("""COMPUTED_VALUE"""),"Female")</f>
        <v>Female</v>
      </c>
      <c r="E1458" s="1" t="str">
        <f ca="1">IFERROR(__xludf.DUMMYFUNCTION("""COMPUTED_VALUE"""),"People from my circle, but not family members")</f>
        <v>People from my circle, but not family members</v>
      </c>
      <c r="F1458" s="1" t="str">
        <f ca="1">IFERROR(__xludf.DUMMYFUNCTION("""COMPUTED_VALUE"""),"No, But if someone could bare the cost I will")</f>
        <v>No, But if someone could bare the cost I will</v>
      </c>
      <c r="G1458" s="1" t="str">
        <f ca="1">IFERROR(__xludf.DUMMYFUNCTION("""COMPUTED_VALUE"""),"No way")</f>
        <v>No way</v>
      </c>
      <c r="H1458" s="1" t="str">
        <f ca="1">IFERROR(__xludf.DUMMYFUNCTION("""COMPUTED_VALUE"""),"No")</f>
        <v>No</v>
      </c>
      <c r="I1458" s="1" t="str">
        <f ca="1">IFERROR(__xludf.DUMMYFUNCTION("""COMPUTED_VALUE"""),"Will NOT work for them")</f>
        <v>Will NOT work for them</v>
      </c>
      <c r="J1458" s="1">
        <f ca="1">IFERROR(__xludf.DUMMYFUNCTION("""COMPUTED_VALUE"""),1)</f>
        <v>1</v>
      </c>
      <c r="K1458" s="1" t="str">
        <f ca="1">IFERROR(__xludf.DUMMYFUNCTION("""COMPUTED_VALUE"""),"Fully Remote with Options to travel as and when needed")</f>
        <v>Fully Remote with Options to travel as and when needed</v>
      </c>
      <c r="L1458" s="1" t="str">
        <f ca="1">IFERROR(__xludf.DUMMYFUNCTION("""COMPUTED_VALUE"""),"Employer who pushes your limits by enabling an learning environment, and rewards you at the end")</f>
        <v>Employer who pushes your limits by enabling an learning environment, and rewards you at the end</v>
      </c>
      <c r="M145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8"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58" s="1" t="str">
        <f ca="1">IFERROR(__xludf.DUMMYFUNCTION("""COMPUTED_VALUE"""),"Manager who explains what is expected, sets a goal and helps achieve it")</f>
        <v>Manager who explains what is expected, sets a goal and helps achieve it</v>
      </c>
      <c r="P1458" s="1" t="str">
        <f ca="1">IFERROR(__xludf.DUMMYFUNCTION("""COMPUTED_VALUE"""),"Work alone")</f>
        <v>Work alone</v>
      </c>
      <c r="Q1458" s="1"/>
    </row>
    <row r="1459" spans="1:17" ht="13.2" x14ac:dyDescent="0.25">
      <c r="A1459" s="2">
        <f ca="1">IFERROR(__xludf.DUMMYFUNCTION("""COMPUTED_VALUE"""),45045.3421630902)</f>
        <v>45045.342163090201</v>
      </c>
      <c r="B1459" s="1" t="str">
        <f ca="1">IFERROR(__xludf.DUMMYFUNCTION("""COMPUTED_VALUE"""),"India")</f>
        <v>India</v>
      </c>
      <c r="C1459" s="1">
        <f ca="1">IFERROR(__xludf.DUMMYFUNCTION("""COMPUTED_VALUE"""),508234)</f>
        <v>508234</v>
      </c>
      <c r="D1459" s="3" t="str">
        <f ca="1">IFERROR(__xludf.DUMMYFUNCTION("""COMPUTED_VALUE"""),"Female")</f>
        <v>Female</v>
      </c>
      <c r="E1459" s="1" t="str">
        <f ca="1">IFERROR(__xludf.DUMMYFUNCTION("""COMPUTED_VALUE"""),"My Parents")</f>
        <v>My Parents</v>
      </c>
      <c r="F1459" s="1" t="str">
        <f ca="1">IFERROR(__xludf.DUMMYFUNCTION("""COMPUTED_VALUE"""),"Yes, I will earn and do that")</f>
        <v>Yes, I will earn and do that</v>
      </c>
      <c r="G1459" s="1" t="str">
        <f ca="1">IFERROR(__xludf.DUMMYFUNCTION("""COMPUTED_VALUE"""),"This will be hard to do, but if it is the right company I would try")</f>
        <v>This will be hard to do, but if it is the right company I would try</v>
      </c>
      <c r="H1459" s="1" t="str">
        <f ca="1">IFERROR(__xludf.DUMMYFUNCTION("""COMPUTED_VALUE"""),"Yes")</f>
        <v>Yes</v>
      </c>
      <c r="I1459" s="1" t="str">
        <f ca="1">IFERROR(__xludf.DUMMYFUNCTION("""COMPUTED_VALUE"""),"Will NOT work for them")</f>
        <v>Will NOT work for them</v>
      </c>
      <c r="J1459" s="1">
        <f ca="1">IFERROR(__xludf.DUMMYFUNCTION("""COMPUTED_VALUE"""),5)</f>
        <v>5</v>
      </c>
      <c r="K1459" s="1" t="str">
        <f ca="1">IFERROR(__xludf.DUMMYFUNCTION("""COMPUTED_VALUE"""),"Every Day Office Environment")</f>
        <v>Every Day Office Environment</v>
      </c>
      <c r="L1459" s="1" t="str">
        <f ca="1">IFERROR(__xludf.DUMMYFUNCTION("""COMPUTED_VALUE"""),"Employer who appreciates learning and enables that environment")</f>
        <v>Employer who appreciates learning and enables that environment</v>
      </c>
      <c r="M145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5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459" s="1" t="str">
        <f ca="1">IFERROR(__xludf.DUMMYFUNCTION("""COMPUTED_VALUE"""),"Manager who clearly describes what she/he needs")</f>
        <v>Manager who clearly describes what she/he needs</v>
      </c>
      <c r="P1459" s="1" t="str">
        <f ca="1">IFERROR(__xludf.DUMMYFUNCTION("""COMPUTED_VALUE"""),"Work with 5 to 6 people in my team")</f>
        <v>Work with 5 to 6 people in my team</v>
      </c>
      <c r="Q1459" s="1"/>
    </row>
    <row r="1460" spans="1:17" ht="13.2" x14ac:dyDescent="0.25">
      <c r="A1460" s="2">
        <f ca="1">IFERROR(__xludf.DUMMYFUNCTION("""COMPUTED_VALUE"""),45045.3641467245)</f>
        <v>45045.364146724503</v>
      </c>
      <c r="B1460" s="1" t="str">
        <f ca="1">IFERROR(__xludf.DUMMYFUNCTION("""COMPUTED_VALUE"""),"India")</f>
        <v>India</v>
      </c>
      <c r="C1460" s="1">
        <f ca="1">IFERROR(__xludf.DUMMYFUNCTION("""COMPUTED_VALUE"""),224135)</f>
        <v>224135</v>
      </c>
      <c r="D1460" s="3" t="str">
        <f ca="1">IFERROR(__xludf.DUMMYFUNCTION("""COMPUTED_VALUE"""),"Male")</f>
        <v>Male</v>
      </c>
      <c r="E1460" s="1" t="str">
        <f ca="1">IFERROR(__xludf.DUMMYFUNCTION("""COMPUTED_VALUE"""),"My Parents")</f>
        <v>My Parents</v>
      </c>
      <c r="F1460" s="1" t="str">
        <f ca="1">IFERROR(__xludf.DUMMYFUNCTION("""COMPUTED_VALUE"""),"No I would not be pursuing Higher Education outside of India")</f>
        <v>No I would not be pursuing Higher Education outside of India</v>
      </c>
      <c r="G1460" s="1" t="str">
        <f ca="1">IFERROR(__xludf.DUMMYFUNCTION("""COMPUTED_VALUE"""),"Will work for 3 years or more")</f>
        <v>Will work for 3 years or more</v>
      </c>
      <c r="H1460" s="1" t="str">
        <f ca="1">IFERROR(__xludf.DUMMYFUNCTION("""COMPUTED_VALUE"""),"No")</f>
        <v>No</v>
      </c>
      <c r="I1460" s="1" t="str">
        <f ca="1">IFERROR(__xludf.DUMMYFUNCTION("""COMPUTED_VALUE"""),"Will work for them")</f>
        <v>Will work for them</v>
      </c>
      <c r="J1460" s="1">
        <f ca="1">IFERROR(__xludf.DUMMYFUNCTION("""COMPUTED_VALUE"""),1)</f>
        <v>1</v>
      </c>
      <c r="K1460" s="1" t="str">
        <f ca="1">IFERROR(__xludf.DUMMYFUNCTION("""COMPUTED_VALUE"""),"Hybrid Working Environment with more than 15 days a month at office")</f>
        <v>Hybrid Working Environment with more than 15 days a month at office</v>
      </c>
      <c r="L1460" s="1" t="str">
        <f ca="1">IFERROR(__xludf.DUMMYFUNCTION("""COMPUTED_VALUE"""),"Employer who appreciates learning and enables that environment")</f>
        <v>Employer who appreciates learning and enables that environment</v>
      </c>
      <c r="M146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60"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460" s="1" t="str">
        <f ca="1">IFERROR(__xludf.DUMMYFUNCTION("""COMPUTED_VALUE"""),"Manager who explains what is expected, sets a goal and helps achieve it")</f>
        <v>Manager who explains what is expected, sets a goal and helps achieve it</v>
      </c>
      <c r="P146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60" s="1"/>
    </row>
    <row r="1461" spans="1:17" ht="13.2" x14ac:dyDescent="0.25">
      <c r="A1461" s="2">
        <f ca="1">IFERROR(__xludf.DUMMYFUNCTION("""COMPUTED_VALUE"""),45045.387292824)</f>
        <v>45045.387292824002</v>
      </c>
      <c r="B1461" s="1" t="str">
        <f ca="1">IFERROR(__xludf.DUMMYFUNCTION("""COMPUTED_VALUE"""),"India")</f>
        <v>India</v>
      </c>
      <c r="C1461" s="1">
        <f ca="1">IFERROR(__xludf.DUMMYFUNCTION("""COMPUTED_VALUE"""),641006)</f>
        <v>641006</v>
      </c>
      <c r="D1461" s="3" t="str">
        <f ca="1">IFERROR(__xludf.DUMMYFUNCTION("""COMPUTED_VALUE"""),"Female")</f>
        <v>Female</v>
      </c>
      <c r="E1461" s="1" t="str">
        <f ca="1">IFERROR(__xludf.DUMMYFUNCTION("""COMPUTED_VALUE"""),"People who have changed the world for better")</f>
        <v>People who have changed the world for better</v>
      </c>
      <c r="F1461" s="1" t="str">
        <f ca="1">IFERROR(__xludf.DUMMYFUNCTION("""COMPUTED_VALUE"""),"No I would not be pursuing Higher Education outside of India")</f>
        <v>No I would not be pursuing Higher Education outside of India</v>
      </c>
      <c r="G1461" s="1" t="str">
        <f ca="1">IFERROR(__xludf.DUMMYFUNCTION("""COMPUTED_VALUE"""),"This will be hard to do, but if it is the right company I would try")</f>
        <v>This will be hard to do, but if it is the right company I would try</v>
      </c>
      <c r="H1461" s="1" t="str">
        <f ca="1">IFERROR(__xludf.DUMMYFUNCTION("""COMPUTED_VALUE"""),"No")</f>
        <v>No</v>
      </c>
      <c r="I1461" s="1" t="str">
        <f ca="1">IFERROR(__xludf.DUMMYFUNCTION("""COMPUTED_VALUE"""),"Will work for them")</f>
        <v>Will work for them</v>
      </c>
      <c r="J1461" s="1">
        <f ca="1">IFERROR(__xludf.DUMMYFUNCTION("""COMPUTED_VALUE"""),7)</f>
        <v>7</v>
      </c>
      <c r="K1461" s="1" t="str">
        <f ca="1">IFERROR(__xludf.DUMMYFUNCTION("""COMPUTED_VALUE"""),"Every Day Office Environment")</f>
        <v>Every Day Office Environment</v>
      </c>
      <c r="L1461" s="1" t="str">
        <f ca="1">IFERROR(__xludf.DUMMYFUNCTION("""COMPUTED_VALUE"""),"Employer who pushes your limits by enabling an learning environment, and rewards you at the end")</f>
        <v>Employer who pushes your limits by enabling an learning environment, and rewards you at the end</v>
      </c>
      <c r="M14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6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61" s="1" t="str">
        <f ca="1">IFERROR(__xludf.DUMMYFUNCTION("""COMPUTED_VALUE"""),"Manager who clearly describes what she/he needs")</f>
        <v>Manager who clearly describes what she/he needs</v>
      </c>
      <c r="P1461" s="1" t="str">
        <f ca="1">IFERROR(__xludf.DUMMYFUNCTION("""COMPUTED_VALUE"""),"Work with 5 to 6 people in my team, Work with more than 10 people in my team")</f>
        <v>Work with 5 to 6 people in my team, Work with more than 10 people in my team</v>
      </c>
      <c r="Q1461" s="1"/>
    </row>
    <row r="1462" spans="1:17" ht="13.2" x14ac:dyDescent="0.25">
      <c r="A1462" s="2">
        <f ca="1">IFERROR(__xludf.DUMMYFUNCTION("""COMPUTED_VALUE"""),45045.40869603)</f>
        <v>45045.408696029997</v>
      </c>
      <c r="B1462" s="1" t="str">
        <f ca="1">IFERROR(__xludf.DUMMYFUNCTION("""COMPUTED_VALUE"""),"India")</f>
        <v>India</v>
      </c>
      <c r="C1462" s="1">
        <f ca="1">IFERROR(__xludf.DUMMYFUNCTION("""COMPUTED_VALUE"""),201306)</f>
        <v>201306</v>
      </c>
      <c r="D1462" s="3" t="str">
        <f ca="1">IFERROR(__xludf.DUMMYFUNCTION("""COMPUTED_VALUE"""),"Male")</f>
        <v>Male</v>
      </c>
      <c r="E1462" s="1" t="str">
        <f ca="1">IFERROR(__xludf.DUMMYFUNCTION("""COMPUTED_VALUE"""),"My Parents")</f>
        <v>My Parents</v>
      </c>
      <c r="F1462" s="1" t="str">
        <f ca="1">IFERROR(__xludf.DUMMYFUNCTION("""COMPUTED_VALUE"""),"Yes, I will earn and do that")</f>
        <v>Yes, I will earn and do that</v>
      </c>
      <c r="G1462" s="1" t="str">
        <f ca="1">IFERROR(__xludf.DUMMYFUNCTION("""COMPUTED_VALUE"""),"This will be hard to do, but if it is the right company I would try")</f>
        <v>This will be hard to do, but if it is the right company I would try</v>
      </c>
      <c r="H1462" s="1" t="str">
        <f ca="1">IFERROR(__xludf.DUMMYFUNCTION("""COMPUTED_VALUE"""),"No")</f>
        <v>No</v>
      </c>
      <c r="I1462" s="1" t="str">
        <f ca="1">IFERROR(__xludf.DUMMYFUNCTION("""COMPUTED_VALUE"""),"Will NOT work for them")</f>
        <v>Will NOT work for them</v>
      </c>
      <c r="J1462" s="1">
        <f ca="1">IFERROR(__xludf.DUMMYFUNCTION("""COMPUTED_VALUE"""),3)</f>
        <v>3</v>
      </c>
      <c r="K1462" s="1" t="str">
        <f ca="1">IFERROR(__xludf.DUMMYFUNCTION("""COMPUTED_VALUE"""),"Hybrid Working Environment with more than 15 days a month at office")</f>
        <v>Hybrid Working Environment with more than 15 days a month at office</v>
      </c>
      <c r="L1462" s="1" t="str">
        <f ca="1">IFERROR(__xludf.DUMMYFUNCTION("""COMPUTED_VALUE"""),"Employer who pushes your limits by enabling an learning environment, and rewards you at the end")</f>
        <v>Employer who pushes your limits by enabling an learning environment, and rewards you at the end</v>
      </c>
      <c r="M14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62"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462" s="1" t="str">
        <f ca="1">IFERROR(__xludf.DUMMYFUNCTION("""COMPUTED_VALUE"""),"Manager who explains what is expected, sets a goal and helps achieve it")</f>
        <v>Manager who explains what is expected, sets a goal and helps achieve it</v>
      </c>
      <c r="P1462" s="1" t="str">
        <f ca="1">IFERROR(__xludf.DUMMYFUNCTION("""COMPUTED_VALUE"""),"Work with more than 10 people in my team")</f>
        <v>Work with more than 10 people in my team</v>
      </c>
      <c r="Q1462" s="1"/>
    </row>
    <row r="1463" spans="1:17" ht="13.2" x14ac:dyDescent="0.25">
      <c r="A1463" s="2">
        <f ca="1">IFERROR(__xludf.DUMMYFUNCTION("""COMPUTED_VALUE"""),45045.4124406365)</f>
        <v>45045.412440636501</v>
      </c>
      <c r="B1463" s="1" t="str">
        <f ca="1">IFERROR(__xludf.DUMMYFUNCTION("""COMPUTED_VALUE"""),"India")</f>
        <v>India</v>
      </c>
      <c r="C1463" s="1">
        <f ca="1">IFERROR(__xludf.DUMMYFUNCTION("""COMPUTED_VALUE"""),110092)</f>
        <v>110092</v>
      </c>
      <c r="D1463" s="3" t="str">
        <f ca="1">IFERROR(__xludf.DUMMYFUNCTION("""COMPUTED_VALUE"""),"Male")</f>
        <v>Male</v>
      </c>
      <c r="E1463" s="1" t="str">
        <f ca="1">IFERROR(__xludf.DUMMYFUNCTION("""COMPUTED_VALUE"""),"Social Media like LinkedIn")</f>
        <v>Social Media like LinkedIn</v>
      </c>
      <c r="F1463" s="1" t="str">
        <f ca="1">IFERROR(__xludf.DUMMYFUNCTION("""COMPUTED_VALUE"""),"No I would not be pursuing Higher Education outside of India")</f>
        <v>No I would not be pursuing Higher Education outside of India</v>
      </c>
      <c r="G1463" s="1" t="str">
        <f ca="1">IFERROR(__xludf.DUMMYFUNCTION("""COMPUTED_VALUE"""),"Will work for 3 years or more")</f>
        <v>Will work for 3 years or more</v>
      </c>
      <c r="H1463" s="1" t="str">
        <f ca="1">IFERROR(__xludf.DUMMYFUNCTION("""COMPUTED_VALUE"""),"No")</f>
        <v>No</v>
      </c>
      <c r="I1463" s="1" t="str">
        <f ca="1">IFERROR(__xludf.DUMMYFUNCTION("""COMPUTED_VALUE"""),"Will NOT work for them")</f>
        <v>Will NOT work for them</v>
      </c>
      <c r="J1463" s="1">
        <f ca="1">IFERROR(__xludf.DUMMYFUNCTION("""COMPUTED_VALUE"""),1)</f>
        <v>1</v>
      </c>
      <c r="K1463" s="1" t="str">
        <f ca="1">IFERROR(__xludf.DUMMYFUNCTION("""COMPUTED_VALUE"""),"Every Day Office Environment")</f>
        <v>Every Day Office Environment</v>
      </c>
      <c r="L1463" s="1" t="str">
        <f ca="1">IFERROR(__xludf.DUMMYFUNCTION("""COMPUTED_VALUE"""),"Employer who pushes your limits by enabling an learning environment, and rewards you at the end")</f>
        <v>Employer who pushes your limits by enabling an learning environment, and rewards you at the end</v>
      </c>
      <c r="M146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63" s="1" t="str">
        <f ca="1">IFERROR(__xludf.DUMMYFUNCTION("""COMPUTED_VALUE"""),"Business Operations in any organization, Look deeply into Data and generate insights, Work in a BPO setup for some well known client, Work as a freelancer and do my thing my way")</f>
        <v>Business Operations in any organization, Look deeply into Data and generate insights, Work in a BPO setup for some well known client, Work as a freelancer and do my thing my way</v>
      </c>
      <c r="O1463" s="1" t="str">
        <f ca="1">IFERROR(__xludf.DUMMYFUNCTION("""COMPUTED_VALUE"""),"Manager who explains what is expected, sets a goal and helps achieve it")</f>
        <v>Manager who explains what is expected, sets a goal and helps achieve it</v>
      </c>
      <c r="P1463" s="1" t="str">
        <f ca="1">IFERROR(__xludf.DUMMYFUNCTION("""COMPUTED_VALUE"""),"Work with more than 10 people in my team")</f>
        <v>Work with more than 10 people in my team</v>
      </c>
      <c r="Q1463" s="1"/>
    </row>
    <row r="1464" spans="1:17" ht="13.2" x14ac:dyDescent="0.25">
      <c r="A1464" s="2">
        <f ca="1">IFERROR(__xludf.DUMMYFUNCTION("""COMPUTED_VALUE"""),45045.4146012731)</f>
        <v>45045.4146012731</v>
      </c>
      <c r="B1464" s="1" t="str">
        <f ca="1">IFERROR(__xludf.DUMMYFUNCTION("""COMPUTED_VALUE"""),"India")</f>
        <v>India</v>
      </c>
      <c r="C1464" s="1">
        <f ca="1">IFERROR(__xludf.DUMMYFUNCTION("""COMPUTED_VALUE"""),201301)</f>
        <v>201301</v>
      </c>
      <c r="D1464" s="3" t="str">
        <f ca="1">IFERROR(__xludf.DUMMYFUNCTION("""COMPUTED_VALUE"""),"Female")</f>
        <v>Female</v>
      </c>
      <c r="E1464" s="1" t="str">
        <f ca="1">IFERROR(__xludf.DUMMYFUNCTION("""COMPUTED_VALUE"""),"People who have changed the world for better")</f>
        <v>People who have changed the world for better</v>
      </c>
      <c r="F1464" s="1" t="str">
        <f ca="1">IFERROR(__xludf.DUMMYFUNCTION("""COMPUTED_VALUE"""),"Yes, I will earn and do that")</f>
        <v>Yes, I will earn and do that</v>
      </c>
      <c r="G1464" s="1" t="str">
        <f ca="1">IFERROR(__xludf.DUMMYFUNCTION("""COMPUTED_VALUE"""),"Will work for 3 years or more")</f>
        <v>Will work for 3 years or more</v>
      </c>
      <c r="H1464" s="1" t="str">
        <f ca="1">IFERROR(__xludf.DUMMYFUNCTION("""COMPUTED_VALUE"""),"Yes")</f>
        <v>Yes</v>
      </c>
      <c r="I1464" s="1" t="str">
        <f ca="1">IFERROR(__xludf.DUMMYFUNCTION("""COMPUTED_VALUE"""),"Will NOT work for them")</f>
        <v>Will NOT work for them</v>
      </c>
      <c r="J1464" s="1">
        <f ca="1">IFERROR(__xludf.DUMMYFUNCTION("""COMPUTED_VALUE"""),8)</f>
        <v>8</v>
      </c>
      <c r="K1464" s="1" t="str">
        <f ca="1">IFERROR(__xludf.DUMMYFUNCTION("""COMPUTED_VALUE"""),"Hybrid Working Environment with less than 3 days a month at office")</f>
        <v>Hybrid Working Environment with less than 3 days a month at office</v>
      </c>
      <c r="L1464" s="1" t="str">
        <f ca="1">IFERROR(__xludf.DUMMYFUNCTION("""COMPUTED_VALUE"""),"Employer who appreciates learning and enables that environment")</f>
        <v>Employer who appreciates learning and enables that environment</v>
      </c>
      <c r="M146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1464" s="1" t="str">
        <f ca="1">IFERROR(__xludf.DUMMYFUNCTION("""COMPUTED_VALUE"""),"Manager who explains what is expected, sets a goal and helps achieve it")</f>
        <v>Manager who explains what is expected, sets a goal and helps achieve it</v>
      </c>
      <c r="P1464"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464" s="1"/>
    </row>
    <row r="1465" spans="1:17" ht="13.2" x14ac:dyDescent="0.25">
      <c r="A1465" s="2">
        <f ca="1">IFERROR(__xludf.DUMMYFUNCTION("""COMPUTED_VALUE"""),45045.4153253009)</f>
        <v>45045.415325300899</v>
      </c>
      <c r="B1465" s="1" t="str">
        <f ca="1">IFERROR(__xludf.DUMMYFUNCTION("""COMPUTED_VALUE"""),"India")</f>
        <v>India</v>
      </c>
      <c r="C1465" s="1">
        <f ca="1">IFERROR(__xludf.DUMMYFUNCTION("""COMPUTED_VALUE"""),628552)</f>
        <v>628552</v>
      </c>
      <c r="D1465" s="3" t="str">
        <f ca="1">IFERROR(__xludf.DUMMYFUNCTION("""COMPUTED_VALUE"""),"Male")</f>
        <v>Male</v>
      </c>
      <c r="E1465" s="1" t="str">
        <f ca="1">IFERROR(__xludf.DUMMYFUNCTION("""COMPUTED_VALUE"""),"Social Media like LinkedIn")</f>
        <v>Social Media like LinkedIn</v>
      </c>
      <c r="F1465" s="1" t="str">
        <f ca="1">IFERROR(__xludf.DUMMYFUNCTION("""COMPUTED_VALUE"""),"Yes, I will earn and do that")</f>
        <v>Yes, I will earn and do that</v>
      </c>
      <c r="G1465" s="1" t="str">
        <f ca="1">IFERROR(__xludf.DUMMYFUNCTION("""COMPUTED_VALUE"""),"This will be hard to do, but if it is the right company I would try")</f>
        <v>This will be hard to do, but if it is the right company I would try</v>
      </c>
      <c r="H1465" s="1" t="str">
        <f ca="1">IFERROR(__xludf.DUMMYFUNCTION("""COMPUTED_VALUE"""),"Yes")</f>
        <v>Yes</v>
      </c>
      <c r="I1465" s="1" t="str">
        <f ca="1">IFERROR(__xludf.DUMMYFUNCTION("""COMPUTED_VALUE"""),"Will work for them")</f>
        <v>Will work for them</v>
      </c>
      <c r="J1465" s="1">
        <f ca="1">IFERROR(__xludf.DUMMYFUNCTION("""COMPUTED_VALUE"""),7)</f>
        <v>7</v>
      </c>
      <c r="K1465" s="1" t="str">
        <f ca="1">IFERROR(__xludf.DUMMYFUNCTION("""COMPUTED_VALUE"""),"Every Day Office Environment")</f>
        <v>Every Day Office Environment</v>
      </c>
      <c r="L1465" s="1" t="str">
        <f ca="1">IFERROR(__xludf.DUMMYFUNCTION("""COMPUTED_VALUE"""),"Employer who appreciates learning and enables that environment")</f>
        <v>Employer who appreciates learning and enables that environment</v>
      </c>
      <c r="M1465"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65"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465" s="1" t="str">
        <f ca="1">IFERROR(__xludf.DUMMYFUNCTION("""COMPUTED_VALUE"""),"Manager who explains what is expected, sets a goal and helps achieve it")</f>
        <v>Manager who explains what is expected, sets a goal and helps achieve it</v>
      </c>
      <c r="P1465" s="1" t="str">
        <f ca="1">IFERROR(__xludf.DUMMYFUNCTION("""COMPUTED_VALUE"""),"Work with 2 to 3 people in my team")</f>
        <v>Work with 2 to 3 people in my team</v>
      </c>
      <c r="Q1465" s="1"/>
    </row>
    <row r="1466" spans="1:17" ht="13.2" x14ac:dyDescent="0.25">
      <c r="A1466" s="2">
        <f ca="1">IFERROR(__xludf.DUMMYFUNCTION("""COMPUTED_VALUE"""),45045.418949155)</f>
        <v>45045.418949154999</v>
      </c>
      <c r="B1466" s="1" t="str">
        <f ca="1">IFERROR(__xludf.DUMMYFUNCTION("""COMPUTED_VALUE"""),"India")</f>
        <v>India</v>
      </c>
      <c r="C1466" s="1">
        <f ca="1">IFERROR(__xludf.DUMMYFUNCTION("""COMPUTED_VALUE"""),110096)</f>
        <v>110096</v>
      </c>
      <c r="D1466" s="3" t="str">
        <f ca="1">IFERROR(__xludf.DUMMYFUNCTION("""COMPUTED_VALUE"""),"Male")</f>
        <v>Male</v>
      </c>
      <c r="E1466" s="1" t="str">
        <f ca="1">IFERROR(__xludf.DUMMYFUNCTION("""COMPUTED_VALUE"""),"Social Media like LinkedIn")</f>
        <v>Social Media like LinkedIn</v>
      </c>
      <c r="F1466" s="1" t="str">
        <f ca="1">IFERROR(__xludf.DUMMYFUNCTION("""COMPUTED_VALUE"""),"Yes, I will earn and do that")</f>
        <v>Yes, I will earn and do that</v>
      </c>
      <c r="G1466" s="1" t="str">
        <f ca="1">IFERROR(__xludf.DUMMYFUNCTION("""COMPUTED_VALUE"""),"Will work for 3 years or more")</f>
        <v>Will work for 3 years or more</v>
      </c>
      <c r="H1466" s="1" t="str">
        <f ca="1">IFERROR(__xludf.DUMMYFUNCTION("""COMPUTED_VALUE"""),"Yes")</f>
        <v>Yes</v>
      </c>
      <c r="I1466" s="1" t="str">
        <f ca="1">IFERROR(__xludf.DUMMYFUNCTION("""COMPUTED_VALUE"""),"Will NOT work for them")</f>
        <v>Will NOT work for them</v>
      </c>
      <c r="J1466" s="1">
        <f ca="1">IFERROR(__xludf.DUMMYFUNCTION("""COMPUTED_VALUE"""),10)</f>
        <v>10</v>
      </c>
      <c r="K1466" s="1" t="str">
        <f ca="1">IFERROR(__xludf.DUMMYFUNCTION("""COMPUTED_VALUE"""),"Hybrid Working Environment with more than 15 days a month at office")</f>
        <v>Hybrid Working Environment with more than 15 days a month at office</v>
      </c>
      <c r="L1466" s="1" t="str">
        <f ca="1">IFERROR(__xludf.DUMMYFUNCTION("""COMPUTED_VALUE"""),"Employer who appreciates learning and enables that environment")</f>
        <v>Employer who appreciates learning and enables that environment</v>
      </c>
      <c r="M1466" s="1" t="str">
        <f ca="1">IFERROR(__xludf.DUMMYFUNCTION("""COMPUTED_VALUE"""),"Self Paced Learning Portals of the Company, Learning by observing others, Manager Teaching you")</f>
        <v>Self Paced Learning Portals of the Company, Learning by observing others, Manager Teaching you</v>
      </c>
      <c r="N1466" s="1" t="str">
        <f ca="1">IFERROR(__xludf.DUMMYFUNCTION("""COMPUTED_VALUE"""),"Business Operations in any organization, Work in a BPO setup for some well known client, Work as a freelancer and do my thing my way, Entrepreneur or Start Up")</f>
        <v>Business Operations in any organization, Work in a BPO setup for some well known client, Work as a freelancer and do my thing my way, Entrepreneur or Start Up</v>
      </c>
      <c r="O1466" s="1" t="str">
        <f ca="1">IFERROR(__xludf.DUMMYFUNCTION("""COMPUTED_VALUE"""),"Manager who explains what is expected, sets a goal and helps achieve it")</f>
        <v>Manager who explains what is expected, sets a goal and helps achieve it</v>
      </c>
      <c r="P1466" s="1" t="str">
        <f ca="1">IFERROR(__xludf.DUMMYFUNCTION("""COMPUTED_VALUE"""),"Work with more than 10 people in my team")</f>
        <v>Work with more than 10 people in my team</v>
      </c>
      <c r="Q1466" s="1"/>
    </row>
    <row r="1467" spans="1:17" ht="13.2" x14ac:dyDescent="0.25">
      <c r="A1467" s="2">
        <f ca="1">IFERROR(__xludf.DUMMYFUNCTION("""COMPUTED_VALUE"""),45045.4277299999)</f>
        <v>45045.427729999901</v>
      </c>
      <c r="B1467" s="1" t="str">
        <f ca="1">IFERROR(__xludf.DUMMYFUNCTION("""COMPUTED_VALUE"""),"India")</f>
        <v>India</v>
      </c>
      <c r="C1467" s="1">
        <f ca="1">IFERROR(__xludf.DUMMYFUNCTION("""COMPUTED_VALUE"""),201301)</f>
        <v>201301</v>
      </c>
      <c r="D1467" s="3" t="str">
        <f ca="1">IFERROR(__xludf.DUMMYFUNCTION("""COMPUTED_VALUE"""),"Female")</f>
        <v>Female</v>
      </c>
      <c r="E1467" s="1" t="str">
        <f ca="1">IFERROR(__xludf.DUMMYFUNCTION("""COMPUTED_VALUE"""),"Social Media like LinkedIn")</f>
        <v>Social Media like LinkedIn</v>
      </c>
      <c r="F1467" s="1" t="str">
        <f ca="1">IFERROR(__xludf.DUMMYFUNCTION("""COMPUTED_VALUE"""),"Yes, I will earn and do that")</f>
        <v>Yes, I will earn and do that</v>
      </c>
      <c r="G1467" s="1" t="str">
        <f ca="1">IFERROR(__xludf.DUMMYFUNCTION("""COMPUTED_VALUE"""),"This will be hard to do, but if it is the right company I would try")</f>
        <v>This will be hard to do, but if it is the right company I would try</v>
      </c>
      <c r="H1467" s="1" t="str">
        <f ca="1">IFERROR(__xludf.DUMMYFUNCTION("""COMPUTED_VALUE"""),"Yes")</f>
        <v>Yes</v>
      </c>
      <c r="I1467" s="1" t="str">
        <f ca="1">IFERROR(__xludf.DUMMYFUNCTION("""COMPUTED_VALUE"""),"Will NOT work for them")</f>
        <v>Will NOT work for them</v>
      </c>
      <c r="J1467" s="1">
        <f ca="1">IFERROR(__xludf.DUMMYFUNCTION("""COMPUTED_VALUE"""),8)</f>
        <v>8</v>
      </c>
      <c r="K1467" s="1" t="str">
        <f ca="1">IFERROR(__xludf.DUMMYFUNCTION("""COMPUTED_VALUE"""),"Every Day Office Environment")</f>
        <v>Every Day Office Environment</v>
      </c>
      <c r="L1467" s="1" t="str">
        <f ca="1">IFERROR(__xludf.DUMMYFUNCTION("""COMPUTED_VALUE"""),"Employer who pushes your limits by enabling an learning environment, and rewards you at the end")</f>
        <v>Employer who pushes your limits by enabling an learning environment, and rewards you at the end</v>
      </c>
      <c r="M146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67"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67" s="1" t="str">
        <f ca="1">IFERROR(__xludf.DUMMYFUNCTION("""COMPUTED_VALUE"""),"Manager who explains what is expected, sets a goal and helps achieve it")</f>
        <v>Manager who explains what is expected, sets a goal and helps achieve it</v>
      </c>
      <c r="P1467" s="1" t="str">
        <f ca="1">IFERROR(__xludf.DUMMYFUNCTION("""COMPUTED_VALUE"""),"Work with more than 10 people in my team")</f>
        <v>Work with more than 10 people in my team</v>
      </c>
      <c r="Q1467" s="1"/>
    </row>
    <row r="1468" spans="1:17" ht="13.2" x14ac:dyDescent="0.25">
      <c r="A1468" s="2">
        <f ca="1">IFERROR(__xludf.DUMMYFUNCTION("""COMPUTED_VALUE"""),45045.4292243402)</f>
        <v>45045.429224340201</v>
      </c>
      <c r="B1468" s="1" t="str">
        <f ca="1">IFERROR(__xludf.DUMMYFUNCTION("""COMPUTED_VALUE"""),"India")</f>
        <v>India</v>
      </c>
      <c r="C1468" s="1">
        <f ca="1">IFERROR(__xludf.DUMMYFUNCTION("""COMPUTED_VALUE"""),201301)</f>
        <v>201301</v>
      </c>
      <c r="D1468" s="3" t="str">
        <f ca="1">IFERROR(__xludf.DUMMYFUNCTION("""COMPUTED_VALUE"""),"Female")</f>
        <v>Female</v>
      </c>
      <c r="E1468" s="1" t="str">
        <f ca="1">IFERROR(__xludf.DUMMYFUNCTION("""COMPUTED_VALUE"""),"Social Media like LinkedIn")</f>
        <v>Social Media like LinkedIn</v>
      </c>
      <c r="F1468" s="1" t="str">
        <f ca="1">IFERROR(__xludf.DUMMYFUNCTION("""COMPUTED_VALUE"""),"Yes, I will earn and do that")</f>
        <v>Yes, I will earn and do that</v>
      </c>
      <c r="G1468" s="1" t="str">
        <f ca="1">IFERROR(__xludf.DUMMYFUNCTION("""COMPUTED_VALUE"""),"This will be hard to do, but if it is the right company I would try")</f>
        <v>This will be hard to do, but if it is the right company I would try</v>
      </c>
      <c r="H1468" s="1" t="str">
        <f ca="1">IFERROR(__xludf.DUMMYFUNCTION("""COMPUTED_VALUE"""),"No")</f>
        <v>No</v>
      </c>
      <c r="I1468" s="1" t="str">
        <f ca="1">IFERROR(__xludf.DUMMYFUNCTION("""COMPUTED_VALUE"""),"Will NOT work for them")</f>
        <v>Will NOT work for them</v>
      </c>
      <c r="J1468" s="1">
        <f ca="1">IFERROR(__xludf.DUMMYFUNCTION("""COMPUTED_VALUE"""),9)</f>
        <v>9</v>
      </c>
      <c r="K1468" s="1" t="str">
        <f ca="1">IFERROR(__xludf.DUMMYFUNCTION("""COMPUTED_VALUE"""),"Hybrid Working Environment with less than 3 days a month at office")</f>
        <v>Hybrid Working Environment with less than 3 days a month at office</v>
      </c>
      <c r="L1468" s="1" t="str">
        <f ca="1">IFERROR(__xludf.DUMMYFUNCTION("""COMPUTED_VALUE"""),"Employer who rewards learning and enables that environment")</f>
        <v>Employer who rewards learning and enables that environment</v>
      </c>
      <c r="M14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8"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468" s="1" t="str">
        <f ca="1">IFERROR(__xludf.DUMMYFUNCTION("""COMPUTED_VALUE"""),"Manager who clearly describes what she/he needs")</f>
        <v>Manager who clearly describes what she/he needs</v>
      </c>
      <c r="P1468" s="1" t="str">
        <f ca="1">IFERROR(__xludf.DUMMYFUNCTION("""COMPUTED_VALUE"""),"Work with 2 to 3 people in my team")</f>
        <v>Work with 2 to 3 people in my team</v>
      </c>
      <c r="Q1468" s="1"/>
    </row>
    <row r="1469" spans="1:17" ht="13.2" x14ac:dyDescent="0.25">
      <c r="A1469" s="2">
        <f ca="1">IFERROR(__xludf.DUMMYFUNCTION("""COMPUTED_VALUE"""),45045.4318748148)</f>
        <v>45045.4318748148</v>
      </c>
      <c r="B1469" s="1" t="str">
        <f ca="1">IFERROR(__xludf.DUMMYFUNCTION("""COMPUTED_VALUE"""),"India")</f>
        <v>India</v>
      </c>
      <c r="C1469" s="1">
        <f ca="1">IFERROR(__xludf.DUMMYFUNCTION("""COMPUTED_VALUE"""),110092)</f>
        <v>110092</v>
      </c>
      <c r="D1469" s="3" t="str">
        <f ca="1">IFERROR(__xludf.DUMMYFUNCTION("""COMPUTED_VALUE"""),"Male")</f>
        <v>Male</v>
      </c>
      <c r="E1469" s="1" t="str">
        <f ca="1">IFERROR(__xludf.DUMMYFUNCTION("""COMPUTED_VALUE"""),"Social Media like LinkedIn")</f>
        <v>Social Media like LinkedIn</v>
      </c>
      <c r="F1469" s="1" t="str">
        <f ca="1">IFERROR(__xludf.DUMMYFUNCTION("""COMPUTED_VALUE"""),"Yes, I will earn and do that")</f>
        <v>Yes, I will earn and do that</v>
      </c>
      <c r="G1469" s="1" t="str">
        <f ca="1">IFERROR(__xludf.DUMMYFUNCTION("""COMPUTED_VALUE"""),"This will be hard to do, but if it is the right company I would try")</f>
        <v>This will be hard to do, but if it is the right company I would try</v>
      </c>
      <c r="H1469" s="1" t="str">
        <f ca="1">IFERROR(__xludf.DUMMYFUNCTION("""COMPUTED_VALUE"""),"Yes")</f>
        <v>Yes</v>
      </c>
      <c r="I1469" s="1" t="str">
        <f ca="1">IFERROR(__xludf.DUMMYFUNCTION("""COMPUTED_VALUE"""),"Will NOT work for them")</f>
        <v>Will NOT work for them</v>
      </c>
      <c r="J1469" s="1">
        <f ca="1">IFERROR(__xludf.DUMMYFUNCTION("""COMPUTED_VALUE"""),3)</f>
        <v>3</v>
      </c>
      <c r="K1469" s="1" t="str">
        <f ca="1">IFERROR(__xludf.DUMMYFUNCTION("""COMPUTED_VALUE"""),"Fully Remote with Options to travel as and when needed")</f>
        <v>Fully Remote with Options to travel as and when needed</v>
      </c>
      <c r="L1469" s="1" t="str">
        <f ca="1">IFERROR(__xludf.DUMMYFUNCTION("""COMPUTED_VALUE"""),"Employer who pushes your limits and doesn't enables learning environment and never rewards you")</f>
        <v>Employer who pushes your limits and doesn't enables learning environment and never rewards you</v>
      </c>
      <c r="M14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9" s="1" t="str">
        <f ca="1">IFERROR(__xludf.DUMMYFUNCTION("""COMPUTED_VALUE"""),"Business Operations in any organization, Design and Develop amazing software, Work in a BPO setup for some well known client, Entrepreneur or Start Up")</f>
        <v>Business Operations in any organization, Design and Develop amazing software, Work in a BPO setup for some well known client, Entrepreneur or Start Up</v>
      </c>
      <c r="O1469" s="1" t="str">
        <f ca="1">IFERROR(__xludf.DUMMYFUNCTION("""COMPUTED_VALUE"""),"Manager who sets goal and helps me achieve it")</f>
        <v>Manager who sets goal and helps me achieve it</v>
      </c>
      <c r="P1469" s="1" t="str">
        <f ca="1">IFERROR(__xludf.DUMMYFUNCTION("""COMPUTED_VALUE"""),"Work with more than 10 people in my team")</f>
        <v>Work with more than 10 people in my team</v>
      </c>
      <c r="Q1469" s="1"/>
    </row>
    <row r="1470" spans="1:17" ht="13.2" x14ac:dyDescent="0.25">
      <c r="A1470" s="2">
        <f ca="1">IFERROR(__xludf.DUMMYFUNCTION("""COMPUTED_VALUE"""),45045.4320789467)</f>
        <v>45045.432078946702</v>
      </c>
      <c r="B1470" s="1" t="str">
        <f ca="1">IFERROR(__xludf.DUMMYFUNCTION("""COMPUTED_VALUE"""),"India")</f>
        <v>India</v>
      </c>
      <c r="C1470" s="1">
        <f ca="1">IFERROR(__xludf.DUMMYFUNCTION("""COMPUTED_VALUE"""),201301)</f>
        <v>201301</v>
      </c>
      <c r="D1470" s="3" t="str">
        <f ca="1">IFERROR(__xludf.DUMMYFUNCTION("""COMPUTED_VALUE"""),"Male")</f>
        <v>Male</v>
      </c>
      <c r="E1470" s="1" t="str">
        <f ca="1">IFERROR(__xludf.DUMMYFUNCTION("""COMPUTED_VALUE"""),"People from my circle, but not family members")</f>
        <v>People from my circle, but not family members</v>
      </c>
      <c r="F1470" s="1" t="str">
        <f ca="1">IFERROR(__xludf.DUMMYFUNCTION("""COMPUTED_VALUE"""),"No, But if someone could bare the cost I will")</f>
        <v>No, But if someone could bare the cost I will</v>
      </c>
      <c r="G1470" s="1" t="str">
        <f ca="1">IFERROR(__xludf.DUMMYFUNCTION("""COMPUTED_VALUE"""),"This will be hard to do, but if it is the right company I would try")</f>
        <v>This will be hard to do, but if it is the right company I would try</v>
      </c>
      <c r="H1470" s="1" t="str">
        <f ca="1">IFERROR(__xludf.DUMMYFUNCTION("""COMPUTED_VALUE"""),"Yes")</f>
        <v>Yes</v>
      </c>
      <c r="I1470" s="1" t="str">
        <f ca="1">IFERROR(__xludf.DUMMYFUNCTION("""COMPUTED_VALUE"""),"Will NOT work for them")</f>
        <v>Will NOT work for them</v>
      </c>
      <c r="J1470" s="1">
        <f ca="1">IFERROR(__xludf.DUMMYFUNCTION("""COMPUTED_VALUE"""),3)</f>
        <v>3</v>
      </c>
      <c r="K1470" s="1" t="str">
        <f ca="1">IFERROR(__xludf.DUMMYFUNCTION("""COMPUTED_VALUE"""),"Fully Remote with Options to travel as and when needed")</f>
        <v>Fully Remote with Options to travel as and when needed</v>
      </c>
      <c r="L1470" s="1" t="str">
        <f ca="1">IFERROR(__xludf.DUMMYFUNCTION("""COMPUTED_VALUE"""),"Employer who rewards learning and enables that environment")</f>
        <v>Employer who rewards learning and enables that environment</v>
      </c>
      <c r="M14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0" s="1" t="str">
        <f ca="1">IFERROR(__xludf.DUMMYFUNCTION("""COMPUTED_VALUE"""),"Look deeply into Data and generate insights, Work in a BPO setup for some well known client, Work as a freelancer and do my thing my way, Entrepreneur or Start Up")</f>
        <v>Look deeply into Data and generate insights, Work in a BPO setup for some well known client, Work as a freelancer and do my thing my way, Entrepreneur or Start Up</v>
      </c>
      <c r="O1470" s="1" t="str">
        <f ca="1">IFERROR(__xludf.DUMMYFUNCTION("""COMPUTED_VALUE"""),"Manager who sets goal and helps me achieve it")</f>
        <v>Manager who sets goal and helps me achieve it</v>
      </c>
      <c r="P1470" s="1" t="str">
        <f ca="1">IFERROR(__xludf.DUMMYFUNCTION("""COMPUTED_VALUE"""),"Work with more than 10 people in my team")</f>
        <v>Work with more than 10 people in my team</v>
      </c>
      <c r="Q1470" s="1"/>
    </row>
    <row r="1471" spans="1:17" ht="13.2" x14ac:dyDescent="0.25">
      <c r="A1471" s="2">
        <f ca="1">IFERROR(__xludf.DUMMYFUNCTION("""COMPUTED_VALUE"""),45045.4413526273)</f>
        <v>45045.441352627298</v>
      </c>
      <c r="B1471" s="1" t="str">
        <f ca="1">IFERROR(__xludf.DUMMYFUNCTION("""COMPUTED_VALUE"""),"India")</f>
        <v>India</v>
      </c>
      <c r="C1471" s="1">
        <f ca="1">IFERROR(__xludf.DUMMYFUNCTION("""COMPUTED_VALUE"""),121003)</f>
        <v>121003</v>
      </c>
      <c r="D1471" s="3" t="str">
        <f ca="1">IFERROR(__xludf.DUMMYFUNCTION("""COMPUTED_VALUE"""),"Male")</f>
        <v>Male</v>
      </c>
      <c r="E1471" s="1" t="str">
        <f ca="1">IFERROR(__xludf.DUMMYFUNCTION("""COMPUTED_VALUE"""),"My Parents")</f>
        <v>My Parents</v>
      </c>
      <c r="F1471" s="1" t="str">
        <f ca="1">IFERROR(__xludf.DUMMYFUNCTION("""COMPUTED_VALUE"""),"Yes, I will earn and do that")</f>
        <v>Yes, I will earn and do that</v>
      </c>
      <c r="G1471" s="1" t="str">
        <f ca="1">IFERROR(__xludf.DUMMYFUNCTION("""COMPUTED_VALUE"""),"This will be hard to do, but if it is the right company I would try")</f>
        <v>This will be hard to do, but if it is the right company I would try</v>
      </c>
      <c r="H1471" s="1" t="str">
        <f ca="1">IFERROR(__xludf.DUMMYFUNCTION("""COMPUTED_VALUE"""),"No")</f>
        <v>No</v>
      </c>
      <c r="I1471" s="1" t="str">
        <f ca="1">IFERROR(__xludf.DUMMYFUNCTION("""COMPUTED_VALUE"""),"Will NOT work for them")</f>
        <v>Will NOT work for them</v>
      </c>
      <c r="J1471" s="1">
        <f ca="1">IFERROR(__xludf.DUMMYFUNCTION("""COMPUTED_VALUE"""),1)</f>
        <v>1</v>
      </c>
      <c r="K1471" s="1" t="str">
        <f ca="1">IFERROR(__xludf.DUMMYFUNCTION("""COMPUTED_VALUE"""),"Hybrid Working Environment with more than 15 days a month at office")</f>
        <v>Hybrid Working Environment with more than 15 days a month at office</v>
      </c>
      <c r="L1471" s="1" t="str">
        <f ca="1">IFERROR(__xludf.DUMMYFUNCTION("""COMPUTED_VALUE"""),"Employer who pushes your limits by enabling an learning environment, and rewards you at the end")</f>
        <v>Employer who pushes your limits by enabling an learning environment, and rewards you at the end</v>
      </c>
      <c r="M147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71"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71" s="1" t="str">
        <f ca="1">IFERROR(__xludf.DUMMYFUNCTION("""COMPUTED_VALUE"""),"Manager who explains what is expected, sets a goal and helps achieve it")</f>
        <v>Manager who explains what is expected, sets a goal and helps achieve it</v>
      </c>
      <c r="P1471" s="1" t="str">
        <f ca="1">IFERROR(__xludf.DUMMYFUNCTION("""COMPUTED_VALUE"""),"Work with 7 to 10 or more people in my team")</f>
        <v>Work with 7 to 10 or more people in my team</v>
      </c>
      <c r="Q1471" s="1"/>
    </row>
    <row r="1472" spans="1:17" ht="13.2" x14ac:dyDescent="0.25">
      <c r="A1472" s="2">
        <f ca="1">IFERROR(__xludf.DUMMYFUNCTION("""COMPUTED_VALUE"""),45045.4484797106)</f>
        <v>45045.448479710598</v>
      </c>
      <c r="B1472" s="1" t="str">
        <f ca="1">IFERROR(__xludf.DUMMYFUNCTION("""COMPUTED_VALUE"""),"India")</f>
        <v>India</v>
      </c>
      <c r="C1472" s="1">
        <f ca="1">IFERROR(__xludf.DUMMYFUNCTION("""COMPUTED_VALUE"""),201010)</f>
        <v>201010</v>
      </c>
      <c r="D1472" s="3" t="str">
        <f ca="1">IFERROR(__xludf.DUMMYFUNCTION("""COMPUTED_VALUE"""),"Male")</f>
        <v>Male</v>
      </c>
      <c r="E1472" s="1" t="str">
        <f ca="1">IFERROR(__xludf.DUMMYFUNCTION("""COMPUTED_VALUE"""),"People from my circle, but not family members")</f>
        <v>People from my circle, but not family members</v>
      </c>
      <c r="F1472" s="1" t="str">
        <f ca="1">IFERROR(__xludf.DUMMYFUNCTION("""COMPUTED_VALUE"""),"Yes, I will earn and do that")</f>
        <v>Yes, I will earn and do that</v>
      </c>
      <c r="G1472" s="1" t="str">
        <f ca="1">IFERROR(__xludf.DUMMYFUNCTION("""COMPUTED_VALUE"""),"This will be hard to do, but if it is the right company I would try")</f>
        <v>This will be hard to do, but if it is the right company I would try</v>
      </c>
      <c r="H1472" s="1" t="str">
        <f ca="1">IFERROR(__xludf.DUMMYFUNCTION("""COMPUTED_VALUE"""),"Yes")</f>
        <v>Yes</v>
      </c>
      <c r="I1472" s="1" t="str">
        <f ca="1">IFERROR(__xludf.DUMMYFUNCTION("""COMPUTED_VALUE"""),"Will NOT work for them")</f>
        <v>Will NOT work for them</v>
      </c>
      <c r="J1472" s="1">
        <f ca="1">IFERROR(__xludf.DUMMYFUNCTION("""COMPUTED_VALUE"""),8)</f>
        <v>8</v>
      </c>
      <c r="K1472" s="1" t="str">
        <f ca="1">IFERROR(__xludf.DUMMYFUNCTION("""COMPUTED_VALUE"""),"Fully Remote with Options to travel as and when needed")</f>
        <v>Fully Remote with Options to travel as and when needed</v>
      </c>
      <c r="L1472" s="1" t="str">
        <f ca="1">IFERROR(__xludf.DUMMYFUNCTION("""COMPUTED_VALUE"""),"Employer who pushes your limits by enabling an learning environment, and rewards you at the end")</f>
        <v>Employer who pushes your limits by enabling an learning environment, and rewards you at the end</v>
      </c>
      <c r="M14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472" s="1" t="str">
        <f ca="1">IFERROR(__xludf.DUMMYFUNCTION("""COMPUTED_VALUE"""),"Manager who explains what is expected, sets a goal and helps achieve it")</f>
        <v>Manager who explains what is expected, sets a goal and helps achieve it</v>
      </c>
      <c r="P1472"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1472" s="1"/>
    </row>
    <row r="1473" spans="1:17" ht="13.2" x14ac:dyDescent="0.25">
      <c r="A1473" s="2">
        <f ca="1">IFERROR(__xludf.DUMMYFUNCTION("""COMPUTED_VALUE"""),45045.4496415625)</f>
        <v>45045.449641562504</v>
      </c>
      <c r="B1473" s="1" t="str">
        <f ca="1">IFERROR(__xludf.DUMMYFUNCTION("""COMPUTED_VALUE"""),"India")</f>
        <v>India</v>
      </c>
      <c r="C1473" s="1">
        <f ca="1">IFERROR(__xludf.DUMMYFUNCTION("""COMPUTED_VALUE"""),743127)</f>
        <v>743127</v>
      </c>
      <c r="D1473" s="3" t="str">
        <f ca="1">IFERROR(__xludf.DUMMYFUNCTION("""COMPUTED_VALUE"""),"Male")</f>
        <v>Male</v>
      </c>
      <c r="E1473" s="1" t="str">
        <f ca="1">IFERROR(__xludf.DUMMYFUNCTION("""COMPUTED_VALUE"""),"People who have changed the world for better")</f>
        <v>People who have changed the world for better</v>
      </c>
      <c r="F1473" s="1" t="str">
        <f ca="1">IFERROR(__xludf.DUMMYFUNCTION("""COMPUTED_VALUE"""),"Yes, I will earn and do that")</f>
        <v>Yes, I will earn and do that</v>
      </c>
      <c r="G1473" s="1" t="str">
        <f ca="1">IFERROR(__xludf.DUMMYFUNCTION("""COMPUTED_VALUE"""),"Will work for 3 years or more")</f>
        <v>Will work for 3 years or more</v>
      </c>
      <c r="H1473" s="1" t="str">
        <f ca="1">IFERROR(__xludf.DUMMYFUNCTION("""COMPUTED_VALUE"""),"Yes")</f>
        <v>Yes</v>
      </c>
      <c r="I1473" s="1" t="str">
        <f ca="1">IFERROR(__xludf.DUMMYFUNCTION("""COMPUTED_VALUE"""),"Will work for them")</f>
        <v>Will work for them</v>
      </c>
      <c r="J1473" s="1">
        <f ca="1">IFERROR(__xludf.DUMMYFUNCTION("""COMPUTED_VALUE"""),7)</f>
        <v>7</v>
      </c>
      <c r="K1473" s="1" t="str">
        <f ca="1">IFERROR(__xludf.DUMMYFUNCTION("""COMPUTED_VALUE"""),"Hybrid Working Environment with more than 15 days a month at office")</f>
        <v>Hybrid Working Environment with more than 15 days a month at office</v>
      </c>
      <c r="L1473" s="1" t="str">
        <f ca="1">IFERROR(__xludf.DUMMYFUNCTION("""COMPUTED_VALUE"""),"Employer who appreciates learning and enables that environment")</f>
        <v>Employer who appreciates learning and enables that environment</v>
      </c>
      <c r="M147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473" s="1" t="str">
        <f ca="1">IFERROR(__xludf.DUMMYFUNCTION("""COMPUTED_VALUE"""),"Manager who clearly describes what she/he needs")</f>
        <v>Manager who clearly describes what she/he needs</v>
      </c>
      <c r="P1473" s="1" t="str">
        <f ca="1">IFERROR(__xludf.DUMMYFUNCTION("""COMPUTED_VALUE"""),"Work with 2 to 3 people in my team")</f>
        <v>Work with 2 to 3 people in my team</v>
      </c>
      <c r="Q1473" s="1"/>
    </row>
    <row r="1474" spans="1:17" ht="13.2" x14ac:dyDescent="0.25">
      <c r="A1474" s="2">
        <f ca="1">IFERROR(__xludf.DUMMYFUNCTION("""COMPUTED_VALUE"""),45045.4621660069)</f>
        <v>45045.462166006902</v>
      </c>
      <c r="B1474" s="1" t="str">
        <f ca="1">IFERROR(__xludf.DUMMYFUNCTION("""COMPUTED_VALUE"""),"India")</f>
        <v>India</v>
      </c>
      <c r="C1474" s="1">
        <f ca="1">IFERROR(__xludf.DUMMYFUNCTION("""COMPUTED_VALUE"""),587102)</f>
        <v>587102</v>
      </c>
      <c r="D1474" s="3" t="str">
        <f ca="1">IFERROR(__xludf.DUMMYFUNCTION("""COMPUTED_VALUE"""),"Male")</f>
        <v>Male</v>
      </c>
      <c r="E1474" s="1" t="str">
        <f ca="1">IFERROR(__xludf.DUMMYFUNCTION("""COMPUTED_VALUE"""),"Influencers who had successful careers")</f>
        <v>Influencers who had successful careers</v>
      </c>
      <c r="F1474" s="1" t="str">
        <f ca="1">IFERROR(__xludf.DUMMYFUNCTION("""COMPUTED_VALUE"""),"No, But if someone could bare the cost I will")</f>
        <v>No, But if someone could bare the cost I will</v>
      </c>
      <c r="G1474" s="1" t="str">
        <f ca="1">IFERROR(__xludf.DUMMYFUNCTION("""COMPUTED_VALUE"""),"This will be hard to do, but if it is the right company I would try")</f>
        <v>This will be hard to do, but if it is the right company I would try</v>
      </c>
      <c r="H1474" s="1" t="str">
        <f ca="1">IFERROR(__xludf.DUMMYFUNCTION("""COMPUTED_VALUE"""),"No")</f>
        <v>No</v>
      </c>
      <c r="I1474" s="1" t="str">
        <f ca="1">IFERROR(__xludf.DUMMYFUNCTION("""COMPUTED_VALUE"""),"Will NOT work for them")</f>
        <v>Will NOT work for them</v>
      </c>
      <c r="J1474" s="1">
        <f ca="1">IFERROR(__xludf.DUMMYFUNCTION("""COMPUTED_VALUE"""),5)</f>
        <v>5</v>
      </c>
      <c r="K1474" s="1" t="str">
        <f ca="1">IFERROR(__xludf.DUMMYFUNCTION("""COMPUTED_VALUE"""),"Fully Remote with Options to travel as and when needed")</f>
        <v>Fully Remote with Options to travel as and when needed</v>
      </c>
      <c r="L1474" s="1" t="str">
        <f ca="1">IFERROR(__xludf.DUMMYFUNCTION("""COMPUTED_VALUE"""),"Employer who pushes your limits by enabling an learning environment, and rewards you at the end")</f>
        <v>Employer who pushes your limits by enabling an learning environment, and rewards you at the end</v>
      </c>
      <c r="M147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7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74" s="1" t="str">
        <f ca="1">IFERROR(__xludf.DUMMYFUNCTION("""COMPUTED_VALUE"""),"Manager who explains what is expected, sets a goal and helps achieve it")</f>
        <v>Manager who explains what is expected, sets a goal and helps achieve it</v>
      </c>
      <c r="P1474" s="1" t="str">
        <f ca="1">IFERROR(__xludf.DUMMYFUNCTION("""COMPUTED_VALUE"""),"Work alone, Work with 7 to 10 or more people in my team")</f>
        <v>Work alone, Work with 7 to 10 or more people in my team</v>
      </c>
      <c r="Q1474" s="1"/>
    </row>
    <row r="1475" spans="1:17" ht="13.2" x14ac:dyDescent="0.25">
      <c r="A1475" s="2">
        <f ca="1">IFERROR(__xludf.DUMMYFUNCTION("""COMPUTED_VALUE"""),45045.4631351157)</f>
        <v>45045.4631351157</v>
      </c>
      <c r="B1475" s="1" t="str">
        <f ca="1">IFERROR(__xludf.DUMMYFUNCTION("""COMPUTED_VALUE"""),"India")</f>
        <v>India</v>
      </c>
      <c r="C1475" s="1">
        <f ca="1">IFERROR(__xludf.DUMMYFUNCTION("""COMPUTED_VALUE"""),500008)</f>
        <v>500008</v>
      </c>
      <c r="D1475" s="3" t="str">
        <f ca="1">IFERROR(__xludf.DUMMYFUNCTION("""COMPUTED_VALUE"""),"Female")</f>
        <v>Female</v>
      </c>
      <c r="E1475" s="1" t="str">
        <f ca="1">IFERROR(__xludf.DUMMYFUNCTION("""COMPUTED_VALUE"""),"My Parents")</f>
        <v>My Parents</v>
      </c>
      <c r="F1475" s="1" t="str">
        <f ca="1">IFERROR(__xludf.DUMMYFUNCTION("""COMPUTED_VALUE"""),"No, But if someone could bare the cost I will")</f>
        <v>No, But if someone could bare the cost I will</v>
      </c>
      <c r="G1475" s="1" t="str">
        <f ca="1">IFERROR(__xludf.DUMMYFUNCTION("""COMPUTED_VALUE"""),"This will be hard to do, but if it is the right company I would try")</f>
        <v>This will be hard to do, but if it is the right company I would try</v>
      </c>
      <c r="H1475" s="1" t="str">
        <f ca="1">IFERROR(__xludf.DUMMYFUNCTION("""COMPUTED_VALUE"""),"No")</f>
        <v>No</v>
      </c>
      <c r="I1475" s="1" t="str">
        <f ca="1">IFERROR(__xludf.DUMMYFUNCTION("""COMPUTED_VALUE"""),"Will NOT work for them")</f>
        <v>Will NOT work for them</v>
      </c>
      <c r="J1475" s="1">
        <f ca="1">IFERROR(__xludf.DUMMYFUNCTION("""COMPUTED_VALUE"""),6)</f>
        <v>6</v>
      </c>
      <c r="K1475" s="1" t="str">
        <f ca="1">IFERROR(__xludf.DUMMYFUNCTION("""COMPUTED_VALUE"""),"Fully Remote with Options to travel as and when needed")</f>
        <v>Fully Remote with Options to travel as and when needed</v>
      </c>
      <c r="L1475" s="1" t="str">
        <f ca="1">IFERROR(__xludf.DUMMYFUNCTION("""COMPUTED_VALUE"""),"Employer who rewards learning and enables that environment")</f>
        <v>Employer who rewards learning and enables that environment</v>
      </c>
      <c r="M147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475"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475" s="1" t="str">
        <f ca="1">IFERROR(__xludf.DUMMYFUNCTION("""COMPUTED_VALUE"""),"Manager who explains what is expected, sets a goal and helps achieve it")</f>
        <v>Manager who explains what is expected, sets a goal and helps achieve it</v>
      </c>
      <c r="P1475" s="1" t="str">
        <f ca="1">IFERROR(__xludf.DUMMYFUNCTION("""COMPUTED_VALUE"""),"Work with 2 to 3 people in my team")</f>
        <v>Work with 2 to 3 people in my team</v>
      </c>
      <c r="Q1475" s="1"/>
    </row>
    <row r="1476" spans="1:17" ht="13.2" x14ac:dyDescent="0.25">
      <c r="A1476" s="2">
        <f ca="1">IFERROR(__xludf.DUMMYFUNCTION("""COMPUTED_VALUE"""),45045.4664011921)</f>
        <v>45045.466401192098</v>
      </c>
      <c r="B1476" s="1" t="str">
        <f ca="1">IFERROR(__xludf.DUMMYFUNCTION("""COMPUTED_VALUE"""),"India")</f>
        <v>India</v>
      </c>
      <c r="C1476" s="1">
        <f ca="1">IFERROR(__xludf.DUMMYFUNCTION("""COMPUTED_VALUE"""),147003)</f>
        <v>147003</v>
      </c>
      <c r="D1476" s="3" t="str">
        <f ca="1">IFERROR(__xludf.DUMMYFUNCTION("""COMPUTED_VALUE"""),"Male")</f>
        <v>Male</v>
      </c>
      <c r="E1476" s="1" t="str">
        <f ca="1">IFERROR(__xludf.DUMMYFUNCTION("""COMPUTED_VALUE"""),"People who have changed the world for better")</f>
        <v>People who have changed the world for better</v>
      </c>
      <c r="F1476" s="1" t="str">
        <f ca="1">IFERROR(__xludf.DUMMYFUNCTION("""COMPUTED_VALUE"""),"No I would not be pursuing Higher Education outside of India")</f>
        <v>No I would not be pursuing Higher Education outside of India</v>
      </c>
      <c r="G1476" s="1" t="str">
        <f ca="1">IFERROR(__xludf.DUMMYFUNCTION("""COMPUTED_VALUE"""),"This will be hard to do, but if it is the right company I would try")</f>
        <v>This will be hard to do, but if it is the right company I would try</v>
      </c>
      <c r="H1476" s="1" t="str">
        <f ca="1">IFERROR(__xludf.DUMMYFUNCTION("""COMPUTED_VALUE"""),"No")</f>
        <v>No</v>
      </c>
      <c r="I1476" s="1" t="str">
        <f ca="1">IFERROR(__xludf.DUMMYFUNCTION("""COMPUTED_VALUE"""),"Will NOT work for them")</f>
        <v>Will NOT work for them</v>
      </c>
      <c r="J1476" s="1">
        <f ca="1">IFERROR(__xludf.DUMMYFUNCTION("""COMPUTED_VALUE"""),2)</f>
        <v>2</v>
      </c>
      <c r="K1476" s="1" t="str">
        <f ca="1">IFERROR(__xludf.DUMMYFUNCTION("""COMPUTED_VALUE"""),"Fully Remote with Options to travel as and when needed")</f>
        <v>Fully Remote with Options to travel as and when needed</v>
      </c>
      <c r="L1476" s="1" t="str">
        <f ca="1">IFERROR(__xludf.DUMMYFUNCTION("""COMPUTED_VALUE"""),"Employer who pushes your limits by enabling an learning environment, and rewards you at the end")</f>
        <v>Employer who pushes your limits by enabling an learning environment, and rewards you at the end</v>
      </c>
      <c r="M147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76"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76" s="1" t="str">
        <f ca="1">IFERROR(__xludf.DUMMYFUNCTION("""COMPUTED_VALUE"""),"Manager who explains what is expected, sets a goal and helps achieve it")</f>
        <v>Manager who explains what is expected, sets a goal and helps achieve it</v>
      </c>
      <c r="P1476" s="1" t="str">
        <f ca="1">IFERROR(__xludf.DUMMYFUNCTION("""COMPUTED_VALUE"""),"Work with 5 to 6 people in my team")</f>
        <v>Work with 5 to 6 people in my team</v>
      </c>
      <c r="Q1476" s="1"/>
    </row>
    <row r="1477" spans="1:17" ht="13.2" x14ac:dyDescent="0.25">
      <c r="A1477" s="2">
        <f ca="1">IFERROR(__xludf.DUMMYFUNCTION("""COMPUTED_VALUE"""),45045.477346875)</f>
        <v>45045.477346874999</v>
      </c>
      <c r="B1477" s="1" t="str">
        <f ca="1">IFERROR(__xludf.DUMMYFUNCTION("""COMPUTED_VALUE"""),"India")</f>
        <v>India</v>
      </c>
      <c r="C1477" s="1">
        <f ca="1">IFERROR(__xludf.DUMMYFUNCTION("""COMPUTED_VALUE"""),600087)</f>
        <v>600087</v>
      </c>
      <c r="D1477" s="3" t="str">
        <f ca="1">IFERROR(__xludf.DUMMYFUNCTION("""COMPUTED_VALUE"""),"Male")</f>
        <v>Male</v>
      </c>
      <c r="E1477" s="1" t="str">
        <f ca="1">IFERROR(__xludf.DUMMYFUNCTION("""COMPUTED_VALUE"""),"My Parents")</f>
        <v>My Parents</v>
      </c>
      <c r="F1477" s="1" t="str">
        <f ca="1">IFERROR(__xludf.DUMMYFUNCTION("""COMPUTED_VALUE"""),"No I would not be pursuing Higher Education outside of India")</f>
        <v>No I would not be pursuing Higher Education outside of India</v>
      </c>
      <c r="G1477" s="1" t="str">
        <f ca="1">IFERROR(__xludf.DUMMYFUNCTION("""COMPUTED_VALUE"""),"Will work for 3 years or more")</f>
        <v>Will work for 3 years or more</v>
      </c>
      <c r="H1477" s="1" t="str">
        <f ca="1">IFERROR(__xludf.DUMMYFUNCTION("""COMPUTED_VALUE"""),"No")</f>
        <v>No</v>
      </c>
      <c r="I1477" s="1" t="str">
        <f ca="1">IFERROR(__xludf.DUMMYFUNCTION("""COMPUTED_VALUE"""),"Will work for them")</f>
        <v>Will work for them</v>
      </c>
      <c r="J1477" s="1">
        <f ca="1">IFERROR(__xludf.DUMMYFUNCTION("""COMPUTED_VALUE"""),8)</f>
        <v>8</v>
      </c>
      <c r="K1477" s="1" t="str">
        <f ca="1">IFERROR(__xludf.DUMMYFUNCTION("""COMPUTED_VALUE"""),"Every Day Office Environment")</f>
        <v>Every Day Office Environment</v>
      </c>
      <c r="L1477" s="1" t="str">
        <f ca="1">IFERROR(__xludf.DUMMYFUNCTION("""COMPUTED_VALUE"""),"Employer who pushes your limits by enabling an learning environment, and rewards you at the end")</f>
        <v>Employer who pushes your limits by enabling an learning environment, and rewards you at the end</v>
      </c>
      <c r="M14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7"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77" s="1" t="str">
        <f ca="1">IFERROR(__xludf.DUMMYFUNCTION("""COMPUTED_VALUE"""),"Manager who clearly describes what she/he needs")</f>
        <v>Manager who clearly describes what she/he needs</v>
      </c>
      <c r="P1477" s="1" t="str">
        <f ca="1">IFERROR(__xludf.DUMMYFUNCTION("""COMPUTED_VALUE"""),"Work with 2 to 3 people in my team")</f>
        <v>Work with 2 to 3 people in my team</v>
      </c>
      <c r="Q1477" s="1"/>
    </row>
    <row r="1478" spans="1:17" ht="13.2" x14ac:dyDescent="0.25">
      <c r="A1478" s="2">
        <f ca="1">IFERROR(__xludf.DUMMYFUNCTION("""COMPUTED_VALUE"""),45045.4773648031)</f>
        <v>45045.477364803097</v>
      </c>
      <c r="B1478" s="1" t="str">
        <f ca="1">IFERROR(__xludf.DUMMYFUNCTION("""COMPUTED_VALUE"""),"India")</f>
        <v>India</v>
      </c>
      <c r="C1478" s="1">
        <f ca="1">IFERROR(__xludf.DUMMYFUNCTION("""COMPUTED_VALUE"""),452002)</f>
        <v>452002</v>
      </c>
      <c r="D1478" s="3" t="str">
        <f ca="1">IFERROR(__xludf.DUMMYFUNCTION("""COMPUTED_VALUE"""),"Male")</f>
        <v>Male</v>
      </c>
      <c r="E1478" s="1" t="str">
        <f ca="1">IFERROR(__xludf.DUMMYFUNCTION("""COMPUTED_VALUE"""),"Social Media like LinkedIn")</f>
        <v>Social Media like LinkedIn</v>
      </c>
      <c r="F1478" s="1" t="str">
        <f ca="1">IFERROR(__xludf.DUMMYFUNCTION("""COMPUTED_VALUE"""),"Yes, I will earn and do that")</f>
        <v>Yes, I will earn and do that</v>
      </c>
      <c r="G1478" s="1" t="str">
        <f ca="1">IFERROR(__xludf.DUMMYFUNCTION("""COMPUTED_VALUE"""),"This will be hard to do, but if it is the right company I would try")</f>
        <v>This will be hard to do, but if it is the right company I would try</v>
      </c>
      <c r="H1478" s="1" t="str">
        <f ca="1">IFERROR(__xludf.DUMMYFUNCTION("""COMPUTED_VALUE"""),"No")</f>
        <v>No</v>
      </c>
      <c r="I1478" s="1" t="str">
        <f ca="1">IFERROR(__xludf.DUMMYFUNCTION("""COMPUTED_VALUE"""),"Will NOT work for them")</f>
        <v>Will NOT work for them</v>
      </c>
      <c r="J1478" s="1">
        <f ca="1">IFERROR(__xludf.DUMMYFUNCTION("""COMPUTED_VALUE"""),5)</f>
        <v>5</v>
      </c>
      <c r="K1478" s="1" t="str">
        <f ca="1">IFERROR(__xludf.DUMMYFUNCTION("""COMPUTED_VALUE"""),"Fully Remote with Options to travel as and when needed")</f>
        <v>Fully Remote with Options to travel as and when needed</v>
      </c>
      <c r="L1478" s="1" t="str">
        <f ca="1">IFERROR(__xludf.DUMMYFUNCTION("""COMPUTED_VALUE"""),"Employer who pushes your limits by enabling an learning environment, and rewards you at the end")</f>
        <v>Employer who pushes your limits by enabling an learning environment, and rewards you at the end</v>
      </c>
      <c r="M147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78"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478" s="1" t="str">
        <f ca="1">IFERROR(__xludf.DUMMYFUNCTION("""COMPUTED_VALUE"""),"Manager who explains what is expected, sets a goal and helps achieve it")</f>
        <v>Manager who explains what is expected, sets a goal and helps achieve it</v>
      </c>
      <c r="P1478" s="1" t="str">
        <f ca="1">IFERROR(__xludf.DUMMYFUNCTION("""COMPUTED_VALUE"""),"Work with 2 to 3 people in my team")</f>
        <v>Work with 2 to 3 people in my team</v>
      </c>
      <c r="Q1478" s="1"/>
    </row>
    <row r="1479" spans="1:17" ht="13.2" x14ac:dyDescent="0.25">
      <c r="A1479" s="2">
        <f ca="1">IFERROR(__xludf.DUMMYFUNCTION("""COMPUTED_VALUE"""),45045.4775513773)</f>
        <v>45045.477551377298</v>
      </c>
      <c r="B1479" s="1" t="str">
        <f ca="1">IFERROR(__xludf.DUMMYFUNCTION("""COMPUTED_VALUE"""),"India")</f>
        <v>India</v>
      </c>
      <c r="C1479" s="1">
        <f ca="1">IFERROR(__xludf.DUMMYFUNCTION("""COMPUTED_VALUE"""),147001)</f>
        <v>147001</v>
      </c>
      <c r="D1479" s="3" t="str">
        <f ca="1">IFERROR(__xludf.DUMMYFUNCTION("""COMPUTED_VALUE"""),"Male")</f>
        <v>Male</v>
      </c>
      <c r="E1479" s="1" t="str">
        <f ca="1">IFERROR(__xludf.DUMMYFUNCTION("""COMPUTED_VALUE"""),"People who have changed the world for better")</f>
        <v>People who have changed the world for better</v>
      </c>
      <c r="F1479" s="1" t="str">
        <f ca="1">IFERROR(__xludf.DUMMYFUNCTION("""COMPUTED_VALUE"""),"No, But if someone could bare the cost I will")</f>
        <v>No, But if someone could bare the cost I will</v>
      </c>
      <c r="G1479" s="1" t="str">
        <f ca="1">IFERROR(__xludf.DUMMYFUNCTION("""COMPUTED_VALUE"""),"Will work for 3 years or more")</f>
        <v>Will work for 3 years or more</v>
      </c>
      <c r="H1479" s="1" t="str">
        <f ca="1">IFERROR(__xludf.DUMMYFUNCTION("""COMPUTED_VALUE"""),"No")</f>
        <v>No</v>
      </c>
      <c r="I1479" s="1" t="str">
        <f ca="1">IFERROR(__xludf.DUMMYFUNCTION("""COMPUTED_VALUE"""),"Will NOT work for them")</f>
        <v>Will NOT work for them</v>
      </c>
      <c r="J1479" s="1">
        <f ca="1">IFERROR(__xludf.DUMMYFUNCTION("""COMPUTED_VALUE"""),5)</f>
        <v>5</v>
      </c>
      <c r="K1479" s="1" t="str">
        <f ca="1">IFERROR(__xludf.DUMMYFUNCTION("""COMPUTED_VALUE"""),"Fully Remote with Options to travel as and when needed")</f>
        <v>Fully Remote with Options to travel as and when needed</v>
      </c>
      <c r="L1479" s="1" t="str">
        <f ca="1">IFERROR(__xludf.DUMMYFUNCTION("""COMPUTED_VALUE"""),"Employer who pushes your limits by enabling an learning environment, and rewards you at the end")</f>
        <v>Employer who pushes your limits by enabling an learning environment, and rewards you at the end</v>
      </c>
      <c r="M147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79"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479" s="1" t="str">
        <f ca="1">IFERROR(__xludf.DUMMYFUNCTION("""COMPUTED_VALUE"""),"Manager who explains what is expected, sets a goal and helps achieve it")</f>
        <v>Manager who explains what is expected, sets a goal and helps achieve it</v>
      </c>
      <c r="P1479" s="1" t="str">
        <f ca="1">IFERROR(__xludf.DUMMYFUNCTION("""COMPUTED_VALUE"""),"Work with 2 to 3 people in my team")</f>
        <v>Work with 2 to 3 people in my team</v>
      </c>
      <c r="Q1479" s="1"/>
    </row>
    <row r="1480" spans="1:17" ht="13.2" x14ac:dyDescent="0.25">
      <c r="A1480" s="2">
        <f ca="1">IFERROR(__xludf.DUMMYFUNCTION("""COMPUTED_VALUE"""),45045.4803837731)</f>
        <v>45045.480383773101</v>
      </c>
      <c r="B1480" s="1" t="str">
        <f ca="1">IFERROR(__xludf.DUMMYFUNCTION("""COMPUTED_VALUE"""),"India")</f>
        <v>India</v>
      </c>
      <c r="C1480" s="1">
        <f ca="1">IFERROR(__xludf.DUMMYFUNCTION("""COMPUTED_VALUE"""),452007)</f>
        <v>452007</v>
      </c>
      <c r="D1480" s="3" t="str">
        <f ca="1">IFERROR(__xludf.DUMMYFUNCTION("""COMPUTED_VALUE"""),"Male")</f>
        <v>Male</v>
      </c>
      <c r="E1480" s="1" t="str">
        <f ca="1">IFERROR(__xludf.DUMMYFUNCTION("""COMPUTED_VALUE"""),"Influencers who had successful careers")</f>
        <v>Influencers who had successful careers</v>
      </c>
      <c r="F1480" s="1" t="str">
        <f ca="1">IFERROR(__xludf.DUMMYFUNCTION("""COMPUTED_VALUE"""),"Yes, I will earn and do that")</f>
        <v>Yes, I will earn and do that</v>
      </c>
      <c r="G1480" s="1" t="str">
        <f ca="1">IFERROR(__xludf.DUMMYFUNCTION("""COMPUTED_VALUE"""),"This will be hard to do, but if it is the right company I would try")</f>
        <v>This will be hard to do, but if it is the right company I would try</v>
      </c>
      <c r="H1480" s="1" t="str">
        <f ca="1">IFERROR(__xludf.DUMMYFUNCTION("""COMPUTED_VALUE"""),"No")</f>
        <v>No</v>
      </c>
      <c r="I1480" s="1" t="str">
        <f ca="1">IFERROR(__xludf.DUMMYFUNCTION("""COMPUTED_VALUE"""),"Will NOT work for them")</f>
        <v>Will NOT work for them</v>
      </c>
      <c r="J1480" s="1">
        <f ca="1">IFERROR(__xludf.DUMMYFUNCTION("""COMPUTED_VALUE"""),3)</f>
        <v>3</v>
      </c>
      <c r="K1480" s="1" t="str">
        <f ca="1">IFERROR(__xludf.DUMMYFUNCTION("""COMPUTED_VALUE"""),"Hybrid Working Environment with less than 3 days a month at office")</f>
        <v>Hybrid Working Environment with less than 3 days a month at office</v>
      </c>
      <c r="L1480" s="1" t="str">
        <f ca="1">IFERROR(__xludf.DUMMYFUNCTION("""COMPUTED_VALUE"""),"Employer who pushes your limits by enabling an learning environment, and rewards you at the end")</f>
        <v>Employer who pushes your limits by enabling an learning environment, and rewards you at the end</v>
      </c>
      <c r="M148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0" s="1" t="str">
        <f ca="1">IFERROR(__xludf.DUMMYFUNCTION("""COMPUTED_VALUE"""),"Design and Creative strategy in any company, Look deeply into Data and generate insights, Entrepreneur or Start Up, Manufacturing / Oil and Gas/ Construction / Hard Physical Work related")</f>
        <v>Design and Creative strategy in any company, Look deeply into Data and generate insights, Entrepreneur or Start Up, Manufacturing / Oil and Gas/ Construction / Hard Physical Work related</v>
      </c>
      <c r="O1480" s="1" t="str">
        <f ca="1">IFERROR(__xludf.DUMMYFUNCTION("""COMPUTED_VALUE"""),"Manager who explains what is expected, sets a goal and helps achieve it")</f>
        <v>Manager who explains what is expected, sets a goal and helps achieve it</v>
      </c>
      <c r="P1480" s="1" t="str">
        <f ca="1">IFERROR(__xludf.DUMMYFUNCTION("""COMPUTED_VALUE"""),"Work with 5 to 6 people in my team")</f>
        <v>Work with 5 to 6 people in my team</v>
      </c>
      <c r="Q1480" s="1"/>
    </row>
    <row r="1481" spans="1:17" ht="13.2" x14ac:dyDescent="0.25">
      <c r="A1481" s="2">
        <f ca="1">IFERROR(__xludf.DUMMYFUNCTION("""COMPUTED_VALUE"""),45045.4825741088)</f>
        <v>45045.482574108799</v>
      </c>
      <c r="B1481" s="1" t="str">
        <f ca="1">IFERROR(__xludf.DUMMYFUNCTION("""COMPUTED_VALUE"""),"India")</f>
        <v>India</v>
      </c>
      <c r="C1481" s="1">
        <f ca="1">IFERROR(__xludf.DUMMYFUNCTION("""COMPUTED_VALUE"""),560039)</f>
        <v>560039</v>
      </c>
      <c r="D1481" s="3" t="str">
        <f ca="1">IFERROR(__xludf.DUMMYFUNCTION("""COMPUTED_VALUE"""),"Female")</f>
        <v>Female</v>
      </c>
      <c r="E1481" s="1" t="str">
        <f ca="1">IFERROR(__xludf.DUMMYFUNCTION("""COMPUTED_VALUE"""),"My Parents")</f>
        <v>My Parents</v>
      </c>
      <c r="F1481" s="1" t="str">
        <f ca="1">IFERROR(__xludf.DUMMYFUNCTION("""COMPUTED_VALUE"""),"No I would not be pursuing Higher Education outside of India")</f>
        <v>No I would not be pursuing Higher Education outside of India</v>
      </c>
      <c r="G1481" s="1" t="str">
        <f ca="1">IFERROR(__xludf.DUMMYFUNCTION("""COMPUTED_VALUE"""),"This will be hard to do, but if it is the right company I would try")</f>
        <v>This will be hard to do, but if it is the right company I would try</v>
      </c>
      <c r="H1481" s="1" t="str">
        <f ca="1">IFERROR(__xludf.DUMMYFUNCTION("""COMPUTED_VALUE"""),"No")</f>
        <v>No</v>
      </c>
      <c r="I1481" s="1" t="str">
        <f ca="1">IFERROR(__xludf.DUMMYFUNCTION("""COMPUTED_VALUE"""),"Will NOT work for them")</f>
        <v>Will NOT work for them</v>
      </c>
      <c r="J1481" s="1">
        <f ca="1">IFERROR(__xludf.DUMMYFUNCTION("""COMPUTED_VALUE"""),5)</f>
        <v>5</v>
      </c>
      <c r="K1481" s="1" t="str">
        <f ca="1">IFERROR(__xludf.DUMMYFUNCTION("""COMPUTED_VALUE"""),"Hybrid Working Environment with more than 15 days a month at office")</f>
        <v>Hybrid Working Environment with more than 15 days a month at office</v>
      </c>
      <c r="L1481" s="1" t="str">
        <f ca="1">IFERROR(__xludf.DUMMYFUNCTION("""COMPUTED_VALUE"""),"Employer who rewards learning and enables that environment")</f>
        <v>Employer who rewards learning and enables that environment</v>
      </c>
      <c r="M148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8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81" s="1" t="str">
        <f ca="1">IFERROR(__xludf.DUMMYFUNCTION("""COMPUTED_VALUE"""),"Manager who explains what is expected, sets a goal and helps achieve it")</f>
        <v>Manager who explains what is expected, sets a goal and helps achieve it</v>
      </c>
      <c r="P1481" s="1" t="str">
        <f ca="1">IFERROR(__xludf.DUMMYFUNCTION("""COMPUTED_VALUE"""),"Work with 5 to 6 people in my team")</f>
        <v>Work with 5 to 6 people in my team</v>
      </c>
      <c r="Q1481" s="1"/>
    </row>
    <row r="1482" spans="1:17" ht="13.2" x14ac:dyDescent="0.25">
      <c r="A1482" s="2">
        <f ca="1">IFERROR(__xludf.DUMMYFUNCTION("""COMPUTED_VALUE"""),45045.483686493)</f>
        <v>45045.483686492997</v>
      </c>
      <c r="B1482" s="1" t="str">
        <f ca="1">IFERROR(__xludf.DUMMYFUNCTION("""COMPUTED_VALUE"""),"India")</f>
        <v>India</v>
      </c>
      <c r="C1482" s="1">
        <f ca="1">IFERROR(__xludf.DUMMYFUNCTION("""COMPUTED_VALUE"""),571401)</f>
        <v>571401</v>
      </c>
      <c r="D1482" s="3" t="str">
        <f ca="1">IFERROR(__xludf.DUMMYFUNCTION("""COMPUTED_VALUE"""),"Female")</f>
        <v>Female</v>
      </c>
      <c r="E1482" s="1" t="str">
        <f ca="1">IFERROR(__xludf.DUMMYFUNCTION("""COMPUTED_VALUE"""),"People who have changed the world for better")</f>
        <v>People who have changed the world for better</v>
      </c>
      <c r="F1482" s="1" t="str">
        <f ca="1">IFERROR(__xludf.DUMMYFUNCTION("""COMPUTED_VALUE"""),"No, But if someone could bare the cost I will")</f>
        <v>No, But if someone could bare the cost I will</v>
      </c>
      <c r="G1482" s="1" t="str">
        <f ca="1">IFERROR(__xludf.DUMMYFUNCTION("""COMPUTED_VALUE"""),"Will work for 3 years or more")</f>
        <v>Will work for 3 years or more</v>
      </c>
      <c r="H1482" s="1" t="str">
        <f ca="1">IFERROR(__xludf.DUMMYFUNCTION("""COMPUTED_VALUE"""),"No")</f>
        <v>No</v>
      </c>
      <c r="I1482" s="1" t="str">
        <f ca="1">IFERROR(__xludf.DUMMYFUNCTION("""COMPUTED_VALUE"""),"Will NOT work for them")</f>
        <v>Will NOT work for them</v>
      </c>
      <c r="J1482" s="1">
        <f ca="1">IFERROR(__xludf.DUMMYFUNCTION("""COMPUTED_VALUE"""),5)</f>
        <v>5</v>
      </c>
      <c r="K1482" s="1" t="str">
        <f ca="1">IFERROR(__xludf.DUMMYFUNCTION("""COMPUTED_VALUE"""),"Hybrid Working Environment with more than 15 days a month at office")</f>
        <v>Hybrid Working Environment with more than 15 days a month at office</v>
      </c>
      <c r="L1482" s="1" t="str">
        <f ca="1">IFERROR(__xludf.DUMMYFUNCTION("""COMPUTED_VALUE"""),"Employer who appreciates learning and enables that environment")</f>
        <v>Employer who appreciates learning and enables that environment</v>
      </c>
      <c r="M14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82"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82" s="1" t="str">
        <f ca="1">IFERROR(__xludf.DUMMYFUNCTION("""COMPUTED_VALUE"""),"Manager who clearly describes what she/he needs")</f>
        <v>Manager who clearly describes what she/he needs</v>
      </c>
      <c r="P1482" s="1" t="str">
        <f ca="1">IFERROR(__xludf.DUMMYFUNCTION("""COMPUTED_VALUE"""),"Work with 2 to 3 people in my team")</f>
        <v>Work with 2 to 3 people in my team</v>
      </c>
      <c r="Q1482" s="1"/>
    </row>
    <row r="1483" spans="1:17" ht="13.2" x14ac:dyDescent="0.25">
      <c r="A1483" s="2">
        <f ca="1">IFERROR(__xludf.DUMMYFUNCTION("""COMPUTED_VALUE"""),45045.491740081)</f>
        <v>45045.491740081001</v>
      </c>
      <c r="B1483" s="1" t="str">
        <f ca="1">IFERROR(__xludf.DUMMYFUNCTION("""COMPUTED_VALUE"""),"India")</f>
        <v>India</v>
      </c>
      <c r="C1483" s="1">
        <f ca="1">IFERROR(__xludf.DUMMYFUNCTION("""COMPUTED_VALUE"""),533201)</f>
        <v>533201</v>
      </c>
      <c r="D1483" s="3" t="str">
        <f ca="1">IFERROR(__xludf.DUMMYFUNCTION("""COMPUTED_VALUE"""),"Female")</f>
        <v>Female</v>
      </c>
      <c r="E1483" s="1" t="str">
        <f ca="1">IFERROR(__xludf.DUMMYFUNCTION("""COMPUTED_VALUE"""),"People from my circle, but not family members")</f>
        <v>People from my circle, but not family members</v>
      </c>
      <c r="F1483" s="1" t="str">
        <f ca="1">IFERROR(__xludf.DUMMYFUNCTION("""COMPUTED_VALUE"""),"Yes, I will earn and do that")</f>
        <v>Yes, I will earn and do that</v>
      </c>
      <c r="G1483" s="1" t="str">
        <f ca="1">IFERROR(__xludf.DUMMYFUNCTION("""COMPUTED_VALUE"""),"This will be hard to do, but if it is the right company I would try")</f>
        <v>This will be hard to do, but if it is the right company I would try</v>
      </c>
      <c r="H1483" s="1" t="str">
        <f ca="1">IFERROR(__xludf.DUMMYFUNCTION("""COMPUTED_VALUE"""),"Yes")</f>
        <v>Yes</v>
      </c>
      <c r="I1483" s="1" t="str">
        <f ca="1">IFERROR(__xludf.DUMMYFUNCTION("""COMPUTED_VALUE"""),"Will work for them")</f>
        <v>Will work for them</v>
      </c>
      <c r="J1483" s="1">
        <f ca="1">IFERROR(__xludf.DUMMYFUNCTION("""COMPUTED_VALUE"""),6)</f>
        <v>6</v>
      </c>
      <c r="K1483" s="1" t="str">
        <f ca="1">IFERROR(__xludf.DUMMYFUNCTION("""COMPUTED_VALUE"""),"Fully Remote with No option to visit offices")</f>
        <v>Fully Remote with No option to visit offices</v>
      </c>
      <c r="L1483" s="1" t="str">
        <f ca="1">IFERROR(__xludf.DUMMYFUNCTION("""COMPUTED_VALUE"""),"Employer who appreciates learning and enables that environment")</f>
        <v>Employer who appreciates learning and enables that environment</v>
      </c>
      <c r="M1483" s="1" t="str">
        <f ca="1">IFERROR(__xludf.DUMMYFUNCTION("""COMPUTED_VALUE"""),"Self Paced Learning Portals of the Company, Instructor or Expert Learning Programs, Manager Teaching you")</f>
        <v>Self Paced Learning Portals of the Company, Instructor or Expert Learning Programs, Manager Teaching you</v>
      </c>
      <c r="N1483"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483" s="1" t="str">
        <f ca="1">IFERROR(__xludf.DUMMYFUNCTION("""COMPUTED_VALUE"""),"Manager who clearly describes what she/he needs")</f>
        <v>Manager who clearly describes what she/he needs</v>
      </c>
      <c r="P1483" s="1" t="str">
        <f ca="1">IFERROR(__xludf.DUMMYFUNCTION("""COMPUTED_VALUE"""),"Work with 5 to 6 people in my team")</f>
        <v>Work with 5 to 6 people in my team</v>
      </c>
      <c r="Q1483" s="1"/>
    </row>
    <row r="1484" spans="1:17" ht="13.2" x14ac:dyDescent="0.25">
      <c r="A1484" s="2">
        <f ca="1">IFERROR(__xludf.DUMMYFUNCTION("""COMPUTED_VALUE"""),45045.4926545601)</f>
        <v>45045.492654560097</v>
      </c>
      <c r="B1484" s="1" t="str">
        <f ca="1">IFERROR(__xludf.DUMMYFUNCTION("""COMPUTED_VALUE"""),"India")</f>
        <v>India</v>
      </c>
      <c r="C1484" s="1">
        <f ca="1">IFERROR(__xludf.DUMMYFUNCTION("""COMPUTED_VALUE"""),560073)</f>
        <v>560073</v>
      </c>
      <c r="D1484" s="3" t="str">
        <f ca="1">IFERROR(__xludf.DUMMYFUNCTION("""COMPUTED_VALUE"""),"Female")</f>
        <v>Female</v>
      </c>
      <c r="E1484" s="1" t="str">
        <f ca="1">IFERROR(__xludf.DUMMYFUNCTION("""COMPUTED_VALUE"""),"My Parents")</f>
        <v>My Parents</v>
      </c>
      <c r="F1484" s="1" t="str">
        <f ca="1">IFERROR(__xludf.DUMMYFUNCTION("""COMPUTED_VALUE"""),"No I would not be pursuing Higher Education outside of India")</f>
        <v>No I would not be pursuing Higher Education outside of India</v>
      </c>
      <c r="G1484" s="1" t="str">
        <f ca="1">IFERROR(__xludf.DUMMYFUNCTION("""COMPUTED_VALUE"""),"This will be hard to do, but if it is the right company I would try")</f>
        <v>This will be hard to do, but if it is the right company I would try</v>
      </c>
      <c r="H1484" s="1" t="str">
        <f ca="1">IFERROR(__xludf.DUMMYFUNCTION("""COMPUTED_VALUE"""),"Yes")</f>
        <v>Yes</v>
      </c>
      <c r="I1484" s="1" t="str">
        <f ca="1">IFERROR(__xludf.DUMMYFUNCTION("""COMPUTED_VALUE"""),"Will work for them")</f>
        <v>Will work for them</v>
      </c>
      <c r="J1484" s="1">
        <f ca="1">IFERROR(__xludf.DUMMYFUNCTION("""COMPUTED_VALUE"""),9)</f>
        <v>9</v>
      </c>
      <c r="K1484" s="1" t="str">
        <f ca="1">IFERROR(__xludf.DUMMYFUNCTION("""COMPUTED_VALUE"""),"Hybrid Working Environment with more than 15 days a month at office")</f>
        <v>Hybrid Working Environment with more than 15 days a month at office</v>
      </c>
      <c r="L1484" s="1" t="str">
        <f ca="1">IFERROR(__xludf.DUMMYFUNCTION("""COMPUTED_VALUE"""),"Employer who rewards learning and enables that environment")</f>
        <v>Employer who rewards learning and enables that environment</v>
      </c>
      <c r="M1484" s="1" t="str">
        <f ca="1">IFERROR(__xludf.DUMMYFUNCTION("""COMPUTED_VALUE"""),"Instructor or Expert Learning Programs, Learning by observing others, Manager Teaching you")</f>
        <v>Instructor or Expert Learning Programs, Learning by observing others, Manager Teaching you</v>
      </c>
      <c r="N1484"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84" s="1" t="str">
        <f ca="1">IFERROR(__xludf.DUMMYFUNCTION("""COMPUTED_VALUE"""),"Manager who explains what is expected, sets a goal and helps achieve it")</f>
        <v>Manager who explains what is expected, sets a goal and helps achieve it</v>
      </c>
      <c r="P1484" s="1" t="str">
        <f ca="1">IFERROR(__xludf.DUMMYFUNCTION("""COMPUTED_VALUE"""),"Work with more than 10 people in my team")</f>
        <v>Work with more than 10 people in my team</v>
      </c>
      <c r="Q1484" s="1"/>
    </row>
    <row r="1485" spans="1:17" ht="13.2" x14ac:dyDescent="0.25">
      <c r="A1485" s="2">
        <f ca="1">IFERROR(__xludf.DUMMYFUNCTION("""COMPUTED_VALUE"""),45045.5036151041)</f>
        <v>45045.503615104099</v>
      </c>
      <c r="B1485" s="1" t="str">
        <f ca="1">IFERROR(__xludf.DUMMYFUNCTION("""COMPUTED_VALUE"""),"India")</f>
        <v>India</v>
      </c>
      <c r="C1485" s="1">
        <f ca="1">IFERROR(__xludf.DUMMYFUNCTION("""COMPUTED_VALUE"""),560068)</f>
        <v>560068</v>
      </c>
      <c r="D1485" s="3" t="str">
        <f ca="1">IFERROR(__xludf.DUMMYFUNCTION("""COMPUTED_VALUE"""),"Male")</f>
        <v>Male</v>
      </c>
      <c r="E1485" s="1" t="str">
        <f ca="1">IFERROR(__xludf.DUMMYFUNCTION("""COMPUTED_VALUE"""),"People from my circle, but not family members")</f>
        <v>People from my circle, but not family members</v>
      </c>
      <c r="F1485" s="1" t="str">
        <f ca="1">IFERROR(__xludf.DUMMYFUNCTION("""COMPUTED_VALUE"""),"No I would not be pursuing Higher Education outside of India")</f>
        <v>No I would not be pursuing Higher Education outside of India</v>
      </c>
      <c r="G1485" s="1" t="str">
        <f ca="1">IFERROR(__xludf.DUMMYFUNCTION("""COMPUTED_VALUE"""),"Will work for 3 years or more")</f>
        <v>Will work for 3 years or more</v>
      </c>
      <c r="H1485" s="1" t="str">
        <f ca="1">IFERROR(__xludf.DUMMYFUNCTION("""COMPUTED_VALUE"""),"No")</f>
        <v>No</v>
      </c>
      <c r="I1485" s="1" t="str">
        <f ca="1">IFERROR(__xludf.DUMMYFUNCTION("""COMPUTED_VALUE"""),"Will NOT work for them")</f>
        <v>Will NOT work for them</v>
      </c>
      <c r="J1485" s="1">
        <f ca="1">IFERROR(__xludf.DUMMYFUNCTION("""COMPUTED_VALUE"""),3)</f>
        <v>3</v>
      </c>
      <c r="K1485" s="1" t="str">
        <f ca="1">IFERROR(__xludf.DUMMYFUNCTION("""COMPUTED_VALUE"""),"Every Day Office Environment")</f>
        <v>Every Day Office Environment</v>
      </c>
      <c r="L1485" s="1" t="str">
        <f ca="1">IFERROR(__xludf.DUMMYFUNCTION("""COMPUTED_VALUE"""),"Employer who pushes your limits by enabling an learning environment, and rewards you at the end")</f>
        <v>Employer who pushes your limits by enabling an learning environment, and rewards you at the end</v>
      </c>
      <c r="M14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85"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485" s="1" t="str">
        <f ca="1">IFERROR(__xludf.DUMMYFUNCTION("""COMPUTED_VALUE"""),"Manager who explains what is expected, sets a goal and helps achieve it")</f>
        <v>Manager who explains what is expected, sets a goal and helps achieve it</v>
      </c>
      <c r="P1485" s="1" t="str">
        <f ca="1">IFERROR(__xludf.DUMMYFUNCTION("""COMPUTED_VALUE"""),"Work with 2 to 3 people in my team")</f>
        <v>Work with 2 to 3 people in my team</v>
      </c>
      <c r="Q1485" s="1"/>
    </row>
    <row r="1486" spans="1:17" ht="13.2" x14ac:dyDescent="0.25">
      <c r="A1486" s="2">
        <f ca="1">IFERROR(__xludf.DUMMYFUNCTION("""COMPUTED_VALUE"""),45045.5064865162)</f>
        <v>45045.506486516198</v>
      </c>
      <c r="B1486" s="1" t="str">
        <f ca="1">IFERROR(__xludf.DUMMYFUNCTION("""COMPUTED_VALUE"""),"India")</f>
        <v>India</v>
      </c>
      <c r="C1486" s="1">
        <f ca="1">IFERROR(__xludf.DUMMYFUNCTION("""COMPUTED_VALUE"""),201301)</f>
        <v>201301</v>
      </c>
      <c r="D1486" s="3" t="str">
        <f ca="1">IFERROR(__xludf.DUMMYFUNCTION("""COMPUTED_VALUE"""),"Male")</f>
        <v>Male</v>
      </c>
      <c r="E1486" s="1" t="str">
        <f ca="1">IFERROR(__xludf.DUMMYFUNCTION("""COMPUTED_VALUE"""),"People from my circle, but not family members")</f>
        <v>People from my circle, but not family members</v>
      </c>
      <c r="F1486" s="1" t="str">
        <f ca="1">IFERROR(__xludf.DUMMYFUNCTION("""COMPUTED_VALUE"""),"No I would not be pursuing Higher Education outside of India")</f>
        <v>No I would not be pursuing Higher Education outside of India</v>
      </c>
      <c r="G1486" s="1" t="str">
        <f ca="1">IFERROR(__xludf.DUMMYFUNCTION("""COMPUTED_VALUE"""),"This will be hard to do, but if it is the right company I would try")</f>
        <v>This will be hard to do, but if it is the right company I would try</v>
      </c>
      <c r="H1486" s="1" t="str">
        <f ca="1">IFERROR(__xludf.DUMMYFUNCTION("""COMPUTED_VALUE"""),"No")</f>
        <v>No</v>
      </c>
      <c r="I1486" s="1" t="str">
        <f ca="1">IFERROR(__xludf.DUMMYFUNCTION("""COMPUTED_VALUE"""),"Will NOT work for them")</f>
        <v>Will NOT work for them</v>
      </c>
      <c r="J1486" s="1">
        <f ca="1">IFERROR(__xludf.DUMMYFUNCTION("""COMPUTED_VALUE"""),5)</f>
        <v>5</v>
      </c>
      <c r="K1486" s="1" t="str">
        <f ca="1">IFERROR(__xludf.DUMMYFUNCTION("""COMPUTED_VALUE"""),"Every Day Office Environment")</f>
        <v>Every Day Office Environment</v>
      </c>
      <c r="L1486" s="1" t="str">
        <f ca="1">IFERROR(__xludf.DUMMYFUNCTION("""COMPUTED_VALUE"""),"Employer who pushes your limits by enabling an learning environment, and rewards you at the end")</f>
        <v>Employer who pushes your limits by enabling an learning environment, and rewards you at the end</v>
      </c>
      <c r="M148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6" s="1" t="str">
        <f ca="1">IFERROR(__xludf.DUMMYFUNCTION("""COMPUTED_VALUE"""),"Build and develop a Team, Work in a BPO setup for some well known client, Entrepreneur or Start Up, An Artificial Intelligence Specialist / Talking to Robots")</f>
        <v>Build and develop a Team, Work in a BPO setup for some well known client, Entrepreneur or Start Up, An Artificial Intelligence Specialist / Talking to Robots</v>
      </c>
      <c r="O1486" s="1" t="str">
        <f ca="1">IFERROR(__xludf.DUMMYFUNCTION("""COMPUTED_VALUE"""),"Manager who explains what is expected, sets a goal and helps achieve it")</f>
        <v>Manager who explains what is expected, sets a goal and helps achieve it</v>
      </c>
      <c r="P1486" s="1" t="str">
        <f ca="1">IFERROR(__xludf.DUMMYFUNCTION("""COMPUTED_VALUE"""),"Work with more than 10 people in my team")</f>
        <v>Work with more than 10 people in my team</v>
      </c>
      <c r="Q1486" s="1"/>
    </row>
    <row r="1487" spans="1:17" ht="13.2" x14ac:dyDescent="0.25">
      <c r="A1487" s="2">
        <f ca="1">IFERROR(__xludf.DUMMYFUNCTION("""COMPUTED_VALUE"""),45045.5067363078)</f>
        <v>45045.506736307798</v>
      </c>
      <c r="B1487" s="1" t="str">
        <f ca="1">IFERROR(__xludf.DUMMYFUNCTION("""COMPUTED_VALUE"""),"India")</f>
        <v>India</v>
      </c>
      <c r="C1487" s="1">
        <f ca="1">IFERROR(__xludf.DUMMYFUNCTION("""COMPUTED_VALUE"""),571128)</f>
        <v>571128</v>
      </c>
      <c r="D1487" s="3" t="str">
        <f ca="1">IFERROR(__xludf.DUMMYFUNCTION("""COMPUTED_VALUE"""),"Female")</f>
        <v>Female</v>
      </c>
      <c r="E1487" s="1" t="str">
        <f ca="1">IFERROR(__xludf.DUMMYFUNCTION("""COMPUTED_VALUE"""),"Influencers who had successful careers")</f>
        <v>Influencers who had successful careers</v>
      </c>
      <c r="F1487" s="1" t="str">
        <f ca="1">IFERROR(__xludf.DUMMYFUNCTION("""COMPUTED_VALUE"""),"No I would not be pursuing Higher Education outside of India")</f>
        <v>No I would not be pursuing Higher Education outside of India</v>
      </c>
      <c r="G1487" s="1" t="str">
        <f ca="1">IFERROR(__xludf.DUMMYFUNCTION("""COMPUTED_VALUE"""),"This will be hard to do, but if it is the right company I would try")</f>
        <v>This will be hard to do, but if it is the right company I would try</v>
      </c>
      <c r="H1487" s="1" t="str">
        <f ca="1">IFERROR(__xludf.DUMMYFUNCTION("""COMPUTED_VALUE"""),"No")</f>
        <v>No</v>
      </c>
      <c r="I1487" s="1" t="str">
        <f ca="1">IFERROR(__xludf.DUMMYFUNCTION("""COMPUTED_VALUE"""),"Will NOT work for them")</f>
        <v>Will NOT work for them</v>
      </c>
      <c r="J1487" s="1">
        <f ca="1">IFERROR(__xludf.DUMMYFUNCTION("""COMPUTED_VALUE"""),1)</f>
        <v>1</v>
      </c>
      <c r="K1487" s="1" t="str">
        <f ca="1">IFERROR(__xludf.DUMMYFUNCTION("""COMPUTED_VALUE"""),"Every Day Office Environment")</f>
        <v>Every Day Office Environment</v>
      </c>
      <c r="L1487" s="1" t="str">
        <f ca="1">IFERROR(__xludf.DUMMYFUNCTION("""COMPUTED_VALUE"""),"Employer who rewards learning and enables that environment")</f>
        <v>Employer who rewards learning and enables that environment</v>
      </c>
      <c r="M148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487"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87" s="1" t="str">
        <f ca="1">IFERROR(__xludf.DUMMYFUNCTION("""COMPUTED_VALUE"""),"Manager who explains what is expected, sets a goal and helps achieve it")</f>
        <v>Manager who explains what is expected, sets a goal and helps achieve it</v>
      </c>
      <c r="P1487" s="1" t="str">
        <f ca="1">IFERROR(__xludf.DUMMYFUNCTION("""COMPUTED_VALUE"""),"Work with 2 to 3 people in my team")</f>
        <v>Work with 2 to 3 people in my team</v>
      </c>
      <c r="Q1487" s="1"/>
    </row>
    <row r="1488" spans="1:17" ht="13.2" x14ac:dyDescent="0.25">
      <c r="A1488" s="2">
        <f ca="1">IFERROR(__xludf.DUMMYFUNCTION("""COMPUTED_VALUE"""),45045.5090202662)</f>
        <v>45045.509020266203</v>
      </c>
      <c r="B1488" s="1" t="str">
        <f ca="1">IFERROR(__xludf.DUMMYFUNCTION("""COMPUTED_VALUE"""),"India")</f>
        <v>India</v>
      </c>
      <c r="C1488" s="1">
        <f ca="1">IFERROR(__xludf.DUMMYFUNCTION("""COMPUTED_VALUE"""),208017)</f>
        <v>208017</v>
      </c>
      <c r="D1488" s="3" t="str">
        <f ca="1">IFERROR(__xludf.DUMMYFUNCTION("""COMPUTED_VALUE"""),"Male")</f>
        <v>Male</v>
      </c>
      <c r="E1488" s="1" t="str">
        <f ca="1">IFERROR(__xludf.DUMMYFUNCTION("""COMPUTED_VALUE"""),"My Parents")</f>
        <v>My Parents</v>
      </c>
      <c r="F1488" s="1" t="str">
        <f ca="1">IFERROR(__xludf.DUMMYFUNCTION("""COMPUTED_VALUE"""),"Yes, I will earn and do that")</f>
        <v>Yes, I will earn and do that</v>
      </c>
      <c r="G1488" s="1" t="str">
        <f ca="1">IFERROR(__xludf.DUMMYFUNCTION("""COMPUTED_VALUE"""),"This will be hard to do, but if it is the right company I would try")</f>
        <v>This will be hard to do, but if it is the right company I would try</v>
      </c>
      <c r="H1488" s="1" t="str">
        <f ca="1">IFERROR(__xludf.DUMMYFUNCTION("""COMPUTED_VALUE"""),"No")</f>
        <v>No</v>
      </c>
      <c r="I1488" s="1" t="str">
        <f ca="1">IFERROR(__xludf.DUMMYFUNCTION("""COMPUTED_VALUE"""),"Will NOT work for them")</f>
        <v>Will NOT work for them</v>
      </c>
      <c r="J1488" s="1">
        <f ca="1">IFERROR(__xludf.DUMMYFUNCTION("""COMPUTED_VALUE"""),2)</f>
        <v>2</v>
      </c>
      <c r="K1488" s="1" t="str">
        <f ca="1">IFERROR(__xludf.DUMMYFUNCTION("""COMPUTED_VALUE"""),"Fully Remote with No option to visit offices")</f>
        <v>Fully Remote with No option to visit offices</v>
      </c>
      <c r="L1488" s="1" t="str">
        <f ca="1">IFERROR(__xludf.DUMMYFUNCTION("""COMPUTED_VALUE"""),"Employer who rewards learning and enables that environment")</f>
        <v>Employer who rewards learning and enables that environment</v>
      </c>
      <c r="M14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8"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488" s="1" t="str">
        <f ca="1">IFERROR(__xludf.DUMMYFUNCTION("""COMPUTED_VALUE"""),"Manager who explains what is expected, sets a goal and helps achieve it")</f>
        <v>Manager who explains what is expected, sets a goal and helps achieve it</v>
      </c>
      <c r="P1488" s="1" t="str">
        <f ca="1">IFERROR(__xludf.DUMMYFUNCTION("""COMPUTED_VALUE"""),"Work with 7 to 10 or more people in my team, Work with more than 10 people in my team")</f>
        <v>Work with 7 to 10 or more people in my team, Work with more than 10 people in my team</v>
      </c>
      <c r="Q1488" s="1"/>
    </row>
    <row r="1489" spans="1:17" ht="13.2" x14ac:dyDescent="0.25">
      <c r="A1489" s="2">
        <f ca="1">IFERROR(__xludf.DUMMYFUNCTION("""COMPUTED_VALUE"""),45045.5093122916)</f>
        <v>45045.509312291601</v>
      </c>
      <c r="B1489" s="1" t="str">
        <f ca="1">IFERROR(__xludf.DUMMYFUNCTION("""COMPUTED_VALUE"""),"India")</f>
        <v>India</v>
      </c>
      <c r="C1489" s="1">
        <f ca="1">IFERROR(__xludf.DUMMYFUNCTION("""COMPUTED_VALUE"""),201301)</f>
        <v>201301</v>
      </c>
      <c r="D1489" s="3" t="str">
        <f ca="1">IFERROR(__xludf.DUMMYFUNCTION("""COMPUTED_VALUE"""),"Male")</f>
        <v>Male</v>
      </c>
      <c r="E1489" s="1" t="str">
        <f ca="1">IFERROR(__xludf.DUMMYFUNCTION("""COMPUTED_VALUE"""),"People from my circle, but not family members")</f>
        <v>People from my circle, but not family members</v>
      </c>
      <c r="F1489" s="1" t="str">
        <f ca="1">IFERROR(__xludf.DUMMYFUNCTION("""COMPUTED_VALUE"""),"No I would not be pursuing Higher Education outside of India")</f>
        <v>No I would not be pursuing Higher Education outside of India</v>
      </c>
      <c r="G1489" s="1" t="str">
        <f ca="1">IFERROR(__xludf.DUMMYFUNCTION("""COMPUTED_VALUE"""),"This will be hard to do, but if it is the right company I would try")</f>
        <v>This will be hard to do, but if it is the right company I would try</v>
      </c>
      <c r="H1489" s="1" t="str">
        <f ca="1">IFERROR(__xludf.DUMMYFUNCTION("""COMPUTED_VALUE"""),"No")</f>
        <v>No</v>
      </c>
      <c r="I1489" s="1" t="str">
        <f ca="1">IFERROR(__xludf.DUMMYFUNCTION("""COMPUTED_VALUE"""),"Will NOT work for them")</f>
        <v>Will NOT work for them</v>
      </c>
      <c r="J1489" s="1">
        <f ca="1">IFERROR(__xludf.DUMMYFUNCTION("""COMPUTED_VALUE"""),5)</f>
        <v>5</v>
      </c>
      <c r="K1489" s="1" t="str">
        <f ca="1">IFERROR(__xludf.DUMMYFUNCTION("""COMPUTED_VALUE"""),"Every Day Office Environment")</f>
        <v>Every Day Office Environment</v>
      </c>
      <c r="L1489" s="1" t="str">
        <f ca="1">IFERROR(__xludf.DUMMYFUNCTION("""COMPUTED_VALUE"""),"Employer who pushes your limits by enabling an learning environment, and rewards you at the end")</f>
        <v>Employer who pushes your limits by enabling an learning environment, and rewards you at the end</v>
      </c>
      <c r="M148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89" s="1" t="str">
        <f ca="1">IFERROR(__xludf.DUMMYFUNCTION("""COMPUTED_VALUE"""),"Business Operations in any organization, Build and develop a Team, Work in a BPO setup for some well known client, Become a content Creator in some platform")</f>
        <v>Business Operations in any organization, Build and develop a Team, Work in a BPO setup for some well known client, Become a content Creator in some platform</v>
      </c>
      <c r="O1489" s="1" t="str">
        <f ca="1">IFERROR(__xludf.DUMMYFUNCTION("""COMPUTED_VALUE"""),"Manager who explains what is expected, sets a goal and helps achieve it")</f>
        <v>Manager who explains what is expected, sets a goal and helps achieve it</v>
      </c>
      <c r="P1489" s="1" t="str">
        <f ca="1">IFERROR(__xludf.DUMMYFUNCTION("""COMPUTED_VALUE"""),"Work with more than 10 people in my team")</f>
        <v>Work with more than 10 people in my team</v>
      </c>
      <c r="Q1489" s="1"/>
    </row>
    <row r="1490" spans="1:17" ht="13.2" x14ac:dyDescent="0.25">
      <c r="A1490" s="2">
        <f ca="1">IFERROR(__xludf.DUMMYFUNCTION("""COMPUTED_VALUE"""),45045.5199816666)</f>
        <v>45045.519981666599</v>
      </c>
      <c r="B1490" s="1" t="str">
        <f ca="1">IFERROR(__xludf.DUMMYFUNCTION("""COMPUTED_VALUE"""),"India")</f>
        <v>India</v>
      </c>
      <c r="C1490" s="1">
        <f ca="1">IFERROR(__xludf.DUMMYFUNCTION("""COMPUTED_VALUE"""),146109)</f>
        <v>146109</v>
      </c>
      <c r="D1490" s="3" t="str">
        <f ca="1">IFERROR(__xludf.DUMMYFUNCTION("""COMPUTED_VALUE"""),"Male")</f>
        <v>Male</v>
      </c>
      <c r="E1490" s="1" t="str">
        <f ca="1">IFERROR(__xludf.DUMMYFUNCTION("""COMPUTED_VALUE"""),"People who have changed the world for better")</f>
        <v>People who have changed the world for better</v>
      </c>
      <c r="F1490" s="1" t="str">
        <f ca="1">IFERROR(__xludf.DUMMYFUNCTION("""COMPUTED_VALUE"""),"No I would not be pursuing Higher Education outside of India")</f>
        <v>No I would not be pursuing Higher Education outside of India</v>
      </c>
      <c r="G1490" s="1" t="str">
        <f ca="1">IFERROR(__xludf.DUMMYFUNCTION("""COMPUTED_VALUE"""),"Will work for 3 years or more")</f>
        <v>Will work for 3 years or more</v>
      </c>
      <c r="H1490" s="1" t="str">
        <f ca="1">IFERROR(__xludf.DUMMYFUNCTION("""COMPUTED_VALUE"""),"No")</f>
        <v>No</v>
      </c>
      <c r="I1490" s="1" t="str">
        <f ca="1">IFERROR(__xludf.DUMMYFUNCTION("""COMPUTED_VALUE"""),"Will NOT work for them")</f>
        <v>Will NOT work for them</v>
      </c>
      <c r="J1490" s="1">
        <f ca="1">IFERROR(__xludf.DUMMYFUNCTION("""COMPUTED_VALUE"""),1)</f>
        <v>1</v>
      </c>
      <c r="K1490" s="1" t="str">
        <f ca="1">IFERROR(__xludf.DUMMYFUNCTION("""COMPUTED_VALUE"""),"Hybrid Working Environment with more than 15 days a month at office")</f>
        <v>Hybrid Working Environment with more than 15 days a month at office</v>
      </c>
      <c r="L1490" s="1" t="str">
        <f ca="1">IFERROR(__xludf.DUMMYFUNCTION("""COMPUTED_VALUE"""),"Employer who pushes your limits by enabling an learning environment, and rewards you at the end")</f>
        <v>Employer who pushes your limits by enabling an learning environment, and rewards you at the end</v>
      </c>
      <c r="M1490" s="1" t="str">
        <f ca="1">IFERROR(__xludf.DUMMYFUNCTION("""COMPUTED_VALUE"""),"Learning by observing others, Self Purchased Course from External Platforms, Manager Teaching you")</f>
        <v>Learning by observing others, Self Purchased Course from External Platforms, Manager Teaching you</v>
      </c>
      <c r="N149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490" s="1" t="str">
        <f ca="1">IFERROR(__xludf.DUMMYFUNCTION("""COMPUTED_VALUE"""),"Manager who explains what is expected, sets a goal and helps achieve it")</f>
        <v>Manager who explains what is expected, sets a goal and helps achieve it</v>
      </c>
      <c r="P1490" s="1" t="str">
        <f ca="1">IFERROR(__xludf.DUMMYFUNCTION("""COMPUTED_VALUE"""),"Work with 5 to 6 people in my team")</f>
        <v>Work with 5 to 6 people in my team</v>
      </c>
      <c r="Q1490" s="1"/>
    </row>
    <row r="1491" spans="1:17" ht="13.2" x14ac:dyDescent="0.25">
      <c r="A1491" s="2">
        <f ca="1">IFERROR(__xludf.DUMMYFUNCTION("""COMPUTED_VALUE"""),45045.5261721875)</f>
        <v>45045.526172187499</v>
      </c>
      <c r="B1491" s="1" t="str">
        <f ca="1">IFERROR(__xludf.DUMMYFUNCTION("""COMPUTED_VALUE"""),"India")</f>
        <v>India</v>
      </c>
      <c r="C1491" s="1">
        <f ca="1">IFERROR(__xludf.DUMMYFUNCTION("""COMPUTED_VALUE"""),731204)</f>
        <v>731204</v>
      </c>
      <c r="D1491" s="3" t="str">
        <f ca="1">IFERROR(__xludf.DUMMYFUNCTION("""COMPUTED_VALUE"""),"Male")</f>
        <v>Male</v>
      </c>
      <c r="E1491" s="1" t="str">
        <f ca="1">IFERROR(__xludf.DUMMYFUNCTION("""COMPUTED_VALUE"""),"People who have changed the world for better")</f>
        <v>People who have changed the world for better</v>
      </c>
      <c r="F1491" s="1" t="str">
        <f ca="1">IFERROR(__xludf.DUMMYFUNCTION("""COMPUTED_VALUE"""),"Yes, I will earn and do that")</f>
        <v>Yes, I will earn and do that</v>
      </c>
      <c r="G1491" s="1" t="str">
        <f ca="1">IFERROR(__xludf.DUMMYFUNCTION("""COMPUTED_VALUE"""),"This will be hard to do, but if it is the right company I would try")</f>
        <v>This will be hard to do, but if it is the right company I would try</v>
      </c>
      <c r="H1491" s="1" t="str">
        <f ca="1">IFERROR(__xludf.DUMMYFUNCTION("""COMPUTED_VALUE"""),"No")</f>
        <v>No</v>
      </c>
      <c r="I1491" s="1" t="str">
        <f ca="1">IFERROR(__xludf.DUMMYFUNCTION("""COMPUTED_VALUE"""),"Will NOT work for them")</f>
        <v>Will NOT work for them</v>
      </c>
      <c r="J1491" s="1">
        <f ca="1">IFERROR(__xludf.DUMMYFUNCTION("""COMPUTED_VALUE"""),2)</f>
        <v>2</v>
      </c>
      <c r="K1491" s="1" t="str">
        <f ca="1">IFERROR(__xludf.DUMMYFUNCTION("""COMPUTED_VALUE"""),"Hybrid Working Environment with more than 15 days a month at office")</f>
        <v>Hybrid Working Environment with more than 15 days a month at office</v>
      </c>
      <c r="L1491" s="1" t="str">
        <f ca="1">IFERROR(__xludf.DUMMYFUNCTION("""COMPUTED_VALUE"""),"Employer who pushes your limits by enabling an learning environment, and rewards you at the end")</f>
        <v>Employer who pushes your limits by enabling an learning environment, and rewards you at the end</v>
      </c>
      <c r="M14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9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491" s="1" t="str">
        <f ca="1">IFERROR(__xludf.DUMMYFUNCTION("""COMPUTED_VALUE"""),"Manager who explains what is expected, sets a goal and helps achieve it")</f>
        <v>Manager who explains what is expected, sets a goal and helps achieve it</v>
      </c>
      <c r="P1491" s="1" t="str">
        <f ca="1">IFERROR(__xludf.DUMMYFUNCTION("""COMPUTED_VALUE"""),"Work with 2 to 3 people in my team")</f>
        <v>Work with 2 to 3 people in my team</v>
      </c>
      <c r="Q1491" s="1"/>
    </row>
    <row r="1492" spans="1:17" ht="13.2" x14ac:dyDescent="0.25">
      <c r="A1492" s="2">
        <f ca="1">IFERROR(__xludf.DUMMYFUNCTION("""COMPUTED_VALUE"""),45045.5354120717)</f>
        <v>45045.535412071702</v>
      </c>
      <c r="B1492" s="1" t="str">
        <f ca="1">IFERROR(__xludf.DUMMYFUNCTION("""COMPUTED_VALUE"""),"India")</f>
        <v>India</v>
      </c>
      <c r="C1492" s="1">
        <f ca="1">IFERROR(__xludf.DUMMYFUNCTION("""COMPUTED_VALUE"""),454775)</f>
        <v>454775</v>
      </c>
      <c r="D1492" s="3" t="str">
        <f ca="1">IFERROR(__xludf.DUMMYFUNCTION("""COMPUTED_VALUE"""),"Male")</f>
        <v>Male</v>
      </c>
      <c r="E1492" s="1" t="str">
        <f ca="1">IFERROR(__xludf.DUMMYFUNCTION("""COMPUTED_VALUE"""),"Social Media like LinkedIn")</f>
        <v>Social Media like LinkedIn</v>
      </c>
      <c r="F1492" s="1" t="str">
        <f ca="1">IFERROR(__xludf.DUMMYFUNCTION("""COMPUTED_VALUE"""),"No, But if someone could bare the cost I will")</f>
        <v>No, But if someone could bare the cost I will</v>
      </c>
      <c r="G1492" s="1" t="str">
        <f ca="1">IFERROR(__xludf.DUMMYFUNCTION("""COMPUTED_VALUE"""),"No way")</f>
        <v>No way</v>
      </c>
      <c r="H1492" s="1" t="str">
        <f ca="1">IFERROR(__xludf.DUMMYFUNCTION("""COMPUTED_VALUE"""),"Yes")</f>
        <v>Yes</v>
      </c>
      <c r="I1492" s="1" t="str">
        <f ca="1">IFERROR(__xludf.DUMMYFUNCTION("""COMPUTED_VALUE"""),"Will work for them")</f>
        <v>Will work for them</v>
      </c>
      <c r="J1492" s="1">
        <f ca="1">IFERROR(__xludf.DUMMYFUNCTION("""COMPUTED_VALUE"""),10)</f>
        <v>10</v>
      </c>
      <c r="K1492" s="1" t="str">
        <f ca="1">IFERROR(__xludf.DUMMYFUNCTION("""COMPUTED_VALUE"""),"Hybrid Working Environment with more than 15 days a month at office")</f>
        <v>Hybrid Working Environment with more than 15 days a month at office</v>
      </c>
      <c r="L1492" s="1" t="str">
        <f ca="1">IFERROR(__xludf.DUMMYFUNCTION("""COMPUTED_VALUE"""),"Employer who pushes your limits and doesn't enables learning environment and never rewards you")</f>
        <v>Employer who pushes your limits and doesn't enables learning environment and never rewards you</v>
      </c>
      <c r="M1492"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4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492" s="1" t="str">
        <f ca="1">IFERROR(__xludf.DUMMYFUNCTION("""COMPUTED_VALUE"""),"Manager who sets unrealistic targets")</f>
        <v>Manager who sets unrealistic targets</v>
      </c>
      <c r="P1492" s="1" t="str">
        <f ca="1">IFERROR(__xludf.DUMMYFUNCTION("""COMPUTED_VALUE"""),"Work alone")</f>
        <v>Work alone</v>
      </c>
      <c r="Q1492" s="1"/>
    </row>
    <row r="1493" spans="1:17" ht="13.2" x14ac:dyDescent="0.25">
      <c r="A1493" s="2">
        <f ca="1">IFERROR(__xludf.DUMMYFUNCTION("""COMPUTED_VALUE"""),45045.5401687384)</f>
        <v>45045.5401687384</v>
      </c>
      <c r="B1493" s="1" t="str">
        <f ca="1">IFERROR(__xludf.DUMMYFUNCTION("""COMPUTED_VALUE"""),"India")</f>
        <v>India</v>
      </c>
      <c r="C1493" s="1">
        <f ca="1">IFERROR(__xludf.DUMMYFUNCTION("""COMPUTED_VALUE"""),40089)</f>
        <v>40089</v>
      </c>
      <c r="D1493" s="3" t="str">
        <f ca="1">IFERROR(__xludf.DUMMYFUNCTION("""COMPUTED_VALUE"""),"Female")</f>
        <v>Female</v>
      </c>
      <c r="E1493" s="1" t="str">
        <f ca="1">IFERROR(__xludf.DUMMYFUNCTION("""COMPUTED_VALUE"""),"People from my circle, but not family members")</f>
        <v>People from my circle, but not family members</v>
      </c>
      <c r="F1493" s="1" t="str">
        <f ca="1">IFERROR(__xludf.DUMMYFUNCTION("""COMPUTED_VALUE"""),"No, But if someone could bare the cost I will")</f>
        <v>No, But if someone could bare the cost I will</v>
      </c>
      <c r="G1493" s="1" t="str">
        <f ca="1">IFERROR(__xludf.DUMMYFUNCTION("""COMPUTED_VALUE"""),"Will work for 3 years or more")</f>
        <v>Will work for 3 years or more</v>
      </c>
      <c r="H1493" s="1" t="str">
        <f ca="1">IFERROR(__xludf.DUMMYFUNCTION("""COMPUTED_VALUE"""),"No")</f>
        <v>No</v>
      </c>
      <c r="I1493" s="1" t="str">
        <f ca="1">IFERROR(__xludf.DUMMYFUNCTION("""COMPUTED_VALUE"""),"Will NOT work for them")</f>
        <v>Will NOT work for them</v>
      </c>
      <c r="J1493" s="1">
        <f ca="1">IFERROR(__xludf.DUMMYFUNCTION("""COMPUTED_VALUE"""),5)</f>
        <v>5</v>
      </c>
      <c r="K1493" s="1" t="str">
        <f ca="1">IFERROR(__xludf.DUMMYFUNCTION("""COMPUTED_VALUE"""),"Hybrid Working Environment with less than 3 days a month at office")</f>
        <v>Hybrid Working Environment with less than 3 days a month at office</v>
      </c>
      <c r="L1493" s="1" t="str">
        <f ca="1">IFERROR(__xludf.DUMMYFUNCTION("""COMPUTED_VALUE"""),"Employer who pushes your limits by enabling an learning environment, and rewards you at the end")</f>
        <v>Employer who pushes your limits by enabling an learning environment, and rewards you at the end</v>
      </c>
      <c r="M149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9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93" s="1" t="str">
        <f ca="1">IFERROR(__xludf.DUMMYFUNCTION("""COMPUTED_VALUE"""),"Manager who explains what is expected, sets a goal and helps achieve it")</f>
        <v>Manager who explains what is expected, sets a goal and helps achieve it</v>
      </c>
      <c r="P1493" s="1" t="str">
        <f ca="1">IFERROR(__xludf.DUMMYFUNCTION("""COMPUTED_VALUE"""),"Work with 5 to 6 people in my team")</f>
        <v>Work with 5 to 6 people in my team</v>
      </c>
      <c r="Q1493" s="1"/>
    </row>
    <row r="1494" spans="1:17" ht="13.2" x14ac:dyDescent="0.25">
      <c r="A1494" s="2">
        <f ca="1">IFERROR(__xludf.DUMMYFUNCTION("""COMPUTED_VALUE"""),45045.5448998958)</f>
        <v>45045.544899895802</v>
      </c>
      <c r="B1494" s="1" t="str">
        <f ca="1">IFERROR(__xludf.DUMMYFUNCTION("""COMPUTED_VALUE"""),"India")</f>
        <v>India</v>
      </c>
      <c r="C1494" s="1">
        <f ca="1">IFERROR(__xludf.DUMMYFUNCTION("""COMPUTED_VALUE"""),122052)</f>
        <v>122052</v>
      </c>
      <c r="D1494" s="3" t="str">
        <f ca="1">IFERROR(__xludf.DUMMYFUNCTION("""COMPUTED_VALUE"""),"Female")</f>
        <v>Female</v>
      </c>
      <c r="E1494" s="1" t="str">
        <f ca="1">IFERROR(__xludf.DUMMYFUNCTION("""COMPUTED_VALUE"""),"Social Media like LinkedIn")</f>
        <v>Social Media like LinkedIn</v>
      </c>
      <c r="F1494" s="1" t="str">
        <f ca="1">IFERROR(__xludf.DUMMYFUNCTION("""COMPUTED_VALUE"""),"No, But if someone could bare the cost I will")</f>
        <v>No, But if someone could bare the cost I will</v>
      </c>
      <c r="G1494" s="1" t="str">
        <f ca="1">IFERROR(__xludf.DUMMYFUNCTION("""COMPUTED_VALUE"""),"Will work for 3 years or more")</f>
        <v>Will work for 3 years or more</v>
      </c>
      <c r="H1494" s="1" t="str">
        <f ca="1">IFERROR(__xludf.DUMMYFUNCTION("""COMPUTED_VALUE"""),"Yes")</f>
        <v>Yes</v>
      </c>
      <c r="I1494" s="1" t="str">
        <f ca="1">IFERROR(__xludf.DUMMYFUNCTION("""COMPUTED_VALUE"""),"Will NOT work for them")</f>
        <v>Will NOT work for them</v>
      </c>
      <c r="J1494" s="1">
        <f ca="1">IFERROR(__xludf.DUMMYFUNCTION("""COMPUTED_VALUE"""),4)</f>
        <v>4</v>
      </c>
      <c r="K1494" s="1" t="str">
        <f ca="1">IFERROR(__xludf.DUMMYFUNCTION("""COMPUTED_VALUE"""),"Hybrid Working Environment with less than 3 days a month at office")</f>
        <v>Hybrid Working Environment with less than 3 days a month at office</v>
      </c>
      <c r="L1494" s="1" t="str">
        <f ca="1">IFERROR(__xludf.DUMMYFUNCTION("""COMPUTED_VALUE"""),"Employer who pushes your limits by enabling an learning environment, and rewards you at the end")</f>
        <v>Employer who pushes your limits by enabling an learning environment, and rewards you at the end</v>
      </c>
      <c r="M1494" s="1" t="str">
        <f ca="1">IFERROR(__xludf.DUMMYFUNCTION("""COMPUTED_VALUE"""),"Instructor or Expert Learning Programs, Learning by observing others, Manager Teaching you")</f>
        <v>Instructor or Expert Learning Programs, Learning by observing others, Manager Teaching you</v>
      </c>
      <c r="N149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1494" s="1" t="str">
        <f ca="1">IFERROR(__xludf.DUMMYFUNCTION("""COMPUTED_VALUE"""),"Manager who explains what is expected, sets a goal and helps achieve it")</f>
        <v>Manager who explains what is expected, sets a goal and helps achieve it</v>
      </c>
      <c r="P1494" s="1" t="str">
        <f ca="1">IFERROR(__xludf.DUMMYFUNCTION("""COMPUTED_VALUE"""),"Work with 5 to 6 people in my team")</f>
        <v>Work with 5 to 6 people in my team</v>
      </c>
      <c r="Q1494" s="1"/>
    </row>
    <row r="1495" spans="1:17" ht="13.2" x14ac:dyDescent="0.25">
      <c r="A1495" s="2">
        <f ca="1">IFERROR(__xludf.DUMMYFUNCTION("""COMPUTED_VALUE"""),45045.5615088194)</f>
        <v>45045.561508819403</v>
      </c>
      <c r="B1495" s="1" t="str">
        <f ca="1">IFERROR(__xludf.DUMMYFUNCTION("""COMPUTED_VALUE"""),"India")</f>
        <v>India</v>
      </c>
      <c r="C1495" s="1">
        <f ca="1">IFERROR(__xludf.DUMMYFUNCTION("""COMPUTED_VALUE"""),560048)</f>
        <v>560048</v>
      </c>
      <c r="D1495" s="3" t="str">
        <f ca="1">IFERROR(__xludf.DUMMYFUNCTION("""COMPUTED_VALUE"""),"Male")</f>
        <v>Male</v>
      </c>
      <c r="E1495" s="1" t="str">
        <f ca="1">IFERROR(__xludf.DUMMYFUNCTION("""COMPUTED_VALUE"""),"My Parents")</f>
        <v>My Parents</v>
      </c>
      <c r="F1495" s="1" t="str">
        <f ca="1">IFERROR(__xludf.DUMMYFUNCTION("""COMPUTED_VALUE"""),"Yes, I will earn and do that")</f>
        <v>Yes, I will earn and do that</v>
      </c>
      <c r="G1495" s="1" t="str">
        <f ca="1">IFERROR(__xludf.DUMMYFUNCTION("""COMPUTED_VALUE"""),"This will be hard to do, but if it is the right company I would try")</f>
        <v>This will be hard to do, but if it is the right company I would try</v>
      </c>
      <c r="H1495" s="1" t="str">
        <f ca="1">IFERROR(__xludf.DUMMYFUNCTION("""COMPUTED_VALUE"""),"No")</f>
        <v>No</v>
      </c>
      <c r="I1495" s="1" t="str">
        <f ca="1">IFERROR(__xludf.DUMMYFUNCTION("""COMPUTED_VALUE"""),"Will NOT work for them")</f>
        <v>Will NOT work for them</v>
      </c>
      <c r="J1495" s="1">
        <f ca="1">IFERROR(__xludf.DUMMYFUNCTION("""COMPUTED_VALUE"""),5)</f>
        <v>5</v>
      </c>
      <c r="K1495" s="1" t="str">
        <f ca="1">IFERROR(__xludf.DUMMYFUNCTION("""COMPUTED_VALUE"""),"Hybrid Working Environment with more than 15 days a month at office")</f>
        <v>Hybrid Working Environment with more than 15 days a month at office</v>
      </c>
      <c r="L1495" s="1" t="str">
        <f ca="1">IFERROR(__xludf.DUMMYFUNCTION("""COMPUTED_VALUE"""),"Employer who pushes your limits by enabling an learning environment, and rewards you at the end")</f>
        <v>Employer who pushes your limits by enabling an learning environment, and rewards you at the end</v>
      </c>
      <c r="M149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95"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495" s="1" t="str">
        <f ca="1">IFERROR(__xludf.DUMMYFUNCTION("""COMPUTED_VALUE"""),"Manager who explains what is expected, sets a goal and helps achieve it")</f>
        <v>Manager who explains what is expected, sets a goal and helps achieve it</v>
      </c>
      <c r="P1495" s="1" t="str">
        <f ca="1">IFERROR(__xludf.DUMMYFUNCTION("""COMPUTED_VALUE"""),"Work with 7 to 10 or more people in my team")</f>
        <v>Work with 7 to 10 or more people in my team</v>
      </c>
      <c r="Q1495" s="1"/>
    </row>
    <row r="1496" spans="1:17" ht="13.2" x14ac:dyDescent="0.25">
      <c r="A1496" s="2">
        <f ca="1">IFERROR(__xludf.DUMMYFUNCTION("""COMPUTED_VALUE"""),45045.5634289814)</f>
        <v>45045.563428981397</v>
      </c>
      <c r="B1496" s="1" t="str">
        <f ca="1">IFERROR(__xludf.DUMMYFUNCTION("""COMPUTED_VALUE"""),"India")</f>
        <v>India</v>
      </c>
      <c r="C1496" s="1">
        <f ca="1">IFERROR(__xludf.DUMMYFUNCTION("""COMPUTED_VALUE"""),440023)</f>
        <v>440023</v>
      </c>
      <c r="D1496" s="3" t="str">
        <f ca="1">IFERROR(__xludf.DUMMYFUNCTION("""COMPUTED_VALUE"""),"Male")</f>
        <v>Male</v>
      </c>
      <c r="E1496" s="1" t="str">
        <f ca="1">IFERROR(__xludf.DUMMYFUNCTION("""COMPUTED_VALUE"""),"My Parents")</f>
        <v>My Parents</v>
      </c>
      <c r="F1496" s="1" t="str">
        <f ca="1">IFERROR(__xludf.DUMMYFUNCTION("""COMPUTED_VALUE"""),"No, But if someone could bare the cost I will")</f>
        <v>No, But if someone could bare the cost I will</v>
      </c>
      <c r="G1496" s="1" t="str">
        <f ca="1">IFERROR(__xludf.DUMMYFUNCTION("""COMPUTED_VALUE"""),"Will work for 3 years or more")</f>
        <v>Will work for 3 years or more</v>
      </c>
      <c r="H1496" s="1" t="str">
        <f ca="1">IFERROR(__xludf.DUMMYFUNCTION("""COMPUTED_VALUE"""),"No")</f>
        <v>No</v>
      </c>
      <c r="I1496" s="1" t="str">
        <f ca="1">IFERROR(__xludf.DUMMYFUNCTION("""COMPUTED_VALUE"""),"Will NOT work for them")</f>
        <v>Will NOT work for them</v>
      </c>
      <c r="J1496" s="1">
        <f ca="1">IFERROR(__xludf.DUMMYFUNCTION("""COMPUTED_VALUE"""),1)</f>
        <v>1</v>
      </c>
      <c r="K1496" s="1" t="str">
        <f ca="1">IFERROR(__xludf.DUMMYFUNCTION("""COMPUTED_VALUE"""),"Fully Remote with Options to travel as and when needed")</f>
        <v>Fully Remote with Options to travel as and when needed</v>
      </c>
      <c r="L1496" s="1" t="str">
        <f ca="1">IFERROR(__xludf.DUMMYFUNCTION("""COMPUTED_VALUE"""),"Employer who appreciates learning and enables that environment")</f>
        <v>Employer who appreciates learning and enables that environment</v>
      </c>
      <c r="M149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9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96" s="1" t="str">
        <f ca="1">IFERROR(__xludf.DUMMYFUNCTION("""COMPUTED_VALUE"""),"Manager who explains what is expected, sets a goal and helps achieve it")</f>
        <v>Manager who explains what is expected, sets a goal and helps achieve it</v>
      </c>
      <c r="P1496" s="1" t="str">
        <f ca="1">IFERROR(__xludf.DUMMYFUNCTION("""COMPUTED_VALUE"""),"Work with 2 to 3 people in my team")</f>
        <v>Work with 2 to 3 people in my team</v>
      </c>
      <c r="Q1496" s="1"/>
    </row>
    <row r="1497" spans="1:17" ht="13.2" x14ac:dyDescent="0.25">
      <c r="A1497" s="2">
        <f ca="1">IFERROR(__xludf.DUMMYFUNCTION("""COMPUTED_VALUE"""),45045.5641728125)</f>
        <v>45045.564172812497</v>
      </c>
      <c r="B1497" s="1" t="str">
        <f ca="1">IFERROR(__xludf.DUMMYFUNCTION("""COMPUTED_VALUE"""),"India")</f>
        <v>India</v>
      </c>
      <c r="C1497" s="1">
        <f ca="1">IFERROR(__xludf.DUMMYFUNCTION("""COMPUTED_VALUE"""),560093)</f>
        <v>560093</v>
      </c>
      <c r="D1497" s="3" t="str">
        <f ca="1">IFERROR(__xludf.DUMMYFUNCTION("""COMPUTED_VALUE"""),"Female")</f>
        <v>Female</v>
      </c>
      <c r="E1497" s="1" t="str">
        <f ca="1">IFERROR(__xludf.DUMMYFUNCTION("""COMPUTED_VALUE"""),"My Parents")</f>
        <v>My Parents</v>
      </c>
      <c r="F1497" s="1" t="str">
        <f ca="1">IFERROR(__xludf.DUMMYFUNCTION("""COMPUTED_VALUE"""),"No, But if someone could bare the cost I will")</f>
        <v>No, But if someone could bare the cost I will</v>
      </c>
      <c r="G1497" s="1" t="str">
        <f ca="1">IFERROR(__xludf.DUMMYFUNCTION("""COMPUTED_VALUE"""),"Will work for 3 years or more")</f>
        <v>Will work for 3 years or more</v>
      </c>
      <c r="H1497" s="1" t="str">
        <f ca="1">IFERROR(__xludf.DUMMYFUNCTION("""COMPUTED_VALUE"""),"Yes")</f>
        <v>Yes</v>
      </c>
      <c r="I1497" s="1" t="str">
        <f ca="1">IFERROR(__xludf.DUMMYFUNCTION("""COMPUTED_VALUE"""),"Will work for them")</f>
        <v>Will work for them</v>
      </c>
      <c r="J1497" s="1">
        <f ca="1">IFERROR(__xludf.DUMMYFUNCTION("""COMPUTED_VALUE"""),10)</f>
        <v>10</v>
      </c>
      <c r="K1497" s="1" t="str">
        <f ca="1">IFERROR(__xludf.DUMMYFUNCTION("""COMPUTED_VALUE"""),"Fully Remote with Options to travel as and when needed")</f>
        <v>Fully Remote with Options to travel as and when needed</v>
      </c>
      <c r="L1497" s="1" t="str">
        <f ca="1">IFERROR(__xludf.DUMMYFUNCTION("""COMPUTED_VALUE"""),"Employer who appreciates learning and enables that environment")</f>
        <v>Employer who appreciates learning and enables that environment</v>
      </c>
      <c r="M1497" s="1" t="str">
        <f ca="1">IFERROR(__xludf.DUMMYFUNCTION("""COMPUTED_VALUE"""),"Instructor or Expert Learning Programs, Learning by observing others, Manager Teaching you")</f>
        <v>Instructor or Expert Learning Programs, Learning by observing others, Manager Teaching you</v>
      </c>
      <c r="N1497"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7" s="1" t="str">
        <f ca="1">IFERROR(__xludf.DUMMYFUNCTION("""COMPUTED_VALUE"""),"Manager who clearly describes what she/he needs")</f>
        <v>Manager who clearly describes what she/he needs</v>
      </c>
      <c r="P1497" s="1" t="str">
        <f ca="1">IFERROR(__xludf.DUMMYFUNCTION("""COMPUTED_VALUE"""),"Work with 7 to 10 or more people in my team")</f>
        <v>Work with 7 to 10 or more people in my team</v>
      </c>
      <c r="Q1497" s="1"/>
    </row>
    <row r="1498" spans="1:17" ht="13.2" x14ac:dyDescent="0.25">
      <c r="A1498" s="2">
        <f ca="1">IFERROR(__xludf.DUMMYFUNCTION("""COMPUTED_VALUE"""),45045.57889125)</f>
        <v>45045.578891249999</v>
      </c>
      <c r="B1498" s="1" t="str">
        <f ca="1">IFERROR(__xludf.DUMMYFUNCTION("""COMPUTED_VALUE"""),"India")</f>
        <v>India</v>
      </c>
      <c r="C1498" s="1">
        <f ca="1">IFERROR(__xludf.DUMMYFUNCTION("""COMPUTED_VALUE"""),431122)</f>
        <v>431122</v>
      </c>
      <c r="D1498" s="3" t="str">
        <f ca="1">IFERROR(__xludf.DUMMYFUNCTION("""COMPUTED_VALUE"""),"Male")</f>
        <v>Male</v>
      </c>
      <c r="E1498" s="1" t="str">
        <f ca="1">IFERROR(__xludf.DUMMYFUNCTION("""COMPUTED_VALUE"""),"My Parents")</f>
        <v>My Parents</v>
      </c>
      <c r="F1498" s="1" t="str">
        <f ca="1">IFERROR(__xludf.DUMMYFUNCTION("""COMPUTED_VALUE"""),"Yes, I will earn and do that")</f>
        <v>Yes, I will earn and do that</v>
      </c>
      <c r="G1498" s="1" t="str">
        <f ca="1">IFERROR(__xludf.DUMMYFUNCTION("""COMPUTED_VALUE"""),"Will work for 3 years or more")</f>
        <v>Will work for 3 years or more</v>
      </c>
      <c r="H1498" s="1" t="str">
        <f ca="1">IFERROR(__xludf.DUMMYFUNCTION("""COMPUTED_VALUE"""),"No")</f>
        <v>No</v>
      </c>
      <c r="I1498" s="1" t="str">
        <f ca="1">IFERROR(__xludf.DUMMYFUNCTION("""COMPUTED_VALUE"""),"Will NOT work for them")</f>
        <v>Will NOT work for them</v>
      </c>
      <c r="J1498" s="1">
        <f ca="1">IFERROR(__xludf.DUMMYFUNCTION("""COMPUTED_VALUE"""),8)</f>
        <v>8</v>
      </c>
      <c r="K1498" s="1" t="str">
        <f ca="1">IFERROR(__xludf.DUMMYFUNCTION("""COMPUTED_VALUE"""),"Fully Remote with Options to travel as and when needed")</f>
        <v>Fully Remote with Options to travel as and when needed</v>
      </c>
      <c r="L1498" s="1" t="str">
        <f ca="1">IFERROR(__xludf.DUMMYFUNCTION("""COMPUTED_VALUE"""),"Employer who appreciates learning and enables that environment")</f>
        <v>Employer who appreciates learning and enables that environment</v>
      </c>
      <c r="M149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98"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8" s="1" t="str">
        <f ca="1">IFERROR(__xludf.DUMMYFUNCTION("""COMPUTED_VALUE"""),"Manager who explains what is expected, sets a goal and helps achieve it")</f>
        <v>Manager who explains what is expected, sets a goal and helps achieve it</v>
      </c>
      <c r="P1498" s="1" t="str">
        <f ca="1">IFERROR(__xludf.DUMMYFUNCTION("""COMPUTED_VALUE"""),"Work with 7 to 10 or more people in my team")</f>
        <v>Work with 7 to 10 or more people in my team</v>
      </c>
      <c r="Q1498" s="1"/>
    </row>
    <row r="1499" spans="1:17" ht="13.2" x14ac:dyDescent="0.25">
      <c r="A1499" s="2">
        <f ca="1">IFERROR(__xludf.DUMMYFUNCTION("""COMPUTED_VALUE"""),45045.5802555671)</f>
        <v>45045.580255567103</v>
      </c>
      <c r="B1499" s="1" t="str">
        <f ca="1">IFERROR(__xludf.DUMMYFUNCTION("""COMPUTED_VALUE"""),"India")</f>
        <v>India</v>
      </c>
      <c r="C1499" s="1">
        <f ca="1">IFERROR(__xludf.DUMMYFUNCTION("""COMPUTED_VALUE"""),530068)</f>
        <v>530068</v>
      </c>
      <c r="D1499" s="3" t="str">
        <f ca="1">IFERROR(__xludf.DUMMYFUNCTION("""COMPUTED_VALUE"""),"Male")</f>
        <v>Male</v>
      </c>
      <c r="E1499" s="1" t="str">
        <f ca="1">IFERROR(__xludf.DUMMYFUNCTION("""COMPUTED_VALUE"""),"My Parents")</f>
        <v>My Parents</v>
      </c>
      <c r="F1499" s="1" t="str">
        <f ca="1">IFERROR(__xludf.DUMMYFUNCTION("""COMPUTED_VALUE"""),"Yes, I will earn and do that")</f>
        <v>Yes, I will earn and do that</v>
      </c>
      <c r="G1499" s="1" t="str">
        <f ca="1">IFERROR(__xludf.DUMMYFUNCTION("""COMPUTED_VALUE"""),"This will be hard to do, but if it is the right company I would try")</f>
        <v>This will be hard to do, but if it is the right company I would try</v>
      </c>
      <c r="H1499" s="1" t="str">
        <f ca="1">IFERROR(__xludf.DUMMYFUNCTION("""COMPUTED_VALUE"""),"No")</f>
        <v>No</v>
      </c>
      <c r="I1499" s="1" t="str">
        <f ca="1">IFERROR(__xludf.DUMMYFUNCTION("""COMPUTED_VALUE"""),"Will NOT work for them")</f>
        <v>Will NOT work for them</v>
      </c>
      <c r="J1499" s="1">
        <f ca="1">IFERROR(__xludf.DUMMYFUNCTION("""COMPUTED_VALUE"""),1)</f>
        <v>1</v>
      </c>
      <c r="K1499" s="1" t="str">
        <f ca="1">IFERROR(__xludf.DUMMYFUNCTION("""COMPUTED_VALUE"""),"Hybrid Working Environment with less than 3 days a month at office")</f>
        <v>Hybrid Working Environment with less than 3 days a month at office</v>
      </c>
      <c r="L1499" s="1" t="str">
        <f ca="1">IFERROR(__xludf.DUMMYFUNCTION("""COMPUTED_VALUE"""),"Employer who appreciates learning and enables that environment")</f>
        <v>Employer who appreciates learning and enables that environment</v>
      </c>
      <c r="M149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9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499" s="1" t="str">
        <f ca="1">IFERROR(__xludf.DUMMYFUNCTION("""COMPUTED_VALUE"""),"Manager who explains what is expected, sets a goal and helps achieve it")</f>
        <v>Manager who explains what is expected, sets a goal and helps achieve it</v>
      </c>
      <c r="P1499" s="1" t="str">
        <f ca="1">IFERROR(__xludf.DUMMYFUNCTION("""COMPUTED_VALUE"""),"Work with 7 to 10 or more people in my team, Work with more than 10 people in my team")</f>
        <v>Work with 7 to 10 or more people in my team, Work with more than 10 people in my team</v>
      </c>
      <c r="Q1499" s="1"/>
    </row>
    <row r="1500" spans="1:17" ht="13.2" x14ac:dyDescent="0.25">
      <c r="A1500" s="2">
        <f ca="1">IFERROR(__xludf.DUMMYFUNCTION("""COMPUTED_VALUE"""),45045.6004709722)</f>
        <v>45045.600470972196</v>
      </c>
      <c r="B1500" s="1" t="str">
        <f ca="1">IFERROR(__xludf.DUMMYFUNCTION("""COMPUTED_VALUE"""),"India")</f>
        <v>India</v>
      </c>
      <c r="C1500" s="1">
        <f ca="1">IFERROR(__xludf.DUMMYFUNCTION("""COMPUTED_VALUE"""),313002)</f>
        <v>313002</v>
      </c>
      <c r="D1500" s="3" t="str">
        <f ca="1">IFERROR(__xludf.DUMMYFUNCTION("""COMPUTED_VALUE"""),"Female")</f>
        <v>Female</v>
      </c>
      <c r="E1500" s="1" t="str">
        <f ca="1">IFERROR(__xludf.DUMMYFUNCTION("""COMPUTED_VALUE"""),"My Parents")</f>
        <v>My Parents</v>
      </c>
      <c r="F1500" s="1" t="str">
        <f ca="1">IFERROR(__xludf.DUMMYFUNCTION("""COMPUTED_VALUE"""),"No, But if someone could bare the cost I will")</f>
        <v>No, But if someone could bare the cost I will</v>
      </c>
      <c r="G1500" s="1" t="str">
        <f ca="1">IFERROR(__xludf.DUMMYFUNCTION("""COMPUTED_VALUE"""),"Will work for 3 years or more")</f>
        <v>Will work for 3 years or more</v>
      </c>
      <c r="H1500" s="1" t="str">
        <f ca="1">IFERROR(__xludf.DUMMYFUNCTION("""COMPUTED_VALUE"""),"No")</f>
        <v>No</v>
      </c>
      <c r="I1500" s="1" t="str">
        <f ca="1">IFERROR(__xludf.DUMMYFUNCTION("""COMPUTED_VALUE"""),"Will NOT work for them")</f>
        <v>Will NOT work for them</v>
      </c>
      <c r="J1500" s="1">
        <f ca="1">IFERROR(__xludf.DUMMYFUNCTION("""COMPUTED_VALUE"""),5)</f>
        <v>5</v>
      </c>
      <c r="K1500" s="1" t="str">
        <f ca="1">IFERROR(__xludf.DUMMYFUNCTION("""COMPUTED_VALUE"""),"Hybrid Working Environment with more than 15 days a month at office")</f>
        <v>Hybrid Working Environment with more than 15 days a month at office</v>
      </c>
      <c r="L1500" s="1" t="str">
        <f ca="1">IFERROR(__xludf.DUMMYFUNCTION("""COMPUTED_VALUE"""),"Employer who pushes your limits by enabling an learning environment, and rewards you at the end")</f>
        <v>Employer who pushes your limits by enabling an learning environment, and rewards you at the end</v>
      </c>
      <c r="M15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0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500" s="1" t="str">
        <f ca="1">IFERROR(__xludf.DUMMYFUNCTION("""COMPUTED_VALUE"""),"Manager who sets goal and helps me achieve it")</f>
        <v>Manager who sets goal and helps me achieve it</v>
      </c>
      <c r="P1500" s="1" t="str">
        <f ca="1">IFERROR(__xludf.DUMMYFUNCTION("""COMPUTED_VALUE"""),"Work with 2 to 3 people in my team")</f>
        <v>Work with 2 to 3 people in my team</v>
      </c>
      <c r="Q1500" s="1"/>
    </row>
    <row r="1501" spans="1:17" ht="13.2" x14ac:dyDescent="0.25">
      <c r="A1501" s="2">
        <f ca="1">IFERROR(__xludf.DUMMYFUNCTION("""COMPUTED_VALUE"""),45045.6054785648)</f>
        <v>45045.605478564801</v>
      </c>
      <c r="B1501" s="1" t="str">
        <f ca="1">IFERROR(__xludf.DUMMYFUNCTION("""COMPUTED_VALUE"""),"India")</f>
        <v>India</v>
      </c>
      <c r="C1501" s="1">
        <f ca="1">IFERROR(__xludf.DUMMYFUNCTION("""COMPUTED_VALUE"""),395006)</f>
        <v>395006</v>
      </c>
      <c r="D1501" s="3" t="str">
        <f ca="1">IFERROR(__xludf.DUMMYFUNCTION("""COMPUTED_VALUE"""),"Male")</f>
        <v>Male</v>
      </c>
      <c r="E1501" s="1" t="str">
        <f ca="1">IFERROR(__xludf.DUMMYFUNCTION("""COMPUTED_VALUE"""),"People from my circle, but not family members")</f>
        <v>People from my circle, but not family members</v>
      </c>
      <c r="F1501" s="1" t="str">
        <f ca="1">IFERROR(__xludf.DUMMYFUNCTION("""COMPUTED_VALUE"""),"Yes, I will earn and do that")</f>
        <v>Yes, I will earn and do that</v>
      </c>
      <c r="G1501" s="1" t="str">
        <f ca="1">IFERROR(__xludf.DUMMYFUNCTION("""COMPUTED_VALUE"""),"This will be hard to do, but if it is the right company I would try")</f>
        <v>This will be hard to do, but if it is the right company I would try</v>
      </c>
      <c r="H1501" s="1" t="str">
        <f ca="1">IFERROR(__xludf.DUMMYFUNCTION("""COMPUTED_VALUE"""),"No")</f>
        <v>No</v>
      </c>
      <c r="I1501" s="1" t="str">
        <f ca="1">IFERROR(__xludf.DUMMYFUNCTION("""COMPUTED_VALUE"""),"Will NOT work for them")</f>
        <v>Will NOT work for them</v>
      </c>
      <c r="J1501" s="1">
        <f ca="1">IFERROR(__xludf.DUMMYFUNCTION("""COMPUTED_VALUE"""),1)</f>
        <v>1</v>
      </c>
      <c r="K1501" s="1" t="str">
        <f ca="1">IFERROR(__xludf.DUMMYFUNCTION("""COMPUTED_VALUE"""),"Every Day Office Environment")</f>
        <v>Every Day Office Environment</v>
      </c>
      <c r="L1501" s="1" t="str">
        <f ca="1">IFERROR(__xludf.DUMMYFUNCTION("""COMPUTED_VALUE"""),"Employer who pushes your limits by enabling an learning environment, and rewards you at the end")</f>
        <v>Employer who pushes your limits by enabling an learning environment, and rewards you at the end</v>
      </c>
      <c r="M150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01"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501" s="1" t="str">
        <f ca="1">IFERROR(__xludf.DUMMYFUNCTION("""COMPUTED_VALUE"""),"Manager who sets goal and helps me achieve it")</f>
        <v>Manager who sets goal and helps me achieve it</v>
      </c>
      <c r="P1501" s="1" t="str">
        <f ca="1">IFERROR(__xludf.DUMMYFUNCTION("""COMPUTED_VALUE"""),"Work with 5 to 6 people in my team")</f>
        <v>Work with 5 to 6 people in my team</v>
      </c>
      <c r="Q1501" s="1"/>
    </row>
    <row r="1502" spans="1:17" ht="13.2" x14ac:dyDescent="0.25">
      <c r="A1502" s="2">
        <f ca="1">IFERROR(__xludf.DUMMYFUNCTION("""COMPUTED_VALUE"""),45045.6157628588)</f>
        <v>45045.615762858797</v>
      </c>
      <c r="B1502" s="1" t="str">
        <f ca="1">IFERROR(__xludf.DUMMYFUNCTION("""COMPUTED_VALUE"""),"India")</f>
        <v>India</v>
      </c>
      <c r="C1502" s="1">
        <f ca="1">IFERROR(__xludf.DUMMYFUNCTION("""COMPUTED_VALUE"""),600097)</f>
        <v>600097</v>
      </c>
      <c r="D1502" s="3" t="str">
        <f ca="1">IFERROR(__xludf.DUMMYFUNCTION("""COMPUTED_VALUE"""),"Male")</f>
        <v>Male</v>
      </c>
      <c r="E1502" s="1" t="str">
        <f ca="1">IFERROR(__xludf.DUMMYFUNCTION("""COMPUTED_VALUE"""),"My Parents")</f>
        <v>My Parents</v>
      </c>
      <c r="F1502" s="1" t="str">
        <f ca="1">IFERROR(__xludf.DUMMYFUNCTION("""COMPUTED_VALUE"""),"No, But if someone could bare the cost I will")</f>
        <v>No, But if someone could bare the cost I will</v>
      </c>
      <c r="G1502" s="1" t="str">
        <f ca="1">IFERROR(__xludf.DUMMYFUNCTION("""COMPUTED_VALUE"""),"This will be hard to do, but if it is the right company I would try")</f>
        <v>This will be hard to do, but if it is the right company I would try</v>
      </c>
      <c r="H1502" s="1" t="str">
        <f ca="1">IFERROR(__xludf.DUMMYFUNCTION("""COMPUTED_VALUE"""),"Yes")</f>
        <v>Yes</v>
      </c>
      <c r="I1502" s="1" t="str">
        <f ca="1">IFERROR(__xludf.DUMMYFUNCTION("""COMPUTED_VALUE"""),"Will work for them")</f>
        <v>Will work for them</v>
      </c>
      <c r="J1502" s="1">
        <f ca="1">IFERROR(__xludf.DUMMYFUNCTION("""COMPUTED_VALUE"""),10)</f>
        <v>10</v>
      </c>
      <c r="K1502" s="1" t="str">
        <f ca="1">IFERROR(__xludf.DUMMYFUNCTION("""COMPUTED_VALUE"""),"Hybrid Working Environment with more than 15 days a month at office")</f>
        <v>Hybrid Working Environment with more than 15 days a month at office</v>
      </c>
      <c r="L1502" s="1" t="str">
        <f ca="1">IFERROR(__xludf.DUMMYFUNCTION("""COMPUTED_VALUE"""),"Employer who rewards learning and enables that environment")</f>
        <v>Employer who rewards learning and enables that environment</v>
      </c>
      <c r="M150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02"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502" s="1" t="str">
        <f ca="1">IFERROR(__xludf.DUMMYFUNCTION("""COMPUTED_VALUE"""),"Manager who explains what is expected, sets a goal and helps achieve it")</f>
        <v>Manager who explains what is expected, sets a goal and helps achieve it</v>
      </c>
      <c r="P150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502" s="1"/>
    </row>
    <row r="1503" spans="1:17" ht="13.2" x14ac:dyDescent="0.25">
      <c r="A1503" s="2">
        <f ca="1">IFERROR(__xludf.DUMMYFUNCTION("""COMPUTED_VALUE"""),45045.6175001851)</f>
        <v>45045.617500185101</v>
      </c>
      <c r="B1503" s="1" t="str">
        <f ca="1">IFERROR(__xludf.DUMMYFUNCTION("""COMPUTED_VALUE"""),"India")</f>
        <v>India</v>
      </c>
      <c r="C1503" s="1">
        <f ca="1">IFERROR(__xludf.DUMMYFUNCTION("""COMPUTED_VALUE"""),421301)</f>
        <v>421301</v>
      </c>
      <c r="D1503" s="3" t="str">
        <f ca="1">IFERROR(__xludf.DUMMYFUNCTION("""COMPUTED_VALUE"""),"Female")</f>
        <v>Female</v>
      </c>
      <c r="E1503" s="1" t="str">
        <f ca="1">IFERROR(__xludf.DUMMYFUNCTION("""COMPUTED_VALUE"""),"My Parents")</f>
        <v>My Parents</v>
      </c>
      <c r="F1503" s="1" t="str">
        <f ca="1">IFERROR(__xludf.DUMMYFUNCTION("""COMPUTED_VALUE"""),"No I would not be pursuing Higher Education outside of India")</f>
        <v>No I would not be pursuing Higher Education outside of India</v>
      </c>
      <c r="G1503" s="1" t="str">
        <f ca="1">IFERROR(__xludf.DUMMYFUNCTION("""COMPUTED_VALUE"""),"This will be hard to do, but if it is the right company I would try")</f>
        <v>This will be hard to do, but if it is the right company I would try</v>
      </c>
      <c r="H1503" s="1" t="str">
        <f ca="1">IFERROR(__xludf.DUMMYFUNCTION("""COMPUTED_VALUE"""),"No")</f>
        <v>No</v>
      </c>
      <c r="I1503" s="1" t="str">
        <f ca="1">IFERROR(__xludf.DUMMYFUNCTION("""COMPUTED_VALUE"""),"Will NOT work for them")</f>
        <v>Will NOT work for them</v>
      </c>
      <c r="J1503" s="1">
        <f ca="1">IFERROR(__xludf.DUMMYFUNCTION("""COMPUTED_VALUE"""),5)</f>
        <v>5</v>
      </c>
      <c r="K1503" s="1" t="str">
        <f ca="1">IFERROR(__xludf.DUMMYFUNCTION("""COMPUTED_VALUE"""),"Hybrid Working Environment with more than 15 days a month at office")</f>
        <v>Hybrid Working Environment with more than 15 days a month at office</v>
      </c>
      <c r="L1503" s="1" t="str">
        <f ca="1">IFERROR(__xludf.DUMMYFUNCTION("""COMPUTED_VALUE"""),"Employer who appreciates learning and enables that environment")</f>
        <v>Employer who appreciates learning and enables that environment</v>
      </c>
      <c r="M150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03" s="1" t="str">
        <f ca="1">IFERROR(__xludf.DUMMYFUNCTION("""COMPUTED_VALUE"""),"Manager who explains what is expected, sets a goal and helps achieve it")</f>
        <v>Manager who explains what is expected, sets a goal and helps achieve it</v>
      </c>
      <c r="P1503" s="1" t="str">
        <f ca="1">IFERROR(__xludf.DUMMYFUNCTION("""COMPUTED_VALUE"""),"Work alone, Work with 5 to 6 people in my team")</f>
        <v>Work alone, Work with 5 to 6 people in my team</v>
      </c>
      <c r="Q1503" s="1"/>
    </row>
    <row r="1504" spans="1:17" ht="13.2" x14ac:dyDescent="0.25">
      <c r="A1504" s="2">
        <f ca="1">IFERROR(__xludf.DUMMYFUNCTION("""COMPUTED_VALUE"""),45045.6179723263)</f>
        <v>45045.617972326298</v>
      </c>
      <c r="B1504" s="1" t="str">
        <f ca="1">IFERROR(__xludf.DUMMYFUNCTION("""COMPUTED_VALUE"""),"India")</f>
        <v>India</v>
      </c>
      <c r="C1504" s="1">
        <f ca="1">IFERROR(__xludf.DUMMYFUNCTION("""COMPUTED_VALUE"""),400102)</f>
        <v>400102</v>
      </c>
      <c r="D1504" s="3" t="str">
        <f ca="1">IFERROR(__xludf.DUMMYFUNCTION("""COMPUTED_VALUE"""),"Male")</f>
        <v>Male</v>
      </c>
      <c r="E1504" s="1" t="str">
        <f ca="1">IFERROR(__xludf.DUMMYFUNCTION("""COMPUTED_VALUE"""),"My Parents")</f>
        <v>My Parents</v>
      </c>
      <c r="F1504" s="1" t="str">
        <f ca="1">IFERROR(__xludf.DUMMYFUNCTION("""COMPUTED_VALUE"""),"Yes, I will earn and do that")</f>
        <v>Yes, I will earn and do that</v>
      </c>
      <c r="G1504" s="1" t="str">
        <f ca="1">IFERROR(__xludf.DUMMYFUNCTION("""COMPUTED_VALUE"""),"Will work for 3 years or more")</f>
        <v>Will work for 3 years or more</v>
      </c>
      <c r="H1504" s="1" t="str">
        <f ca="1">IFERROR(__xludf.DUMMYFUNCTION("""COMPUTED_VALUE"""),"No")</f>
        <v>No</v>
      </c>
      <c r="I1504" s="1" t="str">
        <f ca="1">IFERROR(__xludf.DUMMYFUNCTION("""COMPUTED_VALUE"""),"Will work for them")</f>
        <v>Will work for them</v>
      </c>
      <c r="J1504" s="1">
        <f ca="1">IFERROR(__xludf.DUMMYFUNCTION("""COMPUTED_VALUE"""),6)</f>
        <v>6</v>
      </c>
      <c r="K1504" s="1" t="str">
        <f ca="1">IFERROR(__xludf.DUMMYFUNCTION("""COMPUTED_VALUE"""),"Hybrid Working Environment with more than 15 days a month at office")</f>
        <v>Hybrid Working Environment with more than 15 days a month at office</v>
      </c>
      <c r="L1504" s="1" t="str">
        <f ca="1">IFERROR(__xludf.DUMMYFUNCTION("""COMPUTED_VALUE"""),"Employer who pushes your limits by enabling an learning environment, and rewards you at the end")</f>
        <v>Employer who pushes your limits by enabling an learning environment, and rewards you at the end</v>
      </c>
      <c r="M15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4"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504" s="1" t="str">
        <f ca="1">IFERROR(__xludf.DUMMYFUNCTION("""COMPUTED_VALUE"""),"Manager who explains what is expected, sets a goal and helps achieve it")</f>
        <v>Manager who explains what is expected, sets a goal and helps achieve it</v>
      </c>
      <c r="P1504" s="1" t="str">
        <f ca="1">IFERROR(__xludf.DUMMYFUNCTION("""COMPUTED_VALUE"""),"Work with 2 to 3 people in my team, Work with 5 to 6 people in my team")</f>
        <v>Work with 2 to 3 people in my team, Work with 5 to 6 people in my team</v>
      </c>
      <c r="Q1504" s="1"/>
    </row>
    <row r="1505" spans="1:17" ht="13.2" x14ac:dyDescent="0.25">
      <c r="A1505" s="2">
        <f ca="1">IFERROR(__xludf.DUMMYFUNCTION("""COMPUTED_VALUE"""),45045.6197212615)</f>
        <v>45045.619721261501</v>
      </c>
      <c r="B1505" s="1" t="str">
        <f ca="1">IFERROR(__xludf.DUMMYFUNCTION("""COMPUTED_VALUE"""),"India")</f>
        <v>India</v>
      </c>
      <c r="C1505" s="1">
        <f ca="1">IFERROR(__xludf.DUMMYFUNCTION("""COMPUTED_VALUE"""),92)</f>
        <v>92</v>
      </c>
      <c r="D1505" s="3" t="str">
        <f ca="1">IFERROR(__xludf.DUMMYFUNCTION("""COMPUTED_VALUE"""),"Female")</f>
        <v>Female</v>
      </c>
      <c r="E1505" s="1" t="str">
        <f ca="1">IFERROR(__xludf.DUMMYFUNCTION("""COMPUTED_VALUE"""),"People who have changed the world for better")</f>
        <v>People who have changed the world for better</v>
      </c>
      <c r="F1505" s="1" t="str">
        <f ca="1">IFERROR(__xludf.DUMMYFUNCTION("""COMPUTED_VALUE"""),"No I would not be pursuing Higher Education outside of India")</f>
        <v>No I would not be pursuing Higher Education outside of India</v>
      </c>
      <c r="G1505" s="1" t="str">
        <f ca="1">IFERROR(__xludf.DUMMYFUNCTION("""COMPUTED_VALUE"""),"This will be hard to do, but if it is the right company I would try")</f>
        <v>This will be hard to do, but if it is the right company I would try</v>
      </c>
      <c r="H1505" s="1" t="str">
        <f ca="1">IFERROR(__xludf.DUMMYFUNCTION("""COMPUTED_VALUE"""),"No")</f>
        <v>No</v>
      </c>
      <c r="I1505" s="1" t="str">
        <f ca="1">IFERROR(__xludf.DUMMYFUNCTION("""COMPUTED_VALUE"""),"Will NOT work for them")</f>
        <v>Will NOT work for them</v>
      </c>
      <c r="J1505" s="1">
        <f ca="1">IFERROR(__xludf.DUMMYFUNCTION("""COMPUTED_VALUE"""),3)</f>
        <v>3</v>
      </c>
      <c r="K1505" s="1" t="str">
        <f ca="1">IFERROR(__xludf.DUMMYFUNCTION("""COMPUTED_VALUE"""),"Hybrid Working Environment with more than 15 days a month at office")</f>
        <v>Hybrid Working Environment with more than 15 days a month at office</v>
      </c>
      <c r="L1505" s="1" t="str">
        <f ca="1">IFERROR(__xludf.DUMMYFUNCTION("""COMPUTED_VALUE"""),"Employer who pushes your limits by enabling an learning environment, and rewards you at the end")</f>
        <v>Employer who pushes your limits by enabling an learning environment, and rewards you at the end</v>
      </c>
      <c r="M150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05"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05" s="1" t="str">
        <f ca="1">IFERROR(__xludf.DUMMYFUNCTION("""COMPUTED_VALUE"""),"Manager who explains what is expected, sets a goal and helps achieve it")</f>
        <v>Manager who explains what is expected, sets a goal and helps achieve it</v>
      </c>
      <c r="P1505" s="1" t="str">
        <f ca="1">IFERROR(__xludf.DUMMYFUNCTION("""COMPUTED_VALUE"""),"Work with 5 to 6 people in my team")</f>
        <v>Work with 5 to 6 people in my team</v>
      </c>
      <c r="Q1505" s="1"/>
    </row>
    <row r="1506" spans="1:17" ht="13.2" x14ac:dyDescent="0.25">
      <c r="A1506" s="2">
        <f ca="1">IFERROR(__xludf.DUMMYFUNCTION("""COMPUTED_VALUE"""),45045.6200476504)</f>
        <v>45045.620047650402</v>
      </c>
      <c r="B1506" s="1" t="str">
        <f ca="1">IFERROR(__xludf.DUMMYFUNCTION("""COMPUTED_VALUE"""),"Others")</f>
        <v>Others</v>
      </c>
      <c r="C1506" s="1" t="str">
        <f ca="1">IFERROR(__xludf.DUMMYFUNCTION("""COMPUTED_VALUE"""),"PR17QS")</f>
        <v>PR17QS</v>
      </c>
      <c r="D1506" s="3" t="str">
        <f ca="1">IFERROR(__xludf.DUMMYFUNCTION("""COMPUTED_VALUE"""),"Female")</f>
        <v>Female</v>
      </c>
      <c r="E1506" s="1" t="str">
        <f ca="1">IFERROR(__xludf.DUMMYFUNCTION("""COMPUTED_VALUE"""),"My Parents")</f>
        <v>My Parents</v>
      </c>
      <c r="F1506" s="1" t="str">
        <f ca="1">IFERROR(__xludf.DUMMYFUNCTION("""COMPUTED_VALUE"""),"Yes, I will earn and do that")</f>
        <v>Yes, I will earn and do that</v>
      </c>
      <c r="G1506" s="1" t="str">
        <f ca="1">IFERROR(__xludf.DUMMYFUNCTION("""COMPUTED_VALUE"""),"This will be hard to do, but if it is the right company I would try")</f>
        <v>This will be hard to do, but if it is the right company I would try</v>
      </c>
      <c r="H1506" s="1" t="str">
        <f ca="1">IFERROR(__xludf.DUMMYFUNCTION("""COMPUTED_VALUE"""),"No")</f>
        <v>No</v>
      </c>
      <c r="I1506" s="1" t="str">
        <f ca="1">IFERROR(__xludf.DUMMYFUNCTION("""COMPUTED_VALUE"""),"Will NOT work for them")</f>
        <v>Will NOT work for them</v>
      </c>
      <c r="J1506" s="1">
        <f ca="1">IFERROR(__xludf.DUMMYFUNCTION("""COMPUTED_VALUE"""),2)</f>
        <v>2</v>
      </c>
      <c r="K1506" s="1" t="str">
        <f ca="1">IFERROR(__xludf.DUMMYFUNCTION("""COMPUTED_VALUE"""),"Hybrid Working Environment with more than 15 days a month at office")</f>
        <v>Hybrid Working Environment with more than 15 days a month at office</v>
      </c>
      <c r="L1506" s="1" t="str">
        <f ca="1">IFERROR(__xludf.DUMMYFUNCTION("""COMPUTED_VALUE"""),"Employer who pushes your limits by enabling an learning environment, and rewards you at the end")</f>
        <v>Employer who pushes your limits by enabling an learning environment, and rewards you at the end</v>
      </c>
      <c r="M15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0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506" s="1" t="str">
        <f ca="1">IFERROR(__xludf.DUMMYFUNCTION("""COMPUTED_VALUE"""),"Manager who explains what is expected, sets a goal and helps achieve it")</f>
        <v>Manager who explains what is expected, sets a goal and helps achieve it</v>
      </c>
      <c r="P1506" s="1" t="str">
        <f ca="1">IFERROR(__xludf.DUMMYFUNCTION("""COMPUTED_VALUE"""),"Work with 5 to 6 people in my team")</f>
        <v>Work with 5 to 6 people in my team</v>
      </c>
      <c r="Q1506" s="1"/>
    </row>
    <row r="1507" spans="1:17" ht="13.2" x14ac:dyDescent="0.25">
      <c r="A1507" s="2">
        <f ca="1">IFERROR(__xludf.DUMMYFUNCTION("""COMPUTED_VALUE"""),45045.62200603)</f>
        <v>45045.622006029997</v>
      </c>
      <c r="B1507" s="1" t="str">
        <f ca="1">IFERROR(__xludf.DUMMYFUNCTION("""COMPUTED_VALUE"""),"India")</f>
        <v>India</v>
      </c>
      <c r="C1507" s="1">
        <f ca="1">IFERROR(__xludf.DUMMYFUNCTION("""COMPUTED_VALUE"""),400008)</f>
        <v>400008</v>
      </c>
      <c r="D1507" s="3" t="str">
        <f ca="1">IFERROR(__xludf.DUMMYFUNCTION("""COMPUTED_VALUE"""),"Male")</f>
        <v>Male</v>
      </c>
      <c r="E1507" s="1" t="str">
        <f ca="1">IFERROR(__xludf.DUMMYFUNCTION("""COMPUTED_VALUE"""),"My Parents")</f>
        <v>My Parents</v>
      </c>
      <c r="F1507" s="1" t="str">
        <f ca="1">IFERROR(__xludf.DUMMYFUNCTION("""COMPUTED_VALUE"""),"No I would not be pursuing Higher Education outside of India")</f>
        <v>No I would not be pursuing Higher Education outside of India</v>
      </c>
      <c r="G1507" s="1" t="str">
        <f ca="1">IFERROR(__xludf.DUMMYFUNCTION("""COMPUTED_VALUE"""),"This will be hard to do, but if it is the right company I would try")</f>
        <v>This will be hard to do, but if it is the right company I would try</v>
      </c>
      <c r="H1507" s="1" t="str">
        <f ca="1">IFERROR(__xludf.DUMMYFUNCTION("""COMPUTED_VALUE"""),"Yes")</f>
        <v>Yes</v>
      </c>
      <c r="I1507" s="1" t="str">
        <f ca="1">IFERROR(__xludf.DUMMYFUNCTION("""COMPUTED_VALUE"""),"Will NOT work for them")</f>
        <v>Will NOT work for them</v>
      </c>
      <c r="J1507" s="1">
        <f ca="1">IFERROR(__xludf.DUMMYFUNCTION("""COMPUTED_VALUE"""),5)</f>
        <v>5</v>
      </c>
      <c r="K1507" s="1" t="str">
        <f ca="1">IFERROR(__xludf.DUMMYFUNCTION("""COMPUTED_VALUE"""),"Hybrid Working Environment with more than 15 days a month at office")</f>
        <v>Hybrid Working Environment with more than 15 days a month at office</v>
      </c>
      <c r="L1507" s="1" t="str">
        <f ca="1">IFERROR(__xludf.DUMMYFUNCTION("""COMPUTED_VALUE"""),"Employer who pushes your limits by enabling an learning environment, and rewards you at the end")</f>
        <v>Employer who pushes your limits by enabling an learning environment, and rewards you at the end</v>
      </c>
      <c r="M1507"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507"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507" s="1" t="str">
        <f ca="1">IFERROR(__xludf.DUMMYFUNCTION("""COMPUTED_VALUE"""),"Manager who explains what is expected, sets a goal and helps achieve it")</f>
        <v>Manager who explains what is expected, sets a goal and helps achieve it</v>
      </c>
      <c r="P1507" s="1" t="str">
        <f ca="1">IFERROR(__xludf.DUMMYFUNCTION("""COMPUTED_VALUE"""),"Work with more than 10 people in my team")</f>
        <v>Work with more than 10 people in my team</v>
      </c>
      <c r="Q1507" s="1"/>
    </row>
    <row r="1508" spans="1:17" ht="13.2" x14ac:dyDescent="0.25">
      <c r="A1508" s="2">
        <f ca="1">IFERROR(__xludf.DUMMYFUNCTION("""COMPUTED_VALUE"""),45045.625838993)</f>
        <v>45045.625838993001</v>
      </c>
      <c r="B1508" s="1" t="str">
        <f ca="1">IFERROR(__xludf.DUMMYFUNCTION("""COMPUTED_VALUE"""),"India")</f>
        <v>India</v>
      </c>
      <c r="C1508" s="1">
        <f ca="1">IFERROR(__xludf.DUMMYFUNCTION("""COMPUTED_VALUE"""),410206)</f>
        <v>410206</v>
      </c>
      <c r="D1508" s="3" t="str">
        <f ca="1">IFERROR(__xludf.DUMMYFUNCTION("""COMPUTED_VALUE"""),"Female")</f>
        <v>Female</v>
      </c>
      <c r="E1508" s="1" t="str">
        <f ca="1">IFERROR(__xludf.DUMMYFUNCTION("""COMPUTED_VALUE"""),"People who have changed the world for better")</f>
        <v>People who have changed the world for better</v>
      </c>
      <c r="F1508" s="1" t="str">
        <f ca="1">IFERROR(__xludf.DUMMYFUNCTION("""COMPUTED_VALUE"""),"Yes, I will earn and do that")</f>
        <v>Yes, I will earn and do that</v>
      </c>
      <c r="G1508" s="1" t="str">
        <f ca="1">IFERROR(__xludf.DUMMYFUNCTION("""COMPUTED_VALUE"""),"This will be hard to do, but if it is the right company I would try")</f>
        <v>This will be hard to do, but if it is the right company I would try</v>
      </c>
      <c r="H1508" s="1" t="str">
        <f ca="1">IFERROR(__xludf.DUMMYFUNCTION("""COMPUTED_VALUE"""),"No")</f>
        <v>No</v>
      </c>
      <c r="I1508" s="1" t="str">
        <f ca="1">IFERROR(__xludf.DUMMYFUNCTION("""COMPUTED_VALUE"""),"Will NOT work for them")</f>
        <v>Will NOT work for them</v>
      </c>
      <c r="J1508" s="1">
        <f ca="1">IFERROR(__xludf.DUMMYFUNCTION("""COMPUTED_VALUE"""),3)</f>
        <v>3</v>
      </c>
      <c r="K1508" s="1" t="str">
        <f ca="1">IFERROR(__xludf.DUMMYFUNCTION("""COMPUTED_VALUE"""),"Every Day Office Environment")</f>
        <v>Every Day Office Environment</v>
      </c>
      <c r="L1508" s="1" t="str">
        <f ca="1">IFERROR(__xludf.DUMMYFUNCTION("""COMPUTED_VALUE"""),"Employer who pushes your limits by enabling an learning environment, and rewards you at the end")</f>
        <v>Employer who pushes your limits by enabling an learning environment, and rewards you at the end</v>
      </c>
      <c r="M150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508" s="1" t="str">
        <f ca="1">IFERROR(__xludf.DUMMYFUNCTION("""COMPUTED_VALUE"""),"Manager who explains what is expected, sets a goal and helps achieve it")</f>
        <v>Manager who explains what is expected, sets a goal and helps achieve it</v>
      </c>
      <c r="P1508" s="1" t="str">
        <f ca="1">IFERROR(__xludf.DUMMYFUNCTION("""COMPUTED_VALUE"""),"Work with 2 to 3 people in my team")</f>
        <v>Work with 2 to 3 people in my team</v>
      </c>
      <c r="Q1508" s="1"/>
    </row>
    <row r="1509" spans="1:17" ht="13.2" x14ac:dyDescent="0.25">
      <c r="A1509" s="2">
        <f ca="1">IFERROR(__xludf.DUMMYFUNCTION("""COMPUTED_VALUE"""),45045.6280369097)</f>
        <v>45045.6280369097</v>
      </c>
      <c r="B1509" s="1" t="str">
        <f ca="1">IFERROR(__xludf.DUMMYFUNCTION("""COMPUTED_VALUE"""),"India")</f>
        <v>India</v>
      </c>
      <c r="C1509" s="1">
        <f ca="1">IFERROR(__xludf.DUMMYFUNCTION("""COMPUTED_VALUE"""),242401)</f>
        <v>242401</v>
      </c>
      <c r="D1509" s="3" t="str">
        <f ca="1">IFERROR(__xludf.DUMMYFUNCTION("""COMPUTED_VALUE"""),"Male")</f>
        <v>Male</v>
      </c>
      <c r="E1509" s="1" t="str">
        <f ca="1">IFERROR(__xludf.DUMMYFUNCTION("""COMPUTED_VALUE"""),"People from my circle, but not family members")</f>
        <v>People from my circle, but not family members</v>
      </c>
      <c r="F1509" s="1" t="str">
        <f ca="1">IFERROR(__xludf.DUMMYFUNCTION("""COMPUTED_VALUE"""),"No I would not be pursuing Higher Education outside of India")</f>
        <v>No I would not be pursuing Higher Education outside of India</v>
      </c>
      <c r="G1509" s="1" t="str">
        <f ca="1">IFERROR(__xludf.DUMMYFUNCTION("""COMPUTED_VALUE"""),"Will work for 3 years or more")</f>
        <v>Will work for 3 years or more</v>
      </c>
      <c r="H1509" s="1" t="str">
        <f ca="1">IFERROR(__xludf.DUMMYFUNCTION("""COMPUTED_VALUE"""),"No")</f>
        <v>No</v>
      </c>
      <c r="I1509" s="1" t="str">
        <f ca="1">IFERROR(__xludf.DUMMYFUNCTION("""COMPUTED_VALUE"""),"Will NOT work for them")</f>
        <v>Will NOT work for them</v>
      </c>
      <c r="J1509" s="1">
        <f ca="1">IFERROR(__xludf.DUMMYFUNCTION("""COMPUTED_VALUE"""),3)</f>
        <v>3</v>
      </c>
      <c r="K1509" s="1" t="str">
        <f ca="1">IFERROR(__xludf.DUMMYFUNCTION("""COMPUTED_VALUE"""),"Hybrid Working Environment with more than 15 days a month at office")</f>
        <v>Hybrid Working Environment with more than 15 days a month at office</v>
      </c>
      <c r="L1509" s="1" t="str">
        <f ca="1">IFERROR(__xludf.DUMMYFUNCTION("""COMPUTED_VALUE"""),"Employer who rewards learning and enables that environment")</f>
        <v>Employer who rewards learning and enables that environment</v>
      </c>
      <c r="M1509" s="1" t="str">
        <f ca="1">IFERROR(__xludf.DUMMYFUNCTION("""COMPUTED_VALUE"""),"Instructor or Expert Learning Programs, Learning by observing others, Manager Teaching you")</f>
        <v>Instructor or Expert Learning Programs, Learning by observing others, Manager Teaching you</v>
      </c>
      <c r="N1509"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509" s="1" t="str">
        <f ca="1">IFERROR(__xludf.DUMMYFUNCTION("""COMPUTED_VALUE"""),"Manager who explains what is expected, sets a goal and helps achieve it")</f>
        <v>Manager who explains what is expected, sets a goal and helps achieve it</v>
      </c>
      <c r="P1509" s="1" t="str">
        <f ca="1">IFERROR(__xludf.DUMMYFUNCTION("""COMPUTED_VALUE"""),"Work with 2 to 3 people in my team")</f>
        <v>Work with 2 to 3 people in my team</v>
      </c>
      <c r="Q1509" s="1"/>
    </row>
    <row r="1510" spans="1:17" ht="13.2" x14ac:dyDescent="0.25">
      <c r="A1510" s="2">
        <f ca="1">IFERROR(__xludf.DUMMYFUNCTION("""COMPUTED_VALUE"""),45045.6338825115)</f>
        <v>45045.633882511502</v>
      </c>
      <c r="B1510" s="1" t="str">
        <f ca="1">IFERROR(__xludf.DUMMYFUNCTION("""COMPUTED_VALUE"""),"India")</f>
        <v>India</v>
      </c>
      <c r="C1510" s="1">
        <f ca="1">IFERROR(__xludf.DUMMYFUNCTION("""COMPUTED_VALUE"""),410206)</f>
        <v>410206</v>
      </c>
      <c r="D1510" s="3" t="str">
        <f ca="1">IFERROR(__xludf.DUMMYFUNCTION("""COMPUTED_VALUE"""),"Female")</f>
        <v>Female</v>
      </c>
      <c r="E1510" s="1" t="str">
        <f ca="1">IFERROR(__xludf.DUMMYFUNCTION("""COMPUTED_VALUE"""),"People from my circle, but not family members")</f>
        <v>People from my circle, but not family members</v>
      </c>
      <c r="F1510" s="1" t="str">
        <f ca="1">IFERROR(__xludf.DUMMYFUNCTION("""COMPUTED_VALUE"""),"No, But if someone could bare the cost I will")</f>
        <v>No, But if someone could bare the cost I will</v>
      </c>
      <c r="G1510" s="1" t="str">
        <f ca="1">IFERROR(__xludf.DUMMYFUNCTION("""COMPUTED_VALUE"""),"This will be hard to do, but if it is the right company I would try")</f>
        <v>This will be hard to do, but if it is the right company I would try</v>
      </c>
      <c r="H1510" s="1" t="str">
        <f ca="1">IFERROR(__xludf.DUMMYFUNCTION("""COMPUTED_VALUE"""),"No")</f>
        <v>No</v>
      </c>
      <c r="I1510" s="1" t="str">
        <f ca="1">IFERROR(__xludf.DUMMYFUNCTION("""COMPUTED_VALUE"""),"Will NOT work for them")</f>
        <v>Will NOT work for them</v>
      </c>
      <c r="J1510" s="1">
        <f ca="1">IFERROR(__xludf.DUMMYFUNCTION("""COMPUTED_VALUE"""),6)</f>
        <v>6</v>
      </c>
      <c r="K1510" s="1" t="str">
        <f ca="1">IFERROR(__xludf.DUMMYFUNCTION("""COMPUTED_VALUE"""),"Hybrid Working Environment with more than 15 days a month at office")</f>
        <v>Hybrid Working Environment with more than 15 days a month at office</v>
      </c>
      <c r="L1510" s="1" t="str">
        <f ca="1">IFERROR(__xludf.DUMMYFUNCTION("""COMPUTED_VALUE"""),"Employer who pushes your limits by enabling an learning environment, and rewards you at the end")</f>
        <v>Employer who pushes your limits by enabling an learning environment, and rewards you at the end</v>
      </c>
      <c r="M151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1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510" s="1" t="str">
        <f ca="1">IFERROR(__xludf.DUMMYFUNCTION("""COMPUTED_VALUE"""),"Manager who explains what is expected, sets a goal and helps achieve it")</f>
        <v>Manager who explains what is expected, sets a goal and helps achieve it</v>
      </c>
      <c r="P1510" s="1" t="str">
        <f ca="1">IFERROR(__xludf.DUMMYFUNCTION("""COMPUTED_VALUE"""),"Work with 2 to 3 people in my team")</f>
        <v>Work with 2 to 3 people in my team</v>
      </c>
      <c r="Q1510" s="1"/>
    </row>
    <row r="1511" spans="1:17" ht="13.2" x14ac:dyDescent="0.25">
      <c r="A1511" s="2">
        <f ca="1">IFERROR(__xludf.DUMMYFUNCTION("""COMPUTED_VALUE"""),45045.6368648958)</f>
        <v>45045.636864895801</v>
      </c>
      <c r="B1511" s="1" t="str">
        <f ca="1">IFERROR(__xludf.DUMMYFUNCTION("""COMPUTED_VALUE"""),"India")</f>
        <v>India</v>
      </c>
      <c r="C1511" s="1">
        <f ca="1">IFERROR(__xludf.DUMMYFUNCTION("""COMPUTED_VALUE"""),500090)</f>
        <v>500090</v>
      </c>
      <c r="D1511" s="3" t="str">
        <f ca="1">IFERROR(__xludf.DUMMYFUNCTION("""COMPUTED_VALUE"""),"Female")</f>
        <v>Female</v>
      </c>
      <c r="E1511" s="1" t="str">
        <f ca="1">IFERROR(__xludf.DUMMYFUNCTION("""COMPUTED_VALUE"""),"My Parents")</f>
        <v>My Parents</v>
      </c>
      <c r="F1511" s="1" t="str">
        <f ca="1">IFERROR(__xludf.DUMMYFUNCTION("""COMPUTED_VALUE"""),"No I would not be pursuing Higher Education outside of India")</f>
        <v>No I would not be pursuing Higher Education outside of India</v>
      </c>
      <c r="G1511" s="1" t="str">
        <f ca="1">IFERROR(__xludf.DUMMYFUNCTION("""COMPUTED_VALUE"""),"This will be hard to do, but if it is the right company I would try")</f>
        <v>This will be hard to do, but if it is the right company I would try</v>
      </c>
      <c r="H1511" s="1" t="str">
        <f ca="1">IFERROR(__xludf.DUMMYFUNCTION("""COMPUTED_VALUE"""),"No")</f>
        <v>No</v>
      </c>
      <c r="I1511" s="1" t="str">
        <f ca="1">IFERROR(__xludf.DUMMYFUNCTION("""COMPUTED_VALUE"""),"Will NOT work for them")</f>
        <v>Will NOT work for them</v>
      </c>
      <c r="J1511" s="1">
        <f ca="1">IFERROR(__xludf.DUMMYFUNCTION("""COMPUTED_VALUE"""),3)</f>
        <v>3</v>
      </c>
      <c r="K1511" s="1" t="str">
        <f ca="1">IFERROR(__xludf.DUMMYFUNCTION("""COMPUTED_VALUE"""),"Hybrid Working Environment with less than 3 days a month at office")</f>
        <v>Hybrid Working Environment with less than 3 days a month at office</v>
      </c>
      <c r="L1511" s="1" t="str">
        <f ca="1">IFERROR(__xludf.DUMMYFUNCTION("""COMPUTED_VALUE"""),"Employer who rewards learning and enables that environment")</f>
        <v>Employer who rewards learning and enables that environment</v>
      </c>
      <c r="M15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511" s="1" t="str">
        <f ca="1">IFERROR(__xludf.DUMMYFUNCTION("""COMPUTED_VALUE"""),"Manager who explains what is expected, sets a goal and helps achieve it")</f>
        <v>Manager who explains what is expected, sets a goal and helps achieve it</v>
      </c>
      <c r="P1511" s="1" t="str">
        <f ca="1">IFERROR(__xludf.DUMMYFUNCTION("""COMPUTED_VALUE"""),"Work with 5 to 6 people in my team")</f>
        <v>Work with 5 to 6 people in my team</v>
      </c>
      <c r="Q1511" s="1"/>
    </row>
    <row r="1512" spans="1:17" ht="13.2" x14ac:dyDescent="0.25">
      <c r="A1512" s="2">
        <f ca="1">IFERROR(__xludf.DUMMYFUNCTION("""COMPUTED_VALUE"""),45045.6375940277)</f>
        <v>45045.637594027699</v>
      </c>
      <c r="B1512" s="1" t="str">
        <f ca="1">IFERROR(__xludf.DUMMYFUNCTION("""COMPUTED_VALUE"""),"India")</f>
        <v>India</v>
      </c>
      <c r="C1512" s="1">
        <f ca="1">IFERROR(__xludf.DUMMYFUNCTION("""COMPUTED_VALUE"""),370465)</f>
        <v>370465</v>
      </c>
      <c r="D1512" s="3" t="str">
        <f ca="1">IFERROR(__xludf.DUMMYFUNCTION("""COMPUTED_VALUE"""),"Female")</f>
        <v>Female</v>
      </c>
      <c r="E1512" s="1" t="str">
        <f ca="1">IFERROR(__xludf.DUMMYFUNCTION("""COMPUTED_VALUE"""),"People from my circle, but not family members")</f>
        <v>People from my circle, but not family members</v>
      </c>
      <c r="F1512" s="1" t="str">
        <f ca="1">IFERROR(__xludf.DUMMYFUNCTION("""COMPUTED_VALUE"""),"Yes, I will earn and do that")</f>
        <v>Yes, I will earn and do that</v>
      </c>
      <c r="G1512" s="1" t="str">
        <f ca="1">IFERROR(__xludf.DUMMYFUNCTION("""COMPUTED_VALUE"""),"Will work for 3 years or more")</f>
        <v>Will work for 3 years or more</v>
      </c>
      <c r="H1512" s="1" t="str">
        <f ca="1">IFERROR(__xludf.DUMMYFUNCTION("""COMPUTED_VALUE"""),"No")</f>
        <v>No</v>
      </c>
      <c r="I1512" s="1" t="str">
        <f ca="1">IFERROR(__xludf.DUMMYFUNCTION("""COMPUTED_VALUE"""),"Will NOT work for them")</f>
        <v>Will NOT work for them</v>
      </c>
      <c r="J1512" s="1">
        <f ca="1">IFERROR(__xludf.DUMMYFUNCTION("""COMPUTED_VALUE"""),3)</f>
        <v>3</v>
      </c>
      <c r="K1512" s="1" t="str">
        <f ca="1">IFERROR(__xludf.DUMMYFUNCTION("""COMPUTED_VALUE"""),"Hybrid Working Environment with more than 15 days a month at office")</f>
        <v>Hybrid Working Environment with more than 15 days a month at office</v>
      </c>
      <c r="L1512" s="1" t="str">
        <f ca="1">IFERROR(__xludf.DUMMYFUNCTION("""COMPUTED_VALUE"""),"Employer who pushes your limits by enabling an learning environment, and rewards you at the end")</f>
        <v>Employer who pushes your limits by enabling an learning environment, and rewards you at the end</v>
      </c>
      <c r="M151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12" s="1" t="str">
        <f ca="1">IFERROR(__xludf.DUMMYFUNCTION("""COMPUTED_VALUE"""),"Business Operations in any organization, Manage and drive End-to-End Projects or Products, Become a content Creator in some platform, I Want to sell things/Sales")</f>
        <v>Business Operations in any organization, Manage and drive End-to-End Projects or Products, Become a content Creator in some platform, I Want to sell things/Sales</v>
      </c>
      <c r="O1512" s="1" t="str">
        <f ca="1">IFERROR(__xludf.DUMMYFUNCTION("""COMPUTED_VALUE"""),"Manager who explains what is expected, sets a goal and helps achieve it")</f>
        <v>Manager who explains what is expected, sets a goal and helps achieve it</v>
      </c>
      <c r="P1512" s="1" t="str">
        <f ca="1">IFERROR(__xludf.DUMMYFUNCTION("""COMPUTED_VALUE"""),"Work with 5 to 6 people in my team")</f>
        <v>Work with 5 to 6 people in my team</v>
      </c>
      <c r="Q1512" s="1"/>
    </row>
    <row r="1513" spans="1:17" ht="13.2" x14ac:dyDescent="0.25">
      <c r="A1513" s="2">
        <f ca="1">IFERROR(__xludf.DUMMYFUNCTION("""COMPUTED_VALUE"""),45045.6382432407)</f>
        <v>45045.638243240697</v>
      </c>
      <c r="B1513" s="1" t="str">
        <f ca="1">IFERROR(__xludf.DUMMYFUNCTION("""COMPUTED_VALUE"""),"India")</f>
        <v>India</v>
      </c>
      <c r="C1513" s="1">
        <f ca="1">IFERROR(__xludf.DUMMYFUNCTION("""COMPUTED_VALUE"""),410206)</f>
        <v>410206</v>
      </c>
      <c r="D1513" s="3" t="str">
        <f ca="1">IFERROR(__xludf.DUMMYFUNCTION("""COMPUTED_VALUE"""),"Female")</f>
        <v>Female</v>
      </c>
      <c r="E1513" s="1" t="str">
        <f ca="1">IFERROR(__xludf.DUMMYFUNCTION("""COMPUTED_VALUE"""),"People from my circle, but not family members")</f>
        <v>People from my circle, but not family members</v>
      </c>
      <c r="F1513" s="1" t="str">
        <f ca="1">IFERROR(__xludf.DUMMYFUNCTION("""COMPUTED_VALUE"""),"Yes, I will earn and do that")</f>
        <v>Yes, I will earn and do that</v>
      </c>
      <c r="G1513" s="1" t="str">
        <f ca="1">IFERROR(__xludf.DUMMYFUNCTION("""COMPUTED_VALUE"""),"This will be hard to do, but if it is the right company I would try")</f>
        <v>This will be hard to do, but if it is the right company I would try</v>
      </c>
      <c r="H1513" s="1" t="str">
        <f ca="1">IFERROR(__xludf.DUMMYFUNCTION("""COMPUTED_VALUE"""),"No")</f>
        <v>No</v>
      </c>
      <c r="I1513" s="1" t="str">
        <f ca="1">IFERROR(__xludf.DUMMYFUNCTION("""COMPUTED_VALUE"""),"Will NOT work for them")</f>
        <v>Will NOT work for them</v>
      </c>
      <c r="J1513" s="1">
        <f ca="1">IFERROR(__xludf.DUMMYFUNCTION("""COMPUTED_VALUE"""),2)</f>
        <v>2</v>
      </c>
      <c r="K1513" s="1" t="str">
        <f ca="1">IFERROR(__xludf.DUMMYFUNCTION("""COMPUTED_VALUE"""),"Hybrid Working Environment with less than 3 days a month at office")</f>
        <v>Hybrid Working Environment with less than 3 days a month at office</v>
      </c>
      <c r="L1513" s="1" t="str">
        <f ca="1">IFERROR(__xludf.DUMMYFUNCTION("""COMPUTED_VALUE"""),"Employer who pushes your limits by enabling an learning environment, and rewards you at the end")</f>
        <v>Employer who pushes your limits by enabling an learning environment, and rewards you at the end</v>
      </c>
      <c r="M1513" s="1" t="str">
        <f ca="1">IFERROR(__xludf.DUMMYFUNCTION("""COMPUTED_VALUE"""),"Self Paced Learning Portals of the Company, Instructor or Expert Learning Programs, Manager Teaching you")</f>
        <v>Self Paced Learning Portals of the Company, Instructor or Expert Learning Programs, Manager Teaching you</v>
      </c>
      <c r="N151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513" s="1" t="str">
        <f ca="1">IFERROR(__xludf.DUMMYFUNCTION("""COMPUTED_VALUE"""),"Manager who explains what is expected, sets a goal and helps achieve it")</f>
        <v>Manager who explains what is expected, sets a goal and helps achieve it</v>
      </c>
      <c r="P1513" s="1" t="str">
        <f ca="1">IFERROR(__xludf.DUMMYFUNCTION("""COMPUTED_VALUE"""),"Work with 2 to 3 people in my team")</f>
        <v>Work with 2 to 3 people in my team</v>
      </c>
      <c r="Q1513" s="1"/>
    </row>
    <row r="1514" spans="1:17" ht="13.2" x14ac:dyDescent="0.25">
      <c r="A1514" s="2">
        <f ca="1">IFERROR(__xludf.DUMMYFUNCTION("""COMPUTED_VALUE"""),45045.6471599768)</f>
        <v>45045.647159976797</v>
      </c>
      <c r="B1514" s="1" t="str">
        <f ca="1">IFERROR(__xludf.DUMMYFUNCTION("""COMPUTED_VALUE"""),"India")</f>
        <v>India</v>
      </c>
      <c r="C1514" s="1">
        <f ca="1">IFERROR(__xludf.DUMMYFUNCTION("""COMPUTED_VALUE"""),421103)</f>
        <v>421103</v>
      </c>
      <c r="D1514" s="3" t="str">
        <f ca="1">IFERROR(__xludf.DUMMYFUNCTION("""COMPUTED_VALUE"""),"Male")</f>
        <v>Male</v>
      </c>
      <c r="E1514" s="1" t="str">
        <f ca="1">IFERROR(__xludf.DUMMYFUNCTION("""COMPUTED_VALUE"""),"Influencers who had successful careers")</f>
        <v>Influencers who had successful careers</v>
      </c>
      <c r="F1514" s="1" t="str">
        <f ca="1">IFERROR(__xludf.DUMMYFUNCTION("""COMPUTED_VALUE"""),"Yes, I will earn and do that")</f>
        <v>Yes, I will earn and do that</v>
      </c>
      <c r="G1514" s="1" t="str">
        <f ca="1">IFERROR(__xludf.DUMMYFUNCTION("""COMPUTED_VALUE"""),"This will be hard to do, but if it is the right company I would try")</f>
        <v>This will be hard to do, but if it is the right company I would try</v>
      </c>
      <c r="H1514" s="1" t="str">
        <f ca="1">IFERROR(__xludf.DUMMYFUNCTION("""COMPUTED_VALUE"""),"No")</f>
        <v>No</v>
      </c>
      <c r="I1514" s="1" t="str">
        <f ca="1">IFERROR(__xludf.DUMMYFUNCTION("""COMPUTED_VALUE"""),"Will NOT work for them")</f>
        <v>Will NOT work for them</v>
      </c>
      <c r="J1514" s="1">
        <f ca="1">IFERROR(__xludf.DUMMYFUNCTION("""COMPUTED_VALUE"""),7)</f>
        <v>7</v>
      </c>
      <c r="K1514" s="1" t="str">
        <f ca="1">IFERROR(__xludf.DUMMYFUNCTION("""COMPUTED_VALUE"""),"Fully Remote with Options to travel as and when needed")</f>
        <v>Fully Remote with Options to travel as and when needed</v>
      </c>
      <c r="L1514" s="1" t="str">
        <f ca="1">IFERROR(__xludf.DUMMYFUNCTION("""COMPUTED_VALUE"""),"Employer who pushes your limits by enabling an learning environment, and rewards you at the end")</f>
        <v>Employer who pushes your limits by enabling an learning environment, and rewards you at the end</v>
      </c>
      <c r="M15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14"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514" s="1" t="str">
        <f ca="1">IFERROR(__xludf.DUMMYFUNCTION("""COMPUTED_VALUE"""),"Manager who explains what is expected, sets a goal and helps achieve it")</f>
        <v>Manager who explains what is expected, sets a goal and helps achieve it</v>
      </c>
      <c r="P1514" s="1" t="str">
        <f ca="1">IFERROR(__xludf.DUMMYFUNCTION("""COMPUTED_VALUE"""),"Work alone")</f>
        <v>Work alone</v>
      </c>
      <c r="Q1514" s="1"/>
    </row>
    <row r="1515" spans="1:17" ht="13.2" x14ac:dyDescent="0.25">
      <c r="A1515" s="2">
        <f ca="1">IFERROR(__xludf.DUMMYFUNCTION("""COMPUTED_VALUE"""),45045.6488073379)</f>
        <v>45045.648807337901</v>
      </c>
      <c r="B1515" s="1" t="str">
        <f ca="1">IFERROR(__xludf.DUMMYFUNCTION("""COMPUTED_VALUE"""),"India")</f>
        <v>India</v>
      </c>
      <c r="C1515" s="1">
        <f ca="1">IFERROR(__xludf.DUMMYFUNCTION("""COMPUTED_VALUE"""),751012)</f>
        <v>751012</v>
      </c>
      <c r="D1515" s="3" t="str">
        <f ca="1">IFERROR(__xludf.DUMMYFUNCTION("""COMPUTED_VALUE"""),"Female")</f>
        <v>Female</v>
      </c>
      <c r="E1515" s="1" t="str">
        <f ca="1">IFERROR(__xludf.DUMMYFUNCTION("""COMPUTED_VALUE"""),"People who have changed the world for better")</f>
        <v>People who have changed the world for better</v>
      </c>
      <c r="F1515" s="1" t="str">
        <f ca="1">IFERROR(__xludf.DUMMYFUNCTION("""COMPUTED_VALUE"""),"No I would not be pursuing Higher Education outside of India")</f>
        <v>No I would not be pursuing Higher Education outside of India</v>
      </c>
      <c r="G1515" s="1" t="str">
        <f ca="1">IFERROR(__xludf.DUMMYFUNCTION("""COMPUTED_VALUE"""),"Will work for 3 years or more")</f>
        <v>Will work for 3 years or more</v>
      </c>
      <c r="H1515" s="1" t="str">
        <f ca="1">IFERROR(__xludf.DUMMYFUNCTION("""COMPUTED_VALUE"""),"No")</f>
        <v>No</v>
      </c>
      <c r="I1515" s="1" t="str">
        <f ca="1">IFERROR(__xludf.DUMMYFUNCTION("""COMPUTED_VALUE"""),"Will NOT work for them")</f>
        <v>Will NOT work for them</v>
      </c>
      <c r="J1515" s="1">
        <f ca="1">IFERROR(__xludf.DUMMYFUNCTION("""COMPUTED_VALUE"""),6)</f>
        <v>6</v>
      </c>
      <c r="K1515" s="1" t="str">
        <f ca="1">IFERROR(__xludf.DUMMYFUNCTION("""COMPUTED_VALUE"""),"Fully Remote with Options to travel as and when needed")</f>
        <v>Fully Remote with Options to travel as and when needed</v>
      </c>
      <c r="L1515" s="1" t="str">
        <f ca="1">IFERROR(__xludf.DUMMYFUNCTION("""COMPUTED_VALUE"""),"Employer who pushes your limits by enabling an learning environment, and rewards you at the end")</f>
        <v>Employer who pushes your limits by enabling an learning environment, and rewards you at the end</v>
      </c>
      <c r="M15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15"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515" s="1" t="str">
        <f ca="1">IFERROR(__xludf.DUMMYFUNCTION("""COMPUTED_VALUE"""),"Manager who explains what is expected, sets a goal and helps achieve it")</f>
        <v>Manager who explains what is expected, sets a goal and helps achieve it</v>
      </c>
      <c r="P1515" s="1" t="str">
        <f ca="1">IFERROR(__xludf.DUMMYFUNCTION("""COMPUTED_VALUE"""),"Work alone, Work with more than 10 people in my team")</f>
        <v>Work alone, Work with more than 10 people in my team</v>
      </c>
      <c r="Q1515" s="1"/>
    </row>
    <row r="1516" spans="1:17" ht="13.2" x14ac:dyDescent="0.25">
      <c r="A1516" s="2">
        <f ca="1">IFERROR(__xludf.DUMMYFUNCTION("""COMPUTED_VALUE"""),45045.6504436574)</f>
        <v>45045.650443657403</v>
      </c>
      <c r="B1516" s="1" t="str">
        <f ca="1">IFERROR(__xludf.DUMMYFUNCTION("""COMPUTED_VALUE"""),"India")</f>
        <v>India</v>
      </c>
      <c r="C1516" s="1">
        <f ca="1">IFERROR(__xludf.DUMMYFUNCTION("""COMPUTED_VALUE"""),560107)</f>
        <v>560107</v>
      </c>
      <c r="D1516" s="3" t="str">
        <f ca="1">IFERROR(__xludf.DUMMYFUNCTION("""COMPUTED_VALUE"""),"Male")</f>
        <v>Male</v>
      </c>
      <c r="E1516" s="1" t="str">
        <f ca="1">IFERROR(__xludf.DUMMYFUNCTION("""COMPUTED_VALUE"""),"People who have changed the world for better")</f>
        <v>People who have changed the world for better</v>
      </c>
      <c r="F1516" s="1" t="str">
        <f ca="1">IFERROR(__xludf.DUMMYFUNCTION("""COMPUTED_VALUE"""),"Yes, I will earn and do that")</f>
        <v>Yes, I will earn and do that</v>
      </c>
      <c r="G1516" s="1" t="str">
        <f ca="1">IFERROR(__xludf.DUMMYFUNCTION("""COMPUTED_VALUE"""),"This will be hard to do, but if it is the right company I would try")</f>
        <v>This will be hard to do, but if it is the right company I would try</v>
      </c>
      <c r="H1516" s="1" t="str">
        <f ca="1">IFERROR(__xludf.DUMMYFUNCTION("""COMPUTED_VALUE"""),"No")</f>
        <v>No</v>
      </c>
      <c r="I1516" s="1" t="str">
        <f ca="1">IFERROR(__xludf.DUMMYFUNCTION("""COMPUTED_VALUE"""),"Will work for them")</f>
        <v>Will work for them</v>
      </c>
      <c r="J1516" s="1">
        <f ca="1">IFERROR(__xludf.DUMMYFUNCTION("""COMPUTED_VALUE"""),7)</f>
        <v>7</v>
      </c>
      <c r="K1516" s="1" t="str">
        <f ca="1">IFERROR(__xludf.DUMMYFUNCTION("""COMPUTED_VALUE"""),"Hybrid Working Environment with more than 15 days a month at office")</f>
        <v>Hybrid Working Environment with more than 15 days a month at office</v>
      </c>
      <c r="L1516" s="1" t="str">
        <f ca="1">IFERROR(__xludf.DUMMYFUNCTION("""COMPUTED_VALUE"""),"Employer who pushes your limits by enabling an learning environment, and rewards you at the end")</f>
        <v>Employer who pushes your limits by enabling an learning environment, and rewards you at the end</v>
      </c>
      <c r="M15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6"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516" s="1" t="str">
        <f ca="1">IFERROR(__xludf.DUMMYFUNCTION("""COMPUTED_VALUE"""),"Manager who sets goal and helps me achieve it")</f>
        <v>Manager who sets goal and helps me achieve it</v>
      </c>
      <c r="P1516"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516" s="1"/>
    </row>
    <row r="1517" spans="1:17" ht="13.2" x14ac:dyDescent="0.25">
      <c r="A1517" s="2">
        <f ca="1">IFERROR(__xludf.DUMMYFUNCTION("""COMPUTED_VALUE"""),45045.6549437731)</f>
        <v>45045.654943773101</v>
      </c>
      <c r="B1517" s="1" t="str">
        <f ca="1">IFERROR(__xludf.DUMMYFUNCTION("""COMPUTED_VALUE"""),"India")</f>
        <v>India</v>
      </c>
      <c r="C1517" s="1">
        <f ca="1">IFERROR(__xludf.DUMMYFUNCTION("""COMPUTED_VALUE"""),590005)</f>
        <v>590005</v>
      </c>
      <c r="D1517" s="3" t="str">
        <f ca="1">IFERROR(__xludf.DUMMYFUNCTION("""COMPUTED_VALUE"""),"Male")</f>
        <v>Male</v>
      </c>
      <c r="E1517" s="1" t="str">
        <f ca="1">IFERROR(__xludf.DUMMYFUNCTION("""COMPUTED_VALUE"""),"Social Media like LinkedIn")</f>
        <v>Social Media like LinkedIn</v>
      </c>
      <c r="F1517" s="1" t="str">
        <f ca="1">IFERROR(__xludf.DUMMYFUNCTION("""COMPUTED_VALUE"""),"No I would not be pursuing Higher Education outside of India")</f>
        <v>No I would not be pursuing Higher Education outside of India</v>
      </c>
      <c r="G1517" s="1" t="str">
        <f ca="1">IFERROR(__xludf.DUMMYFUNCTION("""COMPUTED_VALUE"""),"Will work for 3 years or more")</f>
        <v>Will work for 3 years or more</v>
      </c>
      <c r="H1517" s="1" t="str">
        <f ca="1">IFERROR(__xludf.DUMMYFUNCTION("""COMPUTED_VALUE"""),"No")</f>
        <v>No</v>
      </c>
      <c r="I1517" s="1" t="str">
        <f ca="1">IFERROR(__xludf.DUMMYFUNCTION("""COMPUTED_VALUE"""),"Will NOT work for them")</f>
        <v>Will NOT work for them</v>
      </c>
      <c r="J1517" s="1">
        <f ca="1">IFERROR(__xludf.DUMMYFUNCTION("""COMPUTED_VALUE"""),6)</f>
        <v>6</v>
      </c>
      <c r="K1517" s="1" t="str">
        <f ca="1">IFERROR(__xludf.DUMMYFUNCTION("""COMPUTED_VALUE"""),"Hybrid Working Environment with less than 3 days a month at office")</f>
        <v>Hybrid Working Environment with less than 3 days a month at office</v>
      </c>
      <c r="L1517" s="1" t="str">
        <f ca="1">IFERROR(__xludf.DUMMYFUNCTION("""COMPUTED_VALUE"""),"Employer who pushes your limits by enabling an learning environment, and rewards you at the end")</f>
        <v>Employer who pushes your limits by enabling an learning environment, and rewards you at the end</v>
      </c>
      <c r="M1517" s="1" t="str">
        <f ca="1">IFERROR(__xludf.DUMMYFUNCTION("""COMPUTED_VALUE"""),"Instructor or Expert Learning Programs, Learning by observing others, Manager Teaching you")</f>
        <v>Instructor or Expert Learning Programs, Learning by observing others, Manager Teaching you</v>
      </c>
      <c r="N1517" s="1" t="str">
        <f ca="1">IFERROR(__xludf.DUMMYFUNCTION("""COMPUTED_VALUE"""),"Design and Creative strategy in any company, Teaching in any of the institutes/colleges/online or offline, Design and Develop amazing software, Manufacturing / Oil and Gas/ Construction / Hard Physical Work related")</f>
        <v>Design and Creative strategy in any company, Teaching in any of the institutes/colleges/online or offline, Design and Develop amazing software, Manufacturing / Oil and Gas/ Construction / Hard Physical Work related</v>
      </c>
      <c r="O1517" s="1" t="str">
        <f ca="1">IFERROR(__xludf.DUMMYFUNCTION("""COMPUTED_VALUE"""),"Manager who explains what is expected, sets a goal and helps achieve it")</f>
        <v>Manager who explains what is expected, sets a goal and helps achieve it</v>
      </c>
      <c r="P1517" s="1" t="str">
        <f ca="1">IFERROR(__xludf.DUMMYFUNCTION("""COMPUTED_VALUE"""),"Work with more than 10 people in my team")</f>
        <v>Work with more than 10 people in my team</v>
      </c>
      <c r="Q1517" s="1"/>
    </row>
    <row r="1518" spans="1:17" ht="13.2" x14ac:dyDescent="0.25">
      <c r="A1518" s="2">
        <f ca="1">IFERROR(__xludf.DUMMYFUNCTION("""COMPUTED_VALUE"""),45045.6550591088)</f>
        <v>45045.655059108802</v>
      </c>
      <c r="B1518" s="1" t="str">
        <f ca="1">IFERROR(__xludf.DUMMYFUNCTION("""COMPUTED_VALUE"""),"India")</f>
        <v>India</v>
      </c>
      <c r="C1518" s="1">
        <f ca="1">IFERROR(__xludf.DUMMYFUNCTION("""COMPUTED_VALUE"""),533201)</f>
        <v>533201</v>
      </c>
      <c r="D1518" s="3" t="str">
        <f ca="1">IFERROR(__xludf.DUMMYFUNCTION("""COMPUTED_VALUE"""),"Male")</f>
        <v>Male</v>
      </c>
      <c r="E1518" s="1" t="str">
        <f ca="1">IFERROR(__xludf.DUMMYFUNCTION("""COMPUTED_VALUE"""),"People from my circle, but not family members")</f>
        <v>People from my circle, but not family members</v>
      </c>
      <c r="F1518" s="1" t="str">
        <f ca="1">IFERROR(__xludf.DUMMYFUNCTION("""COMPUTED_VALUE"""),"No I would not be pursuing Higher Education outside of India")</f>
        <v>No I would not be pursuing Higher Education outside of India</v>
      </c>
      <c r="G1518" s="1" t="str">
        <f ca="1">IFERROR(__xludf.DUMMYFUNCTION("""COMPUTED_VALUE"""),"Will work for 3 years or more")</f>
        <v>Will work for 3 years or more</v>
      </c>
      <c r="H1518" s="1" t="str">
        <f ca="1">IFERROR(__xludf.DUMMYFUNCTION("""COMPUTED_VALUE"""),"No")</f>
        <v>No</v>
      </c>
      <c r="I1518" s="1" t="str">
        <f ca="1">IFERROR(__xludf.DUMMYFUNCTION("""COMPUTED_VALUE"""),"Will NOT work for them")</f>
        <v>Will NOT work for them</v>
      </c>
      <c r="J1518" s="1">
        <f ca="1">IFERROR(__xludf.DUMMYFUNCTION("""COMPUTED_VALUE"""),1)</f>
        <v>1</v>
      </c>
      <c r="K1518" s="1" t="str">
        <f ca="1">IFERROR(__xludf.DUMMYFUNCTION("""COMPUTED_VALUE"""),"Every Day Office Environment")</f>
        <v>Every Day Office Environment</v>
      </c>
      <c r="L1518" s="1" t="str">
        <f ca="1">IFERROR(__xludf.DUMMYFUNCTION("""COMPUTED_VALUE"""),"Employer who pushes your limits by enabling an learning environment, and rewards you at the end")</f>
        <v>Employer who pushes your limits by enabling an learning environment, and rewards you at the end</v>
      </c>
      <c r="M15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8" s="1" t="str">
        <f ca="1">IFERROR(__xludf.DUMMYFUNCTION("""COMPUTED_VALUE"""),"Manage and drive End-to-End Projects or Products, Build and develop a Team, Become a content Creator in some platform, An Artificial Intelligence Specialist / Talking to Robots")</f>
        <v>Manage and drive End-to-End Projects or Products, Build and develop a Team, Become a content Creator in some platform, An Artificial Intelligence Specialist / Talking to Robots</v>
      </c>
      <c r="O1518" s="1" t="str">
        <f ca="1">IFERROR(__xludf.DUMMYFUNCTION("""COMPUTED_VALUE"""),"Manager who explains what is expected, sets a goal and helps achieve it")</f>
        <v>Manager who explains what is expected, sets a goal and helps achieve it</v>
      </c>
      <c r="P1518" s="1" t="str">
        <f ca="1">IFERROR(__xludf.DUMMYFUNCTION("""COMPUTED_VALUE"""),"Work with more than 10 people in my team")</f>
        <v>Work with more than 10 people in my team</v>
      </c>
      <c r="Q1518" s="1"/>
    </row>
    <row r="1519" spans="1:17" ht="13.2" x14ac:dyDescent="0.25">
      <c r="A1519" s="2">
        <f ca="1">IFERROR(__xludf.DUMMYFUNCTION("""COMPUTED_VALUE"""),45045.657750706)</f>
        <v>45045.657750705999</v>
      </c>
      <c r="B1519" s="1" t="str">
        <f ca="1">IFERROR(__xludf.DUMMYFUNCTION("""COMPUTED_VALUE"""),"India")</f>
        <v>India</v>
      </c>
      <c r="C1519" s="1">
        <f ca="1">IFERROR(__xludf.DUMMYFUNCTION("""COMPUTED_VALUE"""),560038)</f>
        <v>560038</v>
      </c>
      <c r="D1519" s="3" t="str">
        <f ca="1">IFERROR(__xludf.DUMMYFUNCTION("""COMPUTED_VALUE"""),"Male")</f>
        <v>Male</v>
      </c>
      <c r="E1519" s="1" t="str">
        <f ca="1">IFERROR(__xludf.DUMMYFUNCTION("""COMPUTED_VALUE"""),"People from my circle, but not family members")</f>
        <v>People from my circle, but not family members</v>
      </c>
      <c r="F1519" s="1" t="str">
        <f ca="1">IFERROR(__xludf.DUMMYFUNCTION("""COMPUTED_VALUE"""),"No I would not be pursuing Higher Education outside of India")</f>
        <v>No I would not be pursuing Higher Education outside of India</v>
      </c>
      <c r="G1519" s="1" t="str">
        <f ca="1">IFERROR(__xludf.DUMMYFUNCTION("""COMPUTED_VALUE"""),"This will be hard to do, but if it is the right company I would try")</f>
        <v>This will be hard to do, but if it is the right company I would try</v>
      </c>
      <c r="H1519" s="1" t="str">
        <f ca="1">IFERROR(__xludf.DUMMYFUNCTION("""COMPUTED_VALUE"""),"Yes")</f>
        <v>Yes</v>
      </c>
      <c r="I1519" s="1" t="str">
        <f ca="1">IFERROR(__xludf.DUMMYFUNCTION("""COMPUTED_VALUE"""),"Will NOT work for them")</f>
        <v>Will NOT work for them</v>
      </c>
      <c r="J1519" s="1">
        <f ca="1">IFERROR(__xludf.DUMMYFUNCTION("""COMPUTED_VALUE"""),4)</f>
        <v>4</v>
      </c>
      <c r="K1519" s="1" t="str">
        <f ca="1">IFERROR(__xludf.DUMMYFUNCTION("""COMPUTED_VALUE"""),"Every Day Office Environment")</f>
        <v>Every Day Office Environment</v>
      </c>
      <c r="L1519" s="1" t="str">
        <f ca="1">IFERROR(__xludf.DUMMYFUNCTION("""COMPUTED_VALUE"""),"Employer who pushes your limits by enabling an learning environment, and rewards you at the end")</f>
        <v>Employer who pushes your limits by enabling an learning environment, and rewards you at the end</v>
      </c>
      <c r="M151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51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19" s="1" t="str">
        <f ca="1">IFERROR(__xludf.DUMMYFUNCTION("""COMPUTED_VALUE"""),"Manager who explains what is expected, sets a goal and helps achieve it")</f>
        <v>Manager who explains what is expected, sets a goal and helps achieve it</v>
      </c>
      <c r="P1519" s="1" t="str">
        <f ca="1">IFERROR(__xludf.DUMMYFUNCTION("""COMPUTED_VALUE"""),"Work with 2 to 3 people in my team")</f>
        <v>Work with 2 to 3 people in my team</v>
      </c>
      <c r="Q1519" s="1"/>
    </row>
    <row r="1520" spans="1:17" ht="13.2" x14ac:dyDescent="0.25">
      <c r="A1520" s="2">
        <f ca="1">IFERROR(__xludf.DUMMYFUNCTION("""COMPUTED_VALUE"""),45045.6717107523)</f>
        <v>45045.6717107523</v>
      </c>
      <c r="B1520" s="1" t="str">
        <f ca="1">IFERROR(__xludf.DUMMYFUNCTION("""COMPUTED_VALUE"""),"India")</f>
        <v>India</v>
      </c>
      <c r="C1520" s="1">
        <f ca="1">IFERROR(__xludf.DUMMYFUNCTION("""COMPUTED_VALUE"""),400103)</f>
        <v>400103</v>
      </c>
      <c r="D1520" s="3" t="str">
        <f ca="1">IFERROR(__xludf.DUMMYFUNCTION("""COMPUTED_VALUE"""),"Female")</f>
        <v>Female</v>
      </c>
      <c r="E1520" s="1" t="str">
        <f ca="1">IFERROR(__xludf.DUMMYFUNCTION("""COMPUTED_VALUE"""),"My Parents")</f>
        <v>My Parents</v>
      </c>
      <c r="F1520" s="1" t="str">
        <f ca="1">IFERROR(__xludf.DUMMYFUNCTION("""COMPUTED_VALUE"""),"No I would not be pursuing Higher Education outside of India")</f>
        <v>No I would not be pursuing Higher Education outside of India</v>
      </c>
      <c r="G1520" s="1" t="str">
        <f ca="1">IFERROR(__xludf.DUMMYFUNCTION("""COMPUTED_VALUE"""),"Will work for 3 years or more")</f>
        <v>Will work for 3 years or more</v>
      </c>
      <c r="H1520" s="1" t="str">
        <f ca="1">IFERROR(__xludf.DUMMYFUNCTION("""COMPUTED_VALUE"""),"Yes")</f>
        <v>Yes</v>
      </c>
      <c r="I1520" s="1" t="str">
        <f ca="1">IFERROR(__xludf.DUMMYFUNCTION("""COMPUTED_VALUE"""),"Will NOT work for them")</f>
        <v>Will NOT work for them</v>
      </c>
      <c r="J1520" s="1">
        <f ca="1">IFERROR(__xludf.DUMMYFUNCTION("""COMPUTED_VALUE"""),7)</f>
        <v>7</v>
      </c>
      <c r="K1520" s="1" t="str">
        <f ca="1">IFERROR(__xludf.DUMMYFUNCTION("""COMPUTED_VALUE"""),"Fully Remote with Options to travel as and when needed")</f>
        <v>Fully Remote with Options to travel as and when needed</v>
      </c>
      <c r="L1520" s="1" t="str">
        <f ca="1">IFERROR(__xludf.DUMMYFUNCTION("""COMPUTED_VALUE"""),"Employer who pushes your limits by enabling an learning environment, and rewards you at the end")</f>
        <v>Employer who pushes your limits by enabling an learning environment, and rewards you at the end</v>
      </c>
      <c r="M152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52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20" s="1" t="str">
        <f ca="1">IFERROR(__xludf.DUMMYFUNCTION("""COMPUTED_VALUE"""),"Manager who explains what is expected, sets a goal and helps achieve it")</f>
        <v>Manager who explains what is expected, sets a goal and helps achieve it</v>
      </c>
      <c r="P152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520" s="1"/>
    </row>
    <row r="1521" spans="1:17" ht="13.2" x14ac:dyDescent="0.25">
      <c r="A1521" s="2">
        <f ca="1">IFERROR(__xludf.DUMMYFUNCTION("""COMPUTED_VALUE"""),45045.686766331)</f>
        <v>45045.686766330997</v>
      </c>
      <c r="B1521" s="1" t="str">
        <f ca="1">IFERROR(__xludf.DUMMYFUNCTION("""COMPUTED_VALUE"""),"India")</f>
        <v>India</v>
      </c>
      <c r="C1521" s="1">
        <f ca="1">IFERROR(__xludf.DUMMYFUNCTION("""COMPUTED_VALUE"""),410210)</f>
        <v>410210</v>
      </c>
      <c r="D1521" s="3" t="str">
        <f ca="1">IFERROR(__xludf.DUMMYFUNCTION("""COMPUTED_VALUE"""),"Male")</f>
        <v>Male</v>
      </c>
      <c r="E1521" s="1" t="str">
        <f ca="1">IFERROR(__xludf.DUMMYFUNCTION("""COMPUTED_VALUE"""),"People from my circle, but not family members")</f>
        <v>People from my circle, but not family members</v>
      </c>
      <c r="F1521" s="1" t="str">
        <f ca="1">IFERROR(__xludf.DUMMYFUNCTION("""COMPUTED_VALUE"""),"No I would not be pursuing Higher Education outside of India")</f>
        <v>No I would not be pursuing Higher Education outside of India</v>
      </c>
      <c r="G1521" s="1" t="str">
        <f ca="1">IFERROR(__xludf.DUMMYFUNCTION("""COMPUTED_VALUE"""),"Will work for 3 years or more")</f>
        <v>Will work for 3 years or more</v>
      </c>
      <c r="H1521" s="1" t="str">
        <f ca="1">IFERROR(__xludf.DUMMYFUNCTION("""COMPUTED_VALUE"""),"Yes")</f>
        <v>Yes</v>
      </c>
      <c r="I1521" s="1" t="str">
        <f ca="1">IFERROR(__xludf.DUMMYFUNCTION("""COMPUTED_VALUE"""),"Will NOT work for them")</f>
        <v>Will NOT work for them</v>
      </c>
      <c r="J1521" s="1">
        <f ca="1">IFERROR(__xludf.DUMMYFUNCTION("""COMPUTED_VALUE"""),8)</f>
        <v>8</v>
      </c>
      <c r="K1521" s="1" t="str">
        <f ca="1">IFERROR(__xludf.DUMMYFUNCTION("""COMPUTED_VALUE"""),"Fully Remote with Options to travel as and when needed")</f>
        <v>Fully Remote with Options to travel as and when needed</v>
      </c>
      <c r="L1521" s="1" t="str">
        <f ca="1">IFERROR(__xludf.DUMMYFUNCTION("""COMPUTED_VALUE"""),"Employer who pushes your limits by enabling an learning environment, and rewards you at the end")</f>
        <v>Employer who pushes your limits by enabling an learning environment, and rewards you at the end</v>
      </c>
      <c r="M152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21"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521" s="1" t="str">
        <f ca="1">IFERROR(__xludf.DUMMYFUNCTION("""COMPUTED_VALUE"""),"Manager who explains what is expected, sets a goal and helps achieve it")</f>
        <v>Manager who explains what is expected, sets a goal and helps achieve it</v>
      </c>
      <c r="P1521" s="1" t="str">
        <f ca="1">IFERROR(__xludf.DUMMYFUNCTION("""COMPUTED_VALUE"""),"Work with more than 10 people in my team")</f>
        <v>Work with more than 10 people in my team</v>
      </c>
      <c r="Q1521" s="1"/>
    </row>
    <row r="1522" spans="1:17" ht="13.2" x14ac:dyDescent="0.25">
      <c r="A1522" s="2">
        <f ca="1">IFERROR(__xludf.DUMMYFUNCTION("""COMPUTED_VALUE"""),45045.6906418055)</f>
        <v>45045.6906418055</v>
      </c>
      <c r="B1522" s="1" t="str">
        <f ca="1">IFERROR(__xludf.DUMMYFUNCTION("""COMPUTED_VALUE"""),"India")</f>
        <v>India</v>
      </c>
      <c r="C1522" s="1">
        <f ca="1">IFERROR(__xludf.DUMMYFUNCTION("""COMPUTED_VALUE"""),400709)</f>
        <v>400709</v>
      </c>
      <c r="D1522" s="3" t="str">
        <f ca="1">IFERROR(__xludf.DUMMYFUNCTION("""COMPUTED_VALUE"""),"Male")</f>
        <v>Male</v>
      </c>
      <c r="E1522" s="1" t="str">
        <f ca="1">IFERROR(__xludf.DUMMYFUNCTION("""COMPUTED_VALUE"""),"My Parents")</f>
        <v>My Parents</v>
      </c>
      <c r="F1522" s="1" t="str">
        <f ca="1">IFERROR(__xludf.DUMMYFUNCTION("""COMPUTED_VALUE"""),"No I would not be pursuing Higher Education outside of India")</f>
        <v>No I would not be pursuing Higher Education outside of India</v>
      </c>
      <c r="G1522" s="1" t="str">
        <f ca="1">IFERROR(__xludf.DUMMYFUNCTION("""COMPUTED_VALUE"""),"No way")</f>
        <v>No way</v>
      </c>
      <c r="H1522" s="1" t="str">
        <f ca="1">IFERROR(__xludf.DUMMYFUNCTION("""COMPUTED_VALUE"""),"Yes")</f>
        <v>Yes</v>
      </c>
      <c r="I1522" s="1" t="str">
        <f ca="1">IFERROR(__xludf.DUMMYFUNCTION("""COMPUTED_VALUE"""),"Will work for them")</f>
        <v>Will work for them</v>
      </c>
      <c r="J1522" s="1">
        <f ca="1">IFERROR(__xludf.DUMMYFUNCTION("""COMPUTED_VALUE"""),10)</f>
        <v>10</v>
      </c>
      <c r="K1522" s="1" t="str">
        <f ca="1">IFERROR(__xludf.DUMMYFUNCTION("""COMPUTED_VALUE"""),"Every Day Office Environment")</f>
        <v>Every Day Office Environment</v>
      </c>
      <c r="L1522" s="1" t="str">
        <f ca="1">IFERROR(__xludf.DUMMYFUNCTION("""COMPUTED_VALUE"""),"Employer who appreciates learning and enables that environment")</f>
        <v>Employer who appreciates learning and enables that environment</v>
      </c>
      <c r="M15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22"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1522" s="1" t="str">
        <f ca="1">IFERROR(__xludf.DUMMYFUNCTION("""COMPUTED_VALUE"""),"Manager who sets goal and helps me achieve it")</f>
        <v>Manager who sets goal and helps me achieve it</v>
      </c>
      <c r="P1522" s="1" t="str">
        <f ca="1">IFERROR(__xludf.DUMMYFUNCTION("""COMPUTED_VALUE"""),"Work alone, Work with 2 to 3 people in my team")</f>
        <v>Work alone, Work with 2 to 3 people in my team</v>
      </c>
      <c r="Q1522" s="1"/>
    </row>
    <row r="1523" spans="1:17" ht="13.2" x14ac:dyDescent="0.25">
      <c r="A1523" s="2">
        <f ca="1">IFERROR(__xludf.DUMMYFUNCTION("""COMPUTED_VALUE"""),45045.7052571064)</f>
        <v>45045.705257106398</v>
      </c>
      <c r="B1523" s="1" t="str">
        <f ca="1">IFERROR(__xludf.DUMMYFUNCTION("""COMPUTED_VALUE"""),"India")</f>
        <v>India</v>
      </c>
      <c r="C1523" s="1">
        <f ca="1">IFERROR(__xludf.DUMMYFUNCTION("""COMPUTED_VALUE"""),147003)</f>
        <v>147003</v>
      </c>
      <c r="D1523" s="3" t="str">
        <f ca="1">IFERROR(__xludf.DUMMYFUNCTION("""COMPUTED_VALUE"""),"Male")</f>
        <v>Male</v>
      </c>
      <c r="E1523" s="1" t="str">
        <f ca="1">IFERROR(__xludf.DUMMYFUNCTION("""COMPUTED_VALUE"""),"People from my circle, but not family members")</f>
        <v>People from my circle, but not family members</v>
      </c>
      <c r="F1523" s="1" t="str">
        <f ca="1">IFERROR(__xludf.DUMMYFUNCTION("""COMPUTED_VALUE"""),"No I would not be pursuing Higher Education outside of India")</f>
        <v>No I would not be pursuing Higher Education outside of India</v>
      </c>
      <c r="G1523" s="1" t="str">
        <f ca="1">IFERROR(__xludf.DUMMYFUNCTION("""COMPUTED_VALUE"""),"This will be hard to do, but if it is the right company I would try")</f>
        <v>This will be hard to do, but if it is the right company I would try</v>
      </c>
      <c r="H1523" s="1" t="str">
        <f ca="1">IFERROR(__xludf.DUMMYFUNCTION("""COMPUTED_VALUE"""),"No")</f>
        <v>No</v>
      </c>
      <c r="I1523" s="1" t="str">
        <f ca="1">IFERROR(__xludf.DUMMYFUNCTION("""COMPUTED_VALUE"""),"Will NOT work for them")</f>
        <v>Will NOT work for them</v>
      </c>
      <c r="J1523" s="1">
        <f ca="1">IFERROR(__xludf.DUMMYFUNCTION("""COMPUTED_VALUE"""),7)</f>
        <v>7</v>
      </c>
      <c r="K1523" s="1" t="str">
        <f ca="1">IFERROR(__xludf.DUMMYFUNCTION("""COMPUTED_VALUE"""),"Hybrid Working Environment with more than 15 days a month at office")</f>
        <v>Hybrid Working Environment with more than 15 days a month at office</v>
      </c>
      <c r="L1523" s="1" t="str">
        <f ca="1">IFERROR(__xludf.DUMMYFUNCTION("""COMPUTED_VALUE"""),"Employer who pushes your limits by enabling an learning environment, and rewards you at the end")</f>
        <v>Employer who pushes your limits by enabling an learning environment, and rewards you at the end</v>
      </c>
      <c r="M1523" s="1" t="str">
        <f ca="1">IFERROR(__xludf.DUMMYFUNCTION("""COMPUTED_VALUE"""),"Instructor or Expert Learning Programs, Learning by observing others, Manager Teaching you")</f>
        <v>Instructor or Expert Learning Programs, Learning by observing others, Manager Teaching you</v>
      </c>
      <c r="N15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523" s="1" t="str">
        <f ca="1">IFERROR(__xludf.DUMMYFUNCTION("""COMPUTED_VALUE"""),"Manager who explains what is expected, sets a goal and helps achieve it")</f>
        <v>Manager who explains what is expected, sets a goal and helps achieve it</v>
      </c>
      <c r="P1523" s="1" t="str">
        <f ca="1">IFERROR(__xludf.DUMMYFUNCTION("""COMPUTED_VALUE"""),"Work alone, Work with 2 to 3 people in my team")</f>
        <v>Work alone, Work with 2 to 3 people in my team</v>
      </c>
      <c r="Q1523" s="1"/>
    </row>
    <row r="1524" spans="1:17" ht="13.2" x14ac:dyDescent="0.25">
      <c r="A1524" s="2">
        <f ca="1">IFERROR(__xludf.DUMMYFUNCTION("""COMPUTED_VALUE"""),45045.7074385648)</f>
        <v>45045.707438564801</v>
      </c>
      <c r="B1524" s="1" t="str">
        <f ca="1">IFERROR(__xludf.DUMMYFUNCTION("""COMPUTED_VALUE"""),"India")</f>
        <v>India</v>
      </c>
      <c r="C1524" s="1">
        <f ca="1">IFERROR(__xludf.DUMMYFUNCTION("""COMPUTED_VALUE"""),456010)</f>
        <v>456010</v>
      </c>
      <c r="D1524" s="3" t="str">
        <f ca="1">IFERROR(__xludf.DUMMYFUNCTION("""COMPUTED_VALUE"""),"Female")</f>
        <v>Female</v>
      </c>
      <c r="E1524" s="1" t="str">
        <f ca="1">IFERROR(__xludf.DUMMYFUNCTION("""COMPUTED_VALUE"""),"Social Media like LinkedIn")</f>
        <v>Social Media like LinkedIn</v>
      </c>
      <c r="F1524" s="1" t="str">
        <f ca="1">IFERROR(__xludf.DUMMYFUNCTION("""COMPUTED_VALUE"""),"Yes, I will earn and do that")</f>
        <v>Yes, I will earn and do that</v>
      </c>
      <c r="G1524" s="1" t="str">
        <f ca="1">IFERROR(__xludf.DUMMYFUNCTION("""COMPUTED_VALUE"""),"This will be hard to do, but if it is the right company I would try")</f>
        <v>This will be hard to do, but if it is the right company I would try</v>
      </c>
      <c r="H1524" s="1" t="str">
        <f ca="1">IFERROR(__xludf.DUMMYFUNCTION("""COMPUTED_VALUE"""),"No")</f>
        <v>No</v>
      </c>
      <c r="I1524" s="1" t="str">
        <f ca="1">IFERROR(__xludf.DUMMYFUNCTION("""COMPUTED_VALUE"""),"Will NOT work for them")</f>
        <v>Will NOT work for them</v>
      </c>
      <c r="J1524" s="1">
        <f ca="1">IFERROR(__xludf.DUMMYFUNCTION("""COMPUTED_VALUE"""),5)</f>
        <v>5</v>
      </c>
      <c r="K1524" s="1" t="str">
        <f ca="1">IFERROR(__xludf.DUMMYFUNCTION("""COMPUTED_VALUE"""),"Hybrid Working Environment with more than 15 days a month at office")</f>
        <v>Hybrid Working Environment with more than 15 days a month at office</v>
      </c>
      <c r="L1524" s="1" t="str">
        <f ca="1">IFERROR(__xludf.DUMMYFUNCTION("""COMPUTED_VALUE"""),"Employer who pushes your limits by enabling an learning environment, and rewards you at the end")</f>
        <v>Employer who pushes your limits by enabling an learning environment, and rewards you at the end</v>
      </c>
      <c r="M15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2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24" s="1" t="str">
        <f ca="1">IFERROR(__xludf.DUMMYFUNCTION("""COMPUTED_VALUE"""),"Manager who sets goal and helps me achieve it")</f>
        <v>Manager who sets goal and helps me achieve it</v>
      </c>
      <c r="P1524" s="1" t="str">
        <f ca="1">IFERROR(__xludf.DUMMYFUNCTION("""COMPUTED_VALUE"""),"Work with 2 to 3 people in my team, Work with 5 to 6 people in my team")</f>
        <v>Work with 2 to 3 people in my team, Work with 5 to 6 people in my team</v>
      </c>
      <c r="Q1524" s="1"/>
    </row>
    <row r="1525" spans="1:17" ht="13.2" x14ac:dyDescent="0.25">
      <c r="A1525" s="2">
        <f ca="1">IFERROR(__xludf.DUMMYFUNCTION("""COMPUTED_VALUE"""),45045.7078788657)</f>
        <v>45045.707878865702</v>
      </c>
      <c r="B1525" s="1" t="str">
        <f ca="1">IFERROR(__xludf.DUMMYFUNCTION("""COMPUTED_VALUE"""),"India")</f>
        <v>India</v>
      </c>
      <c r="C1525" s="1">
        <f ca="1">IFERROR(__xludf.DUMMYFUNCTION("""COMPUTED_VALUE"""),142026)</f>
        <v>142026</v>
      </c>
      <c r="D1525" s="3" t="str">
        <f ca="1">IFERROR(__xludf.DUMMYFUNCTION("""COMPUTED_VALUE"""),"Female")</f>
        <v>Female</v>
      </c>
      <c r="E1525" s="1" t="str">
        <f ca="1">IFERROR(__xludf.DUMMYFUNCTION("""COMPUTED_VALUE"""),"People who have changed the world for better")</f>
        <v>People who have changed the world for better</v>
      </c>
      <c r="F1525" s="1" t="str">
        <f ca="1">IFERROR(__xludf.DUMMYFUNCTION("""COMPUTED_VALUE"""),"Yes, I will earn and do that")</f>
        <v>Yes, I will earn and do that</v>
      </c>
      <c r="G1525" s="1" t="str">
        <f ca="1">IFERROR(__xludf.DUMMYFUNCTION("""COMPUTED_VALUE"""),"Will work for 3 years or more")</f>
        <v>Will work for 3 years or more</v>
      </c>
      <c r="H1525" s="1" t="str">
        <f ca="1">IFERROR(__xludf.DUMMYFUNCTION("""COMPUTED_VALUE"""),"No")</f>
        <v>No</v>
      </c>
      <c r="I1525" s="1" t="str">
        <f ca="1">IFERROR(__xludf.DUMMYFUNCTION("""COMPUTED_VALUE"""),"Will NOT work for them")</f>
        <v>Will NOT work for them</v>
      </c>
      <c r="J1525" s="1">
        <f ca="1">IFERROR(__xludf.DUMMYFUNCTION("""COMPUTED_VALUE"""),4)</f>
        <v>4</v>
      </c>
      <c r="K1525" s="1" t="str">
        <f ca="1">IFERROR(__xludf.DUMMYFUNCTION("""COMPUTED_VALUE"""),"Fully Remote with Options to travel as and when needed")</f>
        <v>Fully Remote with Options to travel as and when needed</v>
      </c>
      <c r="L1525" s="1" t="str">
        <f ca="1">IFERROR(__xludf.DUMMYFUNCTION("""COMPUTED_VALUE"""),"Employer who pushes your limits by enabling an learning environment, and rewards you at the end")</f>
        <v>Employer who pushes your limits by enabling an learning environment, and rewards you at the end</v>
      </c>
      <c r="M152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2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25" s="1" t="str">
        <f ca="1">IFERROR(__xludf.DUMMYFUNCTION("""COMPUTED_VALUE"""),"Manager who explains what is expected, sets a goal and helps achieve it")</f>
        <v>Manager who explains what is expected, sets a goal and helps achieve it</v>
      </c>
      <c r="P1525" s="1" t="str">
        <f ca="1">IFERROR(__xludf.DUMMYFUNCTION("""COMPUTED_VALUE"""),"Work with 2 to 3 people in my team")</f>
        <v>Work with 2 to 3 people in my team</v>
      </c>
      <c r="Q1525" s="1"/>
    </row>
    <row r="1526" spans="1:17" ht="13.2" x14ac:dyDescent="0.25">
      <c r="A1526" s="2">
        <f ca="1">IFERROR(__xludf.DUMMYFUNCTION("""COMPUTED_VALUE"""),45045.7144385879)</f>
        <v>45045.7144385879</v>
      </c>
      <c r="B1526" s="1" t="str">
        <f ca="1">IFERROR(__xludf.DUMMYFUNCTION("""COMPUTED_VALUE"""),"India")</f>
        <v>India</v>
      </c>
      <c r="C1526" s="1">
        <f ca="1">IFERROR(__xludf.DUMMYFUNCTION("""COMPUTED_VALUE"""),605004)</f>
        <v>605004</v>
      </c>
      <c r="D1526" s="3" t="str">
        <f ca="1">IFERROR(__xludf.DUMMYFUNCTION("""COMPUTED_VALUE"""),"Female")</f>
        <v>Female</v>
      </c>
      <c r="E1526" s="1" t="str">
        <f ca="1">IFERROR(__xludf.DUMMYFUNCTION("""COMPUTED_VALUE"""),"Influencers who had successful careers")</f>
        <v>Influencers who had successful careers</v>
      </c>
      <c r="F1526" s="1" t="str">
        <f ca="1">IFERROR(__xludf.DUMMYFUNCTION("""COMPUTED_VALUE"""),"No, But if someone could bare the cost I will")</f>
        <v>No, But if someone could bare the cost I will</v>
      </c>
      <c r="G1526" s="1" t="str">
        <f ca="1">IFERROR(__xludf.DUMMYFUNCTION("""COMPUTED_VALUE"""),"This will be hard to do, but if it is the right company I would try")</f>
        <v>This will be hard to do, but if it is the right company I would try</v>
      </c>
      <c r="H1526" s="1" t="str">
        <f ca="1">IFERROR(__xludf.DUMMYFUNCTION("""COMPUTED_VALUE"""),"No")</f>
        <v>No</v>
      </c>
      <c r="I1526" s="1" t="str">
        <f ca="1">IFERROR(__xludf.DUMMYFUNCTION("""COMPUTED_VALUE"""),"Will NOT work for them")</f>
        <v>Will NOT work for them</v>
      </c>
      <c r="J1526" s="1">
        <f ca="1">IFERROR(__xludf.DUMMYFUNCTION("""COMPUTED_VALUE"""),8)</f>
        <v>8</v>
      </c>
      <c r="K1526" s="1" t="str">
        <f ca="1">IFERROR(__xludf.DUMMYFUNCTION("""COMPUTED_VALUE"""),"Fully Remote with Options to travel as and when needed")</f>
        <v>Fully Remote with Options to travel as and when needed</v>
      </c>
      <c r="L1526" s="1" t="str">
        <f ca="1">IFERROR(__xludf.DUMMYFUNCTION("""COMPUTED_VALUE"""),"Employer who pushes your limits by enabling an learning environment, and rewards you at the end")</f>
        <v>Employer who pushes your limits by enabling an learning environment, and rewards you at the end</v>
      </c>
      <c r="M15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2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26" s="1" t="str">
        <f ca="1">IFERROR(__xludf.DUMMYFUNCTION("""COMPUTED_VALUE"""),"Manager who explains what is expected, sets a goal and helps achieve it")</f>
        <v>Manager who explains what is expected, sets a goal and helps achieve it</v>
      </c>
      <c r="P1526" s="1" t="str">
        <f ca="1">IFERROR(__xludf.DUMMYFUNCTION("""COMPUTED_VALUE"""),"Work with 5 to 6 people in my team")</f>
        <v>Work with 5 to 6 people in my team</v>
      </c>
      <c r="Q1526" s="1"/>
    </row>
    <row r="1527" spans="1:17" ht="13.2" x14ac:dyDescent="0.25">
      <c r="A1527" s="2">
        <f ca="1">IFERROR(__xludf.DUMMYFUNCTION("""COMPUTED_VALUE"""),45045.7155325231)</f>
        <v>45045.7155325231</v>
      </c>
      <c r="B1527" s="1" t="str">
        <f ca="1">IFERROR(__xludf.DUMMYFUNCTION("""COMPUTED_VALUE"""),"India")</f>
        <v>India</v>
      </c>
      <c r="C1527" s="1">
        <f ca="1">IFERROR(__xludf.DUMMYFUNCTION("""COMPUTED_VALUE"""),456010)</f>
        <v>456010</v>
      </c>
      <c r="D1527" s="3" t="str">
        <f ca="1">IFERROR(__xludf.DUMMYFUNCTION("""COMPUTED_VALUE"""),"Female")</f>
        <v>Female</v>
      </c>
      <c r="E1527" s="1" t="str">
        <f ca="1">IFERROR(__xludf.DUMMYFUNCTION("""COMPUTED_VALUE"""),"My Parents")</f>
        <v>My Parents</v>
      </c>
      <c r="F1527" s="1" t="str">
        <f ca="1">IFERROR(__xludf.DUMMYFUNCTION("""COMPUTED_VALUE"""),"No, But if someone could bare the cost I will")</f>
        <v>No, But if someone could bare the cost I will</v>
      </c>
      <c r="G1527" s="1" t="str">
        <f ca="1">IFERROR(__xludf.DUMMYFUNCTION("""COMPUTED_VALUE"""),"Will work for 3 years or more")</f>
        <v>Will work for 3 years or more</v>
      </c>
      <c r="H1527" s="1" t="str">
        <f ca="1">IFERROR(__xludf.DUMMYFUNCTION("""COMPUTED_VALUE"""),"No")</f>
        <v>No</v>
      </c>
      <c r="I1527" s="1" t="str">
        <f ca="1">IFERROR(__xludf.DUMMYFUNCTION("""COMPUTED_VALUE"""),"Will NOT work for them")</f>
        <v>Will NOT work for them</v>
      </c>
      <c r="J1527" s="1">
        <f ca="1">IFERROR(__xludf.DUMMYFUNCTION("""COMPUTED_VALUE"""),1)</f>
        <v>1</v>
      </c>
      <c r="K1527" s="1" t="str">
        <f ca="1">IFERROR(__xludf.DUMMYFUNCTION("""COMPUTED_VALUE"""),"Fully Remote with No option to visit offices")</f>
        <v>Fully Remote with No option to visit offices</v>
      </c>
      <c r="L1527" s="1" t="str">
        <f ca="1">IFERROR(__xludf.DUMMYFUNCTION("""COMPUTED_VALUE"""),"Employer who rewards learning and enables that environment")</f>
        <v>Employer who rewards learning and enables that environment</v>
      </c>
      <c r="M1527" s="1" t="str">
        <f ca="1">IFERROR(__xludf.DUMMYFUNCTION("""COMPUTED_VALUE"""),"Self Paced Learning Portals of the Company, Learning by observing others, Manager Teaching you")</f>
        <v>Self Paced Learning Portals of the Company, Learning by observing others, Manager Teaching you</v>
      </c>
      <c r="N1527"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27" s="1" t="str">
        <f ca="1">IFERROR(__xludf.DUMMYFUNCTION("""COMPUTED_VALUE"""),"Manager who clearly describes what she/he needs")</f>
        <v>Manager who clearly describes what she/he needs</v>
      </c>
      <c r="P1527" s="1" t="str">
        <f ca="1">IFERROR(__xludf.DUMMYFUNCTION("""COMPUTED_VALUE"""),"Work alone")</f>
        <v>Work alone</v>
      </c>
      <c r="Q1527" s="1"/>
    </row>
    <row r="1528" spans="1:17" ht="13.2" x14ac:dyDescent="0.25">
      <c r="A1528" s="2">
        <f ca="1">IFERROR(__xludf.DUMMYFUNCTION("""COMPUTED_VALUE"""),45045.7192017013)</f>
        <v>45045.7192017013</v>
      </c>
      <c r="B1528" s="1" t="str">
        <f ca="1">IFERROR(__xludf.DUMMYFUNCTION("""COMPUTED_VALUE"""),"India")</f>
        <v>India</v>
      </c>
      <c r="C1528" s="1">
        <f ca="1">IFERROR(__xludf.DUMMYFUNCTION("""COMPUTED_VALUE"""),456006)</f>
        <v>456006</v>
      </c>
      <c r="D1528" s="3" t="str">
        <f ca="1">IFERROR(__xludf.DUMMYFUNCTION("""COMPUTED_VALUE"""),"Male")</f>
        <v>Male</v>
      </c>
      <c r="E1528" s="1" t="str">
        <f ca="1">IFERROR(__xludf.DUMMYFUNCTION("""COMPUTED_VALUE"""),"My Parents")</f>
        <v>My Parents</v>
      </c>
      <c r="F1528" s="1" t="str">
        <f ca="1">IFERROR(__xludf.DUMMYFUNCTION("""COMPUTED_VALUE"""),"Yes, I will earn and do that")</f>
        <v>Yes, I will earn and do that</v>
      </c>
      <c r="G1528" s="1" t="str">
        <f ca="1">IFERROR(__xludf.DUMMYFUNCTION("""COMPUTED_VALUE"""),"No way")</f>
        <v>No way</v>
      </c>
      <c r="H1528" s="1" t="str">
        <f ca="1">IFERROR(__xludf.DUMMYFUNCTION("""COMPUTED_VALUE"""),"Yes")</f>
        <v>Yes</v>
      </c>
      <c r="I1528" s="1" t="str">
        <f ca="1">IFERROR(__xludf.DUMMYFUNCTION("""COMPUTED_VALUE"""),"Will work for them")</f>
        <v>Will work for them</v>
      </c>
      <c r="J1528" s="1">
        <f ca="1">IFERROR(__xludf.DUMMYFUNCTION("""COMPUTED_VALUE"""),1)</f>
        <v>1</v>
      </c>
      <c r="K1528" s="1" t="str">
        <f ca="1">IFERROR(__xludf.DUMMYFUNCTION("""COMPUTED_VALUE"""),"Every Day Office Environment")</f>
        <v>Every Day Office Environment</v>
      </c>
      <c r="L1528" s="1" t="str">
        <f ca="1">IFERROR(__xludf.DUMMYFUNCTION("""COMPUTED_VALUE"""),"Employer who appreciates learning and enables that environment")</f>
        <v>Employer who appreciates learning and enables that environment</v>
      </c>
      <c r="M152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28"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528" s="1" t="str">
        <f ca="1">IFERROR(__xludf.DUMMYFUNCTION("""COMPUTED_VALUE"""),"Manager who clearly describes what she/he needs")</f>
        <v>Manager who clearly describes what she/he needs</v>
      </c>
      <c r="P1528" s="1" t="str">
        <f ca="1">IFERROR(__xludf.DUMMYFUNCTION("""COMPUTED_VALUE"""),"Work with 2 to 3 people in my team")</f>
        <v>Work with 2 to 3 people in my team</v>
      </c>
      <c r="Q1528" s="1"/>
    </row>
    <row r="1529" spans="1:17" ht="13.2" x14ac:dyDescent="0.25">
      <c r="A1529" s="2">
        <f ca="1">IFERROR(__xludf.DUMMYFUNCTION("""COMPUTED_VALUE"""),45045.7210609027)</f>
        <v>45045.721060902702</v>
      </c>
      <c r="B1529" s="1" t="str">
        <f ca="1">IFERROR(__xludf.DUMMYFUNCTION("""COMPUTED_VALUE"""),"India")</f>
        <v>India</v>
      </c>
      <c r="C1529" s="1">
        <f ca="1">IFERROR(__xludf.DUMMYFUNCTION("""COMPUTED_VALUE"""),452010)</f>
        <v>452010</v>
      </c>
      <c r="D1529" s="3" t="str">
        <f ca="1">IFERROR(__xludf.DUMMYFUNCTION("""COMPUTED_VALUE"""),"Male")</f>
        <v>Male</v>
      </c>
      <c r="E1529" s="1" t="str">
        <f ca="1">IFERROR(__xludf.DUMMYFUNCTION("""COMPUTED_VALUE"""),"People from my circle, but not family members")</f>
        <v>People from my circle, but not family members</v>
      </c>
      <c r="F1529" s="1" t="str">
        <f ca="1">IFERROR(__xludf.DUMMYFUNCTION("""COMPUTED_VALUE"""),"No I would not be pursuing Higher Education outside of India")</f>
        <v>No I would not be pursuing Higher Education outside of India</v>
      </c>
      <c r="G1529" s="1" t="str">
        <f ca="1">IFERROR(__xludf.DUMMYFUNCTION("""COMPUTED_VALUE"""),"Will work for 3 years or more")</f>
        <v>Will work for 3 years or more</v>
      </c>
      <c r="H1529" s="1" t="str">
        <f ca="1">IFERROR(__xludf.DUMMYFUNCTION("""COMPUTED_VALUE"""),"No")</f>
        <v>No</v>
      </c>
      <c r="I1529" s="1" t="str">
        <f ca="1">IFERROR(__xludf.DUMMYFUNCTION("""COMPUTED_VALUE"""),"Will NOT work for them")</f>
        <v>Will NOT work for them</v>
      </c>
      <c r="J1529" s="1">
        <f ca="1">IFERROR(__xludf.DUMMYFUNCTION("""COMPUTED_VALUE"""),10)</f>
        <v>10</v>
      </c>
      <c r="K1529" s="1" t="str">
        <f ca="1">IFERROR(__xludf.DUMMYFUNCTION("""COMPUTED_VALUE"""),"Fully Remote with Options to travel as and when needed")</f>
        <v>Fully Remote with Options to travel as and when needed</v>
      </c>
      <c r="L1529" s="1" t="str">
        <f ca="1">IFERROR(__xludf.DUMMYFUNCTION("""COMPUTED_VALUE"""),"Employer who appreciates learning and enables that environment")</f>
        <v>Employer who appreciates learning and enables that environment</v>
      </c>
      <c r="M1529"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52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529" s="1" t="str">
        <f ca="1">IFERROR(__xludf.DUMMYFUNCTION("""COMPUTED_VALUE"""),"Manager who explains what is expected, sets a goal and helps achieve it")</f>
        <v>Manager who explains what is expected, sets a goal and helps achieve it</v>
      </c>
      <c r="P1529" s="1" t="str">
        <f ca="1">IFERROR(__xludf.DUMMYFUNCTION("""COMPUTED_VALUE"""),"Work with more than 10 people in my team")</f>
        <v>Work with more than 10 people in my team</v>
      </c>
      <c r="Q1529" s="1"/>
    </row>
    <row r="1530" spans="1:17" ht="13.2" x14ac:dyDescent="0.25">
      <c r="A1530" s="2">
        <f ca="1">IFERROR(__xludf.DUMMYFUNCTION("""COMPUTED_VALUE"""),45045.7228673958)</f>
        <v>45045.722867395802</v>
      </c>
      <c r="B1530" s="1" t="str">
        <f ca="1">IFERROR(__xludf.DUMMYFUNCTION("""COMPUTED_VALUE"""),"India")</f>
        <v>India</v>
      </c>
      <c r="C1530" s="1">
        <f ca="1">IFERROR(__xludf.DUMMYFUNCTION("""COMPUTED_VALUE"""),456010)</f>
        <v>456010</v>
      </c>
      <c r="D1530" s="3" t="str">
        <f ca="1">IFERROR(__xludf.DUMMYFUNCTION("""COMPUTED_VALUE"""),"Female")</f>
        <v>Female</v>
      </c>
      <c r="E1530" s="1" t="str">
        <f ca="1">IFERROR(__xludf.DUMMYFUNCTION("""COMPUTED_VALUE"""),"My Parents")</f>
        <v>My Parents</v>
      </c>
      <c r="F1530" s="1" t="str">
        <f ca="1">IFERROR(__xludf.DUMMYFUNCTION("""COMPUTED_VALUE"""),"Yes, I will earn and do that")</f>
        <v>Yes, I will earn and do that</v>
      </c>
      <c r="G1530" s="1" t="str">
        <f ca="1">IFERROR(__xludf.DUMMYFUNCTION("""COMPUTED_VALUE"""),"This will be hard to do, but if it is the right company I would try")</f>
        <v>This will be hard to do, but if it is the right company I would try</v>
      </c>
      <c r="H1530" s="1" t="str">
        <f ca="1">IFERROR(__xludf.DUMMYFUNCTION("""COMPUTED_VALUE"""),"Yes")</f>
        <v>Yes</v>
      </c>
      <c r="I1530" s="1" t="str">
        <f ca="1">IFERROR(__xludf.DUMMYFUNCTION("""COMPUTED_VALUE"""),"Will work for them")</f>
        <v>Will work for them</v>
      </c>
      <c r="J1530" s="1">
        <f ca="1">IFERROR(__xludf.DUMMYFUNCTION("""COMPUTED_VALUE"""),5)</f>
        <v>5</v>
      </c>
      <c r="K1530" s="1" t="str">
        <f ca="1">IFERROR(__xludf.DUMMYFUNCTION("""COMPUTED_VALUE"""),"Hybrid Working Environment with less than 3 days a month at office")</f>
        <v>Hybrid Working Environment with less than 3 days a month at office</v>
      </c>
      <c r="L1530" s="1" t="str">
        <f ca="1">IFERROR(__xludf.DUMMYFUNCTION("""COMPUTED_VALUE"""),"Employer who pushes your limits by enabling an learning environment, and rewards you at the end")</f>
        <v>Employer who pushes your limits by enabling an learning environment, and rewards you at the end</v>
      </c>
      <c r="M1530" s="1" t="str">
        <f ca="1">IFERROR(__xludf.DUMMYFUNCTION("""COMPUTED_VALUE"""),"Self Paced Learning Portals of the Company, Instructor or Expert Learning Programs, Manager Teaching you")</f>
        <v>Self Paced Learning Portals of the Company, Instructor or Expert Learning Programs, Manager Teaching you</v>
      </c>
      <c r="N153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30" s="1" t="str">
        <f ca="1">IFERROR(__xludf.DUMMYFUNCTION("""COMPUTED_VALUE"""),"Manager who explains what is expected, sets a goal and helps achieve it")</f>
        <v>Manager who explains what is expected, sets a goal and helps achieve it</v>
      </c>
      <c r="P1530" s="1" t="str">
        <f ca="1">IFERROR(__xludf.DUMMYFUNCTION("""COMPUTED_VALUE"""),"Work with 7 to 10 or more people in my team, Work with more than 10 people in my team")</f>
        <v>Work with 7 to 10 or more people in my team, Work with more than 10 people in my team</v>
      </c>
      <c r="Q1530" s="1"/>
    </row>
    <row r="1531" spans="1:17" ht="13.2" x14ac:dyDescent="0.25">
      <c r="A1531" s="2">
        <f ca="1">IFERROR(__xludf.DUMMYFUNCTION("""COMPUTED_VALUE"""),45045.7333492129)</f>
        <v>45045.733349212896</v>
      </c>
      <c r="B1531" s="1" t="str">
        <f ca="1">IFERROR(__xludf.DUMMYFUNCTION("""COMPUTED_VALUE"""),"India")</f>
        <v>India</v>
      </c>
      <c r="C1531" s="1">
        <f ca="1">IFERROR(__xludf.DUMMYFUNCTION("""COMPUTED_VALUE"""),721302)</f>
        <v>721302</v>
      </c>
      <c r="D1531" s="3" t="str">
        <f ca="1">IFERROR(__xludf.DUMMYFUNCTION("""COMPUTED_VALUE"""),"Female")</f>
        <v>Female</v>
      </c>
      <c r="E1531" s="1" t="str">
        <f ca="1">IFERROR(__xludf.DUMMYFUNCTION("""COMPUTED_VALUE"""),"People who have changed the world for better")</f>
        <v>People who have changed the world for better</v>
      </c>
      <c r="F1531" s="1" t="str">
        <f ca="1">IFERROR(__xludf.DUMMYFUNCTION("""COMPUTED_VALUE"""),"Yes, I will earn and do that")</f>
        <v>Yes, I will earn and do that</v>
      </c>
      <c r="G1531" s="1" t="str">
        <f ca="1">IFERROR(__xludf.DUMMYFUNCTION("""COMPUTED_VALUE"""),"This will be hard to do, but if it is the right company I would try")</f>
        <v>This will be hard to do, but if it is the right company I would try</v>
      </c>
      <c r="H1531" s="1" t="str">
        <f ca="1">IFERROR(__xludf.DUMMYFUNCTION("""COMPUTED_VALUE"""),"No")</f>
        <v>No</v>
      </c>
      <c r="I1531" s="1" t="str">
        <f ca="1">IFERROR(__xludf.DUMMYFUNCTION("""COMPUTED_VALUE"""),"Will NOT work for them")</f>
        <v>Will NOT work for them</v>
      </c>
      <c r="J1531" s="1">
        <f ca="1">IFERROR(__xludf.DUMMYFUNCTION("""COMPUTED_VALUE"""),5)</f>
        <v>5</v>
      </c>
      <c r="K1531" s="1" t="str">
        <f ca="1">IFERROR(__xludf.DUMMYFUNCTION("""COMPUTED_VALUE"""),"Fully Remote with Options to travel as and when needed")</f>
        <v>Fully Remote with Options to travel as and when needed</v>
      </c>
      <c r="L1531" s="1" t="str">
        <f ca="1">IFERROR(__xludf.DUMMYFUNCTION("""COMPUTED_VALUE"""),"Employer who pushes your limits by enabling an learning environment, and rewards you at the end")</f>
        <v>Employer who pushes your limits by enabling an learning environment, and rewards you at the end</v>
      </c>
      <c r="M153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31"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1531" s="1" t="str">
        <f ca="1">IFERROR(__xludf.DUMMYFUNCTION("""COMPUTED_VALUE"""),"Manager who explains what is expected, sets a goal and helps achieve it")</f>
        <v>Manager who explains what is expected, sets a goal and helps achieve it</v>
      </c>
      <c r="P1531" s="1" t="str">
        <f ca="1">IFERROR(__xludf.DUMMYFUNCTION("""COMPUTED_VALUE"""),"Work with 2 to 3 people in my team, Work with 5 to 6 people in my team")</f>
        <v>Work with 2 to 3 people in my team, Work with 5 to 6 people in my team</v>
      </c>
      <c r="Q1531" s="1"/>
    </row>
    <row r="1532" spans="1:17" ht="13.2" x14ac:dyDescent="0.25">
      <c r="A1532" s="2">
        <f ca="1">IFERROR(__xludf.DUMMYFUNCTION("""COMPUTED_VALUE"""),45045.7371481481)</f>
        <v>45045.737148148102</v>
      </c>
      <c r="B1532" s="1" t="str">
        <f ca="1">IFERROR(__xludf.DUMMYFUNCTION("""COMPUTED_VALUE"""),"India")</f>
        <v>India</v>
      </c>
      <c r="C1532" s="1">
        <f ca="1">IFERROR(__xludf.DUMMYFUNCTION("""COMPUTED_VALUE"""),731130)</f>
        <v>731130</v>
      </c>
      <c r="D1532" s="3" t="str">
        <f ca="1">IFERROR(__xludf.DUMMYFUNCTION("""COMPUTED_VALUE"""),"Male")</f>
        <v>Male</v>
      </c>
      <c r="E1532" s="1" t="str">
        <f ca="1">IFERROR(__xludf.DUMMYFUNCTION("""COMPUTED_VALUE"""),"My Parents")</f>
        <v>My Parents</v>
      </c>
      <c r="F1532" s="1" t="str">
        <f ca="1">IFERROR(__xludf.DUMMYFUNCTION("""COMPUTED_VALUE"""),"Yes, I will earn and do that")</f>
        <v>Yes, I will earn and do that</v>
      </c>
      <c r="G1532" s="1" t="str">
        <f ca="1">IFERROR(__xludf.DUMMYFUNCTION("""COMPUTED_VALUE"""),"This will be hard to do, but if it is the right company I would try")</f>
        <v>This will be hard to do, but if it is the right company I would try</v>
      </c>
      <c r="H1532" s="1" t="str">
        <f ca="1">IFERROR(__xludf.DUMMYFUNCTION("""COMPUTED_VALUE"""),"Yes")</f>
        <v>Yes</v>
      </c>
      <c r="I1532" s="1" t="str">
        <f ca="1">IFERROR(__xludf.DUMMYFUNCTION("""COMPUTED_VALUE"""),"Will work for them")</f>
        <v>Will work for them</v>
      </c>
      <c r="J1532" s="1">
        <f ca="1">IFERROR(__xludf.DUMMYFUNCTION("""COMPUTED_VALUE"""),1)</f>
        <v>1</v>
      </c>
      <c r="K1532" s="1" t="str">
        <f ca="1">IFERROR(__xludf.DUMMYFUNCTION("""COMPUTED_VALUE"""),"Hybrid Working Environment with less than 3 days a month at office")</f>
        <v>Hybrid Working Environment with less than 3 days a month at office</v>
      </c>
      <c r="L1532" s="1" t="str">
        <f ca="1">IFERROR(__xludf.DUMMYFUNCTION("""COMPUTED_VALUE"""),"Employer who pushes your limits by enabling an learning environment, and rewards you at the end")</f>
        <v>Employer who pushes your limits by enabling an learning environment, and rewards you at the end</v>
      </c>
      <c r="M15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3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532" s="1" t="str">
        <f ca="1">IFERROR(__xludf.DUMMYFUNCTION("""COMPUTED_VALUE"""),"Manager who clearly describes what she/he needs")</f>
        <v>Manager who clearly describes what she/he needs</v>
      </c>
      <c r="P1532" s="1" t="str">
        <f ca="1">IFERROR(__xludf.DUMMYFUNCTION("""COMPUTED_VALUE"""),"Work with 2 to 3 people in my team")</f>
        <v>Work with 2 to 3 people in my team</v>
      </c>
      <c r="Q1532" s="1"/>
    </row>
    <row r="1533" spans="1:17" ht="13.2" x14ac:dyDescent="0.25">
      <c r="A1533" s="2">
        <f ca="1">IFERROR(__xludf.DUMMYFUNCTION("""COMPUTED_VALUE"""),45045.7386199652)</f>
        <v>45045.738619965203</v>
      </c>
      <c r="B1533" s="1" t="str">
        <f ca="1">IFERROR(__xludf.DUMMYFUNCTION("""COMPUTED_VALUE"""),"India")</f>
        <v>India</v>
      </c>
      <c r="C1533" s="1">
        <f ca="1">IFERROR(__xludf.DUMMYFUNCTION("""COMPUTED_VALUE"""),600049)</f>
        <v>600049</v>
      </c>
      <c r="D1533" s="3" t="str">
        <f ca="1">IFERROR(__xludf.DUMMYFUNCTION("""COMPUTED_VALUE"""),"Female")</f>
        <v>Female</v>
      </c>
      <c r="E1533" s="1" t="str">
        <f ca="1">IFERROR(__xludf.DUMMYFUNCTION("""COMPUTED_VALUE"""),"Influencers who had successful careers")</f>
        <v>Influencers who had successful careers</v>
      </c>
      <c r="F1533" s="1" t="str">
        <f ca="1">IFERROR(__xludf.DUMMYFUNCTION("""COMPUTED_VALUE"""),"Yes, I will earn and do that")</f>
        <v>Yes, I will earn and do that</v>
      </c>
      <c r="G1533" s="1" t="str">
        <f ca="1">IFERROR(__xludf.DUMMYFUNCTION("""COMPUTED_VALUE"""),"Will work for 3 years or more")</f>
        <v>Will work for 3 years or more</v>
      </c>
      <c r="H1533" s="1" t="str">
        <f ca="1">IFERROR(__xludf.DUMMYFUNCTION("""COMPUTED_VALUE"""),"No")</f>
        <v>No</v>
      </c>
      <c r="I1533" s="1" t="str">
        <f ca="1">IFERROR(__xludf.DUMMYFUNCTION("""COMPUTED_VALUE"""),"Will NOT work for them")</f>
        <v>Will NOT work for them</v>
      </c>
      <c r="J1533" s="1">
        <f ca="1">IFERROR(__xludf.DUMMYFUNCTION("""COMPUTED_VALUE"""),5)</f>
        <v>5</v>
      </c>
      <c r="K1533" s="1" t="str">
        <f ca="1">IFERROR(__xludf.DUMMYFUNCTION("""COMPUTED_VALUE"""),"Hybrid Working Environment with less than 3 days a month at office")</f>
        <v>Hybrid Working Environment with less than 3 days a month at office</v>
      </c>
      <c r="L1533" s="1" t="str">
        <f ca="1">IFERROR(__xludf.DUMMYFUNCTION("""COMPUTED_VALUE"""),"Employer who rewards learning and enables that environment")</f>
        <v>Employer who rewards learning and enables that environment</v>
      </c>
      <c r="M153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33"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533" s="1" t="str">
        <f ca="1">IFERROR(__xludf.DUMMYFUNCTION("""COMPUTED_VALUE"""),"Manager who explains what is expected, sets a goal and helps achieve it")</f>
        <v>Manager who explains what is expected, sets a goal and helps achieve it</v>
      </c>
      <c r="P1533" s="1" t="str">
        <f ca="1">IFERROR(__xludf.DUMMYFUNCTION("""COMPUTED_VALUE"""),"Work with 7 to 10 or more people in my team")</f>
        <v>Work with 7 to 10 or more people in my team</v>
      </c>
      <c r="Q1533" s="1"/>
    </row>
    <row r="1534" spans="1:17" ht="13.2" x14ac:dyDescent="0.25">
      <c r="A1534" s="2">
        <f ca="1">IFERROR(__xludf.DUMMYFUNCTION("""COMPUTED_VALUE"""),45045.7406760069)</f>
        <v>45045.740676006899</v>
      </c>
      <c r="B1534" s="1" t="str">
        <f ca="1">IFERROR(__xludf.DUMMYFUNCTION("""COMPUTED_VALUE"""),"India")</f>
        <v>India</v>
      </c>
      <c r="C1534" s="1">
        <f ca="1">IFERROR(__xludf.DUMMYFUNCTION("""COMPUTED_VALUE"""),781014)</f>
        <v>781014</v>
      </c>
      <c r="D1534" s="3" t="str">
        <f ca="1">IFERROR(__xludf.DUMMYFUNCTION("""COMPUTED_VALUE"""),"Male")</f>
        <v>Male</v>
      </c>
      <c r="E1534" s="1" t="str">
        <f ca="1">IFERROR(__xludf.DUMMYFUNCTION("""COMPUTED_VALUE"""),"People from my circle, but not family members")</f>
        <v>People from my circle, but not family members</v>
      </c>
      <c r="F1534" s="1" t="str">
        <f ca="1">IFERROR(__xludf.DUMMYFUNCTION("""COMPUTED_VALUE"""),"No I would not be pursuing Higher Education outside of India")</f>
        <v>No I would not be pursuing Higher Education outside of India</v>
      </c>
      <c r="G1534" s="1" t="str">
        <f ca="1">IFERROR(__xludf.DUMMYFUNCTION("""COMPUTED_VALUE"""),"Will work for 3 years or more")</f>
        <v>Will work for 3 years or more</v>
      </c>
      <c r="H1534" s="1" t="str">
        <f ca="1">IFERROR(__xludf.DUMMYFUNCTION("""COMPUTED_VALUE"""),"No")</f>
        <v>No</v>
      </c>
      <c r="I1534" s="1" t="str">
        <f ca="1">IFERROR(__xludf.DUMMYFUNCTION("""COMPUTED_VALUE"""),"Will NOT work for them")</f>
        <v>Will NOT work for them</v>
      </c>
      <c r="J1534" s="1">
        <f ca="1">IFERROR(__xludf.DUMMYFUNCTION("""COMPUTED_VALUE"""),5)</f>
        <v>5</v>
      </c>
      <c r="K1534" s="1" t="str">
        <f ca="1">IFERROR(__xludf.DUMMYFUNCTION("""COMPUTED_VALUE"""),"Hybrid Working Environment with more than 15 days a month at office")</f>
        <v>Hybrid Working Environment with more than 15 days a month at office</v>
      </c>
      <c r="L1534" s="1" t="str">
        <f ca="1">IFERROR(__xludf.DUMMYFUNCTION("""COMPUTED_VALUE"""),"Employer who pushes your limits by enabling an learning environment, and rewards you at the end")</f>
        <v>Employer who pushes your limits by enabling an learning environment, and rewards you at the end</v>
      </c>
      <c r="M15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34"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1534" s="1" t="str">
        <f ca="1">IFERROR(__xludf.DUMMYFUNCTION("""COMPUTED_VALUE"""),"Manager who explains what is expected, sets a goal and helps achieve it")</f>
        <v>Manager who explains what is expected, sets a goal and helps achieve it</v>
      </c>
      <c r="P153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534" s="1"/>
    </row>
    <row r="1535" spans="1:17" ht="13.2" x14ac:dyDescent="0.25">
      <c r="A1535" s="2">
        <f ca="1">IFERROR(__xludf.DUMMYFUNCTION("""COMPUTED_VALUE"""),45045.7491878125)</f>
        <v>45045.7491878125</v>
      </c>
      <c r="B1535" s="1" t="str">
        <f ca="1">IFERROR(__xludf.DUMMYFUNCTION("""COMPUTED_VALUE"""),"India")</f>
        <v>India</v>
      </c>
      <c r="C1535" s="1">
        <f ca="1">IFERROR(__xludf.DUMMYFUNCTION("""COMPUTED_VALUE"""),144602)</f>
        <v>144602</v>
      </c>
      <c r="D1535" s="3" t="str">
        <f ca="1">IFERROR(__xludf.DUMMYFUNCTION("""COMPUTED_VALUE"""),"Male")</f>
        <v>Male</v>
      </c>
      <c r="E1535" s="1" t="str">
        <f ca="1">IFERROR(__xludf.DUMMYFUNCTION("""COMPUTED_VALUE"""),"People from my circle, but not family members")</f>
        <v>People from my circle, but not family members</v>
      </c>
      <c r="F1535" s="1" t="str">
        <f ca="1">IFERROR(__xludf.DUMMYFUNCTION("""COMPUTED_VALUE"""),"Yes, I will earn and do that")</f>
        <v>Yes, I will earn and do that</v>
      </c>
      <c r="G1535" s="1" t="str">
        <f ca="1">IFERROR(__xludf.DUMMYFUNCTION("""COMPUTED_VALUE"""),"This will be hard to do, but if it is the right company I would try")</f>
        <v>This will be hard to do, but if it is the right company I would try</v>
      </c>
      <c r="H1535" s="1" t="str">
        <f ca="1">IFERROR(__xludf.DUMMYFUNCTION("""COMPUTED_VALUE"""),"No")</f>
        <v>No</v>
      </c>
      <c r="I1535" s="1" t="str">
        <f ca="1">IFERROR(__xludf.DUMMYFUNCTION("""COMPUTED_VALUE"""),"Will NOT work for them")</f>
        <v>Will NOT work for them</v>
      </c>
      <c r="J1535" s="1">
        <f ca="1">IFERROR(__xludf.DUMMYFUNCTION("""COMPUTED_VALUE"""),9)</f>
        <v>9</v>
      </c>
      <c r="K1535" s="1" t="str">
        <f ca="1">IFERROR(__xludf.DUMMYFUNCTION("""COMPUTED_VALUE"""),"Hybrid Working Environment with more than 15 days a month at office")</f>
        <v>Hybrid Working Environment with more than 15 days a month at office</v>
      </c>
      <c r="L1535" s="1" t="str">
        <f ca="1">IFERROR(__xludf.DUMMYFUNCTION("""COMPUTED_VALUE"""),"Employer who pushes your limits by enabling an learning environment, and rewards you at the end")</f>
        <v>Employer who pushes your limits by enabling an learning environment, and rewards you at the end</v>
      </c>
      <c r="M153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35"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535" s="1" t="str">
        <f ca="1">IFERROR(__xludf.DUMMYFUNCTION("""COMPUTED_VALUE"""),"Manager who explains what is expected, sets a goal and helps achieve it")</f>
        <v>Manager who explains what is expected, sets a goal and helps achieve it</v>
      </c>
      <c r="P1535" s="1" t="str">
        <f ca="1">IFERROR(__xludf.DUMMYFUNCTION("""COMPUTED_VALUE"""),"Work with 5 to 6 people in my team")</f>
        <v>Work with 5 to 6 people in my team</v>
      </c>
      <c r="Q1535" s="1"/>
    </row>
    <row r="1536" spans="1:17" ht="13.2" x14ac:dyDescent="0.25">
      <c r="A1536" s="2">
        <f ca="1">IFERROR(__xludf.DUMMYFUNCTION("""COMPUTED_VALUE"""),45045.7492109953)</f>
        <v>45045.749210995302</v>
      </c>
      <c r="B1536" s="1" t="str">
        <f ca="1">IFERROR(__xludf.DUMMYFUNCTION("""COMPUTED_VALUE"""),"India")</f>
        <v>India</v>
      </c>
      <c r="C1536" s="1">
        <f ca="1">IFERROR(__xludf.DUMMYFUNCTION("""COMPUTED_VALUE"""),110006)</f>
        <v>110006</v>
      </c>
      <c r="D1536" s="3" t="str">
        <f ca="1">IFERROR(__xludf.DUMMYFUNCTION("""COMPUTED_VALUE"""),"Male")</f>
        <v>Male</v>
      </c>
      <c r="E1536" s="1" t="str">
        <f ca="1">IFERROR(__xludf.DUMMYFUNCTION("""COMPUTED_VALUE"""),"Social Media like LinkedIn")</f>
        <v>Social Media like LinkedIn</v>
      </c>
      <c r="F1536" s="1" t="str">
        <f ca="1">IFERROR(__xludf.DUMMYFUNCTION("""COMPUTED_VALUE"""),"No I would not be pursuing Higher Education outside of India")</f>
        <v>No I would not be pursuing Higher Education outside of India</v>
      </c>
      <c r="G1536" s="1" t="str">
        <f ca="1">IFERROR(__xludf.DUMMYFUNCTION("""COMPUTED_VALUE"""),"This will be hard to do, but if it is the right company I would try")</f>
        <v>This will be hard to do, but if it is the right company I would try</v>
      </c>
      <c r="H1536" s="1" t="str">
        <f ca="1">IFERROR(__xludf.DUMMYFUNCTION("""COMPUTED_VALUE"""),"No")</f>
        <v>No</v>
      </c>
      <c r="I1536" s="1" t="str">
        <f ca="1">IFERROR(__xludf.DUMMYFUNCTION("""COMPUTED_VALUE"""),"Will NOT work for them")</f>
        <v>Will NOT work for them</v>
      </c>
      <c r="J1536" s="1">
        <f ca="1">IFERROR(__xludf.DUMMYFUNCTION("""COMPUTED_VALUE"""),8)</f>
        <v>8</v>
      </c>
      <c r="K1536" s="1" t="str">
        <f ca="1">IFERROR(__xludf.DUMMYFUNCTION("""COMPUTED_VALUE"""),"Hybrid Working Environment with more than 15 days a month at office")</f>
        <v>Hybrid Working Environment with more than 15 days a month at office</v>
      </c>
      <c r="L1536" s="1" t="str">
        <f ca="1">IFERROR(__xludf.DUMMYFUNCTION("""COMPUTED_VALUE"""),"Employer who pushes your limits by enabling an learning environment, and rewards you at the end")</f>
        <v>Employer who pushes your limits by enabling an learning environment, and rewards you at the end</v>
      </c>
      <c r="M153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36" s="1" t="str">
        <f ca="1">IFERROR(__xludf.DUMMYFUNCTION("""COMPUTED_VALUE"""),"Manager who clearly describes what she/he needs")</f>
        <v>Manager who clearly describes what she/he needs</v>
      </c>
      <c r="P1536" s="1" t="str">
        <f ca="1">IFERROR(__xludf.DUMMYFUNCTION("""COMPUTED_VALUE"""),"Work with more than 10 people in my team")</f>
        <v>Work with more than 10 people in my team</v>
      </c>
      <c r="Q1536" s="1"/>
    </row>
    <row r="1537" spans="1:17" ht="13.2" x14ac:dyDescent="0.25">
      <c r="A1537" s="2">
        <f ca="1">IFERROR(__xludf.DUMMYFUNCTION("""COMPUTED_VALUE"""),45045.7494537615)</f>
        <v>45045.749453761498</v>
      </c>
      <c r="B1537" s="1" t="str">
        <f ca="1">IFERROR(__xludf.DUMMYFUNCTION("""COMPUTED_VALUE"""),"India")</f>
        <v>India</v>
      </c>
      <c r="C1537" s="1">
        <f ca="1">IFERROR(__xludf.DUMMYFUNCTION("""COMPUTED_VALUE"""),452009)</f>
        <v>452009</v>
      </c>
      <c r="D1537" s="3" t="str">
        <f ca="1">IFERROR(__xludf.DUMMYFUNCTION("""COMPUTED_VALUE"""),"Female")</f>
        <v>Female</v>
      </c>
      <c r="E1537" s="1" t="str">
        <f ca="1">IFERROR(__xludf.DUMMYFUNCTION("""COMPUTED_VALUE"""),"Influencers who had successful careers")</f>
        <v>Influencers who had successful careers</v>
      </c>
      <c r="F1537" s="1" t="str">
        <f ca="1">IFERROR(__xludf.DUMMYFUNCTION("""COMPUTED_VALUE"""),"Yes, I will earn and do that")</f>
        <v>Yes, I will earn and do that</v>
      </c>
      <c r="G1537" s="1" t="str">
        <f ca="1">IFERROR(__xludf.DUMMYFUNCTION("""COMPUTED_VALUE"""),"This will be hard to do, but if it is the right company I would try")</f>
        <v>This will be hard to do, but if it is the right company I would try</v>
      </c>
      <c r="H1537" s="1" t="str">
        <f ca="1">IFERROR(__xludf.DUMMYFUNCTION("""COMPUTED_VALUE"""),"No")</f>
        <v>No</v>
      </c>
      <c r="I1537" s="1" t="str">
        <f ca="1">IFERROR(__xludf.DUMMYFUNCTION("""COMPUTED_VALUE"""),"Will NOT work for them")</f>
        <v>Will NOT work for them</v>
      </c>
      <c r="J1537" s="1">
        <f ca="1">IFERROR(__xludf.DUMMYFUNCTION("""COMPUTED_VALUE"""),5)</f>
        <v>5</v>
      </c>
      <c r="K1537" s="1" t="str">
        <f ca="1">IFERROR(__xludf.DUMMYFUNCTION("""COMPUTED_VALUE"""),"Fully Remote with Options to travel as and when needed")</f>
        <v>Fully Remote with Options to travel as and when needed</v>
      </c>
      <c r="L1537" s="1" t="str">
        <f ca="1">IFERROR(__xludf.DUMMYFUNCTION("""COMPUTED_VALUE"""),"Employer who appreciates learning and enables that environment")</f>
        <v>Employer who appreciates learning and enables that environment</v>
      </c>
      <c r="M15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37" s="1" t="str">
        <f ca="1">IFERROR(__xludf.DUMMYFUNCTION("""COMPUTED_VALUE"""),"Manager who explains what is expected, sets a goal and helps achieve it")</f>
        <v>Manager who explains what is expected, sets a goal and helps achieve it</v>
      </c>
      <c r="P1537" s="1" t="str">
        <f ca="1">IFERROR(__xludf.DUMMYFUNCTION("""COMPUTED_VALUE"""),"Work with 2 to 3 people in my team")</f>
        <v>Work with 2 to 3 people in my team</v>
      </c>
      <c r="Q1537" s="1"/>
    </row>
    <row r="1538" spans="1:17" ht="13.2" x14ac:dyDescent="0.25">
      <c r="A1538" s="2">
        <f ca="1">IFERROR(__xludf.DUMMYFUNCTION("""COMPUTED_VALUE"""),45045.7495361805)</f>
        <v>45045.749536180498</v>
      </c>
      <c r="B1538" s="1" t="str">
        <f ca="1">IFERROR(__xludf.DUMMYFUNCTION("""COMPUTED_VALUE"""),"India")</f>
        <v>India</v>
      </c>
      <c r="C1538" s="1">
        <f ca="1">IFERROR(__xludf.DUMMYFUNCTION("""COMPUTED_VALUE"""),456010)</f>
        <v>456010</v>
      </c>
      <c r="D1538" s="3" t="str">
        <f ca="1">IFERROR(__xludf.DUMMYFUNCTION("""COMPUTED_VALUE"""),"Female")</f>
        <v>Female</v>
      </c>
      <c r="E1538" s="1" t="str">
        <f ca="1">IFERROR(__xludf.DUMMYFUNCTION("""COMPUTED_VALUE"""),"People who have changed the world for better")</f>
        <v>People who have changed the world for better</v>
      </c>
      <c r="F1538" s="1" t="str">
        <f ca="1">IFERROR(__xludf.DUMMYFUNCTION("""COMPUTED_VALUE"""),"No, But if someone could bare the cost I will")</f>
        <v>No, But if someone could bare the cost I will</v>
      </c>
      <c r="G1538" s="1" t="str">
        <f ca="1">IFERROR(__xludf.DUMMYFUNCTION("""COMPUTED_VALUE"""),"Will work for 3 years or more")</f>
        <v>Will work for 3 years or more</v>
      </c>
      <c r="H1538" s="1" t="str">
        <f ca="1">IFERROR(__xludf.DUMMYFUNCTION("""COMPUTED_VALUE"""),"Yes")</f>
        <v>Yes</v>
      </c>
      <c r="I1538" s="1" t="str">
        <f ca="1">IFERROR(__xludf.DUMMYFUNCTION("""COMPUTED_VALUE"""),"Will NOT work for them")</f>
        <v>Will NOT work for them</v>
      </c>
      <c r="J1538" s="1">
        <f ca="1">IFERROR(__xludf.DUMMYFUNCTION("""COMPUTED_VALUE"""),7)</f>
        <v>7</v>
      </c>
      <c r="K1538" s="1" t="str">
        <f ca="1">IFERROR(__xludf.DUMMYFUNCTION("""COMPUTED_VALUE"""),"Fully Remote with Options to travel as and when needed")</f>
        <v>Fully Remote with Options to travel as and when needed</v>
      </c>
      <c r="L1538" s="1" t="str">
        <f ca="1">IFERROR(__xludf.DUMMYFUNCTION("""COMPUTED_VALUE"""),"Employer who pushes your limits by enabling an learning environment, and rewards you at the end")</f>
        <v>Employer who pushes your limits by enabling an learning environment, and rewards you at the end</v>
      </c>
      <c r="M1538" s="1" t="str">
        <f ca="1">IFERROR(__xludf.DUMMYFUNCTION("""COMPUTED_VALUE"""),"Self Paced Learning Portals of the Company, Instructor or Expert Learning Programs, Manager Teaching you")</f>
        <v>Self Paced Learning Portals of the Company, Instructor or Expert Learning Programs, Manager Teaching you</v>
      </c>
      <c r="N1538"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538" s="1" t="str">
        <f ca="1">IFERROR(__xludf.DUMMYFUNCTION("""COMPUTED_VALUE"""),"Manager who sets goal and helps me achieve it")</f>
        <v>Manager who sets goal and helps me achieve it</v>
      </c>
      <c r="P1538" s="1" t="str">
        <f ca="1">IFERROR(__xludf.DUMMYFUNCTION("""COMPUTED_VALUE"""),"Work with 2 to 3 people in my team")</f>
        <v>Work with 2 to 3 people in my team</v>
      </c>
      <c r="Q1538" s="1"/>
    </row>
    <row r="1539" spans="1:17" ht="13.2" x14ac:dyDescent="0.25">
      <c r="A1539" s="2">
        <f ca="1">IFERROR(__xludf.DUMMYFUNCTION("""COMPUTED_VALUE"""),45045.7515923263)</f>
        <v>45045.751592326298</v>
      </c>
      <c r="B1539" s="1" t="str">
        <f ca="1">IFERROR(__xludf.DUMMYFUNCTION("""COMPUTED_VALUE"""),"India")</f>
        <v>India</v>
      </c>
      <c r="C1539" s="1">
        <f ca="1">IFERROR(__xludf.DUMMYFUNCTION("""COMPUTED_VALUE"""),400067)</f>
        <v>400067</v>
      </c>
      <c r="D1539" s="3" t="str">
        <f ca="1">IFERROR(__xludf.DUMMYFUNCTION("""COMPUTED_VALUE"""),"Female")</f>
        <v>Female</v>
      </c>
      <c r="E1539" s="1" t="str">
        <f ca="1">IFERROR(__xludf.DUMMYFUNCTION("""COMPUTED_VALUE"""),"People from my circle, but not family members")</f>
        <v>People from my circle, but not family members</v>
      </c>
      <c r="F1539" s="1" t="str">
        <f ca="1">IFERROR(__xludf.DUMMYFUNCTION("""COMPUTED_VALUE"""),"Yes, I will earn and do that")</f>
        <v>Yes, I will earn and do that</v>
      </c>
      <c r="G1539" s="1" t="str">
        <f ca="1">IFERROR(__xludf.DUMMYFUNCTION("""COMPUTED_VALUE"""),"This will be hard to do, but if it is the right company I would try")</f>
        <v>This will be hard to do, but if it is the right company I would try</v>
      </c>
      <c r="H1539" s="1" t="str">
        <f ca="1">IFERROR(__xludf.DUMMYFUNCTION("""COMPUTED_VALUE"""),"No")</f>
        <v>No</v>
      </c>
      <c r="I1539" s="1" t="str">
        <f ca="1">IFERROR(__xludf.DUMMYFUNCTION("""COMPUTED_VALUE"""),"Will NOT work for them")</f>
        <v>Will NOT work for them</v>
      </c>
      <c r="J1539" s="1">
        <f ca="1">IFERROR(__xludf.DUMMYFUNCTION("""COMPUTED_VALUE"""),5)</f>
        <v>5</v>
      </c>
      <c r="K1539" s="1" t="str">
        <f ca="1">IFERROR(__xludf.DUMMYFUNCTION("""COMPUTED_VALUE"""),"Fully Remote with Options to travel as and when needed")</f>
        <v>Fully Remote with Options to travel as and when needed</v>
      </c>
      <c r="L1539" s="1" t="str">
        <f ca="1">IFERROR(__xludf.DUMMYFUNCTION("""COMPUTED_VALUE"""),"Employer who pushes your limits by enabling an learning environment, and rewards you at the end")</f>
        <v>Employer who pushes your limits by enabling an learning environment, and rewards you at the end</v>
      </c>
      <c r="M1539" s="1" t="str">
        <f ca="1">IFERROR(__xludf.DUMMYFUNCTION("""COMPUTED_VALUE"""),"Instructor or Expert Learning Programs, Learning by observing others, Manager Teaching you")</f>
        <v>Instructor or Expert Learning Programs, Learning by observing others, Manager Teaching you</v>
      </c>
      <c r="N1539"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1539" s="1" t="str">
        <f ca="1">IFERROR(__xludf.DUMMYFUNCTION("""COMPUTED_VALUE"""),"Manager who explains what is expected, sets a goal and helps achieve it")</f>
        <v>Manager who explains what is expected, sets a goal and helps achieve it</v>
      </c>
      <c r="P1539" s="1" t="str">
        <f ca="1">IFERROR(__xludf.DUMMYFUNCTION("""COMPUTED_VALUE"""),"Work with 7 to 10 or more people in my team")</f>
        <v>Work with 7 to 10 or more people in my team</v>
      </c>
      <c r="Q1539" s="1"/>
    </row>
    <row r="1540" spans="1:17" ht="13.2" x14ac:dyDescent="0.25">
      <c r="A1540" s="2">
        <f ca="1">IFERROR(__xludf.DUMMYFUNCTION("""COMPUTED_VALUE"""),45045.755997037)</f>
        <v>45045.755997036998</v>
      </c>
      <c r="B1540" s="1" t="str">
        <f ca="1">IFERROR(__xludf.DUMMYFUNCTION("""COMPUTED_VALUE"""),"India")</f>
        <v>India</v>
      </c>
      <c r="C1540" s="1">
        <f ca="1">IFERROR(__xludf.DUMMYFUNCTION("""COMPUTED_VALUE"""),713212)</f>
        <v>713212</v>
      </c>
      <c r="D1540" s="3" t="str">
        <f ca="1">IFERROR(__xludf.DUMMYFUNCTION("""COMPUTED_VALUE"""),"Female")</f>
        <v>Female</v>
      </c>
      <c r="E1540" s="1" t="str">
        <f ca="1">IFERROR(__xludf.DUMMYFUNCTION("""COMPUTED_VALUE"""),"People from my circle, but not family members")</f>
        <v>People from my circle, but not family members</v>
      </c>
      <c r="F1540" s="1" t="str">
        <f ca="1">IFERROR(__xludf.DUMMYFUNCTION("""COMPUTED_VALUE"""),"Yes, I will earn and do that")</f>
        <v>Yes, I will earn and do that</v>
      </c>
      <c r="G1540" s="1" t="str">
        <f ca="1">IFERROR(__xludf.DUMMYFUNCTION("""COMPUTED_VALUE"""),"Will work for 3 years or more")</f>
        <v>Will work for 3 years or more</v>
      </c>
      <c r="H1540" s="1" t="str">
        <f ca="1">IFERROR(__xludf.DUMMYFUNCTION("""COMPUTED_VALUE"""),"No")</f>
        <v>No</v>
      </c>
      <c r="I1540" s="1" t="str">
        <f ca="1">IFERROR(__xludf.DUMMYFUNCTION("""COMPUTED_VALUE"""),"Will NOT work for them")</f>
        <v>Will NOT work for them</v>
      </c>
      <c r="J1540" s="1">
        <f ca="1">IFERROR(__xludf.DUMMYFUNCTION("""COMPUTED_VALUE"""),1)</f>
        <v>1</v>
      </c>
      <c r="K1540" s="1" t="str">
        <f ca="1">IFERROR(__xludf.DUMMYFUNCTION("""COMPUTED_VALUE"""),"Every Day Office Environment")</f>
        <v>Every Day Office Environment</v>
      </c>
      <c r="L1540" s="1" t="str">
        <f ca="1">IFERROR(__xludf.DUMMYFUNCTION("""COMPUTED_VALUE"""),"Employer who rewards learning and enables that environment")</f>
        <v>Employer who rewards learning and enables that environment</v>
      </c>
      <c r="M154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0" s="1" t="str">
        <f ca="1">IFERROR(__xludf.DUMMYFUNCTION("""COMPUTED_VALUE"""),"Teaching in any of the institutes/colleges/online or offline, Look deeply into Data and generate insights, Work as a freelancer and do my thing my way, Manufacturing / Oil and Gas/ Construction / Hard Physical Work related")</f>
        <v>Teaching in any of the institutes/colleges/online or offline, Look deeply into Data and generate insights, Work as a freelancer and do my thing my way, Manufacturing / Oil and Gas/ Construction / Hard Physical Work related</v>
      </c>
      <c r="O1540" s="1" t="str">
        <f ca="1">IFERROR(__xludf.DUMMYFUNCTION("""COMPUTED_VALUE"""),"Manager who explains what is expected, sets a goal and helps achieve it")</f>
        <v>Manager who explains what is expected, sets a goal and helps achieve it</v>
      </c>
      <c r="P1540" s="1" t="str">
        <f ca="1">IFERROR(__xludf.DUMMYFUNCTION("""COMPUTED_VALUE"""),"Work with 2 to 3 people in my team")</f>
        <v>Work with 2 to 3 people in my team</v>
      </c>
      <c r="Q1540" s="1"/>
    </row>
    <row r="1541" spans="1:17" ht="13.2" x14ac:dyDescent="0.25">
      <c r="A1541" s="2">
        <f ca="1">IFERROR(__xludf.DUMMYFUNCTION("""COMPUTED_VALUE"""),45045.7592626851)</f>
        <v>45045.759262685096</v>
      </c>
      <c r="B1541" s="1" t="str">
        <f ca="1">IFERROR(__xludf.DUMMYFUNCTION("""COMPUTED_VALUE"""),"Others")</f>
        <v>Others</v>
      </c>
      <c r="C1541" s="1">
        <f ca="1">IFERROR(__xludf.DUMMYFUNCTION("""COMPUTED_VALUE"""),641183)</f>
        <v>641183</v>
      </c>
      <c r="D1541" s="3" t="str">
        <f ca="1">IFERROR(__xludf.DUMMYFUNCTION("""COMPUTED_VALUE"""),"Male")</f>
        <v>Male</v>
      </c>
      <c r="E1541" s="1" t="str">
        <f ca="1">IFERROR(__xludf.DUMMYFUNCTION("""COMPUTED_VALUE"""),"Social Media like LinkedIn")</f>
        <v>Social Media like LinkedIn</v>
      </c>
      <c r="F1541" s="1" t="str">
        <f ca="1">IFERROR(__xludf.DUMMYFUNCTION("""COMPUTED_VALUE"""),"Yes, I will earn and do that")</f>
        <v>Yes, I will earn and do that</v>
      </c>
      <c r="G1541" s="1" t="str">
        <f ca="1">IFERROR(__xludf.DUMMYFUNCTION("""COMPUTED_VALUE"""),"This will be hard to do, but if it is the right company I would try")</f>
        <v>This will be hard to do, but if it is the right company I would try</v>
      </c>
      <c r="H1541" s="1" t="str">
        <f ca="1">IFERROR(__xludf.DUMMYFUNCTION("""COMPUTED_VALUE"""),"No")</f>
        <v>No</v>
      </c>
      <c r="I1541" s="1" t="str">
        <f ca="1">IFERROR(__xludf.DUMMYFUNCTION("""COMPUTED_VALUE"""),"Will work for them")</f>
        <v>Will work for them</v>
      </c>
      <c r="J1541" s="1">
        <f ca="1">IFERROR(__xludf.DUMMYFUNCTION("""COMPUTED_VALUE"""),7)</f>
        <v>7</v>
      </c>
      <c r="K1541" s="1" t="str">
        <f ca="1">IFERROR(__xludf.DUMMYFUNCTION("""COMPUTED_VALUE"""),"Hybrid Working Environment with more than 15 days a month at office")</f>
        <v>Hybrid Working Environment with more than 15 days a month at office</v>
      </c>
      <c r="L1541" s="1" t="str">
        <f ca="1">IFERROR(__xludf.DUMMYFUNCTION("""COMPUTED_VALUE"""),"Employer who pushes your limits by enabling an learning environment, and rewards you at the end")</f>
        <v>Employer who pushes your limits by enabling an learning environment, and rewards you at the end</v>
      </c>
      <c r="M154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41"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541" s="1" t="str">
        <f ca="1">IFERROR(__xludf.DUMMYFUNCTION("""COMPUTED_VALUE"""),"Manager who explains what is expected, sets a goal and helps achieve it")</f>
        <v>Manager who explains what is expected, sets a goal and helps achieve it</v>
      </c>
      <c r="P1541" s="1" t="str">
        <f ca="1">IFERROR(__xludf.DUMMYFUNCTION("""COMPUTED_VALUE"""),"Work with 2 to 3 people in my team, Work with 5 to 6 people in my team")</f>
        <v>Work with 2 to 3 people in my team, Work with 5 to 6 people in my team</v>
      </c>
      <c r="Q1541" s="1"/>
    </row>
    <row r="1542" spans="1:17" ht="13.2" x14ac:dyDescent="0.25">
      <c r="A1542" s="2">
        <f ca="1">IFERROR(__xludf.DUMMYFUNCTION("""COMPUTED_VALUE"""),45045.7672358564)</f>
        <v>45045.767235856401</v>
      </c>
      <c r="B1542" s="1" t="str">
        <f ca="1">IFERROR(__xludf.DUMMYFUNCTION("""COMPUTED_VALUE"""),"India")</f>
        <v>India</v>
      </c>
      <c r="C1542" s="1">
        <f ca="1">IFERROR(__xludf.DUMMYFUNCTION("""COMPUTED_VALUE"""),560001)</f>
        <v>560001</v>
      </c>
      <c r="D1542" s="3" t="str">
        <f ca="1">IFERROR(__xludf.DUMMYFUNCTION("""COMPUTED_VALUE"""),"Male")</f>
        <v>Male</v>
      </c>
      <c r="E1542" s="1" t="str">
        <f ca="1">IFERROR(__xludf.DUMMYFUNCTION("""COMPUTED_VALUE"""),"People from my circle, but not family members")</f>
        <v>People from my circle, but not family members</v>
      </c>
      <c r="F1542" s="1" t="str">
        <f ca="1">IFERROR(__xludf.DUMMYFUNCTION("""COMPUTED_VALUE"""),"Yes, I will earn and do that")</f>
        <v>Yes, I will earn and do that</v>
      </c>
      <c r="G1542" s="1" t="str">
        <f ca="1">IFERROR(__xludf.DUMMYFUNCTION("""COMPUTED_VALUE"""),"Will work for 3 years or more")</f>
        <v>Will work for 3 years or more</v>
      </c>
      <c r="H1542" s="1" t="str">
        <f ca="1">IFERROR(__xludf.DUMMYFUNCTION("""COMPUTED_VALUE"""),"No")</f>
        <v>No</v>
      </c>
      <c r="I1542" s="1" t="str">
        <f ca="1">IFERROR(__xludf.DUMMYFUNCTION("""COMPUTED_VALUE"""),"Will NOT work for them")</f>
        <v>Will NOT work for them</v>
      </c>
      <c r="J1542" s="1">
        <f ca="1">IFERROR(__xludf.DUMMYFUNCTION("""COMPUTED_VALUE"""),3)</f>
        <v>3</v>
      </c>
      <c r="K1542" s="1" t="str">
        <f ca="1">IFERROR(__xludf.DUMMYFUNCTION("""COMPUTED_VALUE"""),"Hybrid Working Environment with less than 3 days a month at office")</f>
        <v>Hybrid Working Environment with less than 3 days a month at office</v>
      </c>
      <c r="L1542" s="1" t="str">
        <f ca="1">IFERROR(__xludf.DUMMYFUNCTION("""COMPUTED_VALUE"""),"Employer who appreciates learning and enables that environment")</f>
        <v>Employer who appreciates learning and enables that environment</v>
      </c>
      <c r="M154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42"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1542" s="1" t="str">
        <f ca="1">IFERROR(__xludf.DUMMYFUNCTION("""COMPUTED_VALUE"""),"Manager who sets targets and expects me to achieve it")</f>
        <v>Manager who sets targets and expects me to achieve it</v>
      </c>
      <c r="P1542" s="1" t="str">
        <f ca="1">IFERROR(__xludf.DUMMYFUNCTION("""COMPUTED_VALUE"""),"Work alone, Work with 5 to 6 people in my team")</f>
        <v>Work alone, Work with 5 to 6 people in my team</v>
      </c>
      <c r="Q1542" s="1"/>
    </row>
    <row r="1543" spans="1:17" ht="13.2" x14ac:dyDescent="0.25">
      <c r="A1543" s="2">
        <f ca="1">IFERROR(__xludf.DUMMYFUNCTION("""COMPUTED_VALUE"""),45045.768317662)</f>
        <v>45045.768317661998</v>
      </c>
      <c r="B1543" s="1" t="str">
        <f ca="1">IFERROR(__xludf.DUMMYFUNCTION("""COMPUTED_VALUE"""),"India")</f>
        <v>India</v>
      </c>
      <c r="C1543" s="1">
        <f ca="1">IFERROR(__xludf.DUMMYFUNCTION("""COMPUTED_VALUE"""),533201)</f>
        <v>533201</v>
      </c>
      <c r="D1543" s="3" t="str">
        <f ca="1">IFERROR(__xludf.DUMMYFUNCTION("""COMPUTED_VALUE"""),"Female")</f>
        <v>Female</v>
      </c>
      <c r="E1543" s="1" t="str">
        <f ca="1">IFERROR(__xludf.DUMMYFUNCTION("""COMPUTED_VALUE"""),"People from my circle, but not family members")</f>
        <v>People from my circle, but not family members</v>
      </c>
      <c r="F1543" s="1" t="str">
        <f ca="1">IFERROR(__xludf.DUMMYFUNCTION("""COMPUTED_VALUE"""),"No I would not be pursuing Higher Education outside of India")</f>
        <v>No I would not be pursuing Higher Education outside of India</v>
      </c>
      <c r="G1543" s="1" t="str">
        <f ca="1">IFERROR(__xludf.DUMMYFUNCTION("""COMPUTED_VALUE"""),"This will be hard to do, but if it is the right company I would try")</f>
        <v>This will be hard to do, but if it is the right company I would try</v>
      </c>
      <c r="H1543" s="1" t="str">
        <f ca="1">IFERROR(__xludf.DUMMYFUNCTION("""COMPUTED_VALUE"""),"No")</f>
        <v>No</v>
      </c>
      <c r="I1543" s="1" t="str">
        <f ca="1">IFERROR(__xludf.DUMMYFUNCTION("""COMPUTED_VALUE"""),"Will NOT work for them")</f>
        <v>Will NOT work for them</v>
      </c>
      <c r="J1543" s="1">
        <f ca="1">IFERROR(__xludf.DUMMYFUNCTION("""COMPUTED_VALUE"""),10)</f>
        <v>10</v>
      </c>
      <c r="K1543" s="1" t="str">
        <f ca="1">IFERROR(__xludf.DUMMYFUNCTION("""COMPUTED_VALUE"""),"Fully Remote with No option to visit offices")</f>
        <v>Fully Remote with No option to visit offices</v>
      </c>
      <c r="L1543" s="1" t="str">
        <f ca="1">IFERROR(__xludf.DUMMYFUNCTION("""COMPUTED_VALUE"""),"Employer who appreciates learning and enables that environment")</f>
        <v>Employer who appreciates learning and enables that environment</v>
      </c>
      <c r="M15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43"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543" s="1" t="str">
        <f ca="1">IFERROR(__xludf.DUMMYFUNCTION("""COMPUTED_VALUE"""),"Manager who explains what is expected, sets a goal and helps achieve it")</f>
        <v>Manager who explains what is expected, sets a goal and helps achieve it</v>
      </c>
      <c r="P1543" s="1" t="str">
        <f ca="1">IFERROR(__xludf.DUMMYFUNCTION("""COMPUTED_VALUE"""),"Work with more than 10 people in my team")</f>
        <v>Work with more than 10 people in my team</v>
      </c>
      <c r="Q1543" s="1"/>
    </row>
    <row r="1544" spans="1:17" ht="13.2" x14ac:dyDescent="0.25">
      <c r="A1544" s="2">
        <f ca="1">IFERROR(__xludf.DUMMYFUNCTION("""COMPUTED_VALUE"""),45045.7724445601)</f>
        <v>45045.772444560098</v>
      </c>
      <c r="B1544" s="1" t="str">
        <f ca="1">IFERROR(__xludf.DUMMYFUNCTION("""COMPUTED_VALUE"""),"India")</f>
        <v>India</v>
      </c>
      <c r="C1544" s="1">
        <f ca="1">IFERROR(__xludf.DUMMYFUNCTION("""COMPUTED_VALUE"""),456010)</f>
        <v>456010</v>
      </c>
      <c r="D1544" s="3" t="str">
        <f ca="1">IFERROR(__xludf.DUMMYFUNCTION("""COMPUTED_VALUE"""),"Male")</f>
        <v>Male</v>
      </c>
      <c r="E1544" s="1" t="str">
        <f ca="1">IFERROR(__xludf.DUMMYFUNCTION("""COMPUTED_VALUE"""),"My Parents")</f>
        <v>My Parents</v>
      </c>
      <c r="F1544" s="1" t="str">
        <f ca="1">IFERROR(__xludf.DUMMYFUNCTION("""COMPUTED_VALUE"""),"No, But if someone could bare the cost I will")</f>
        <v>No, But if someone could bare the cost I will</v>
      </c>
      <c r="G1544" s="1" t="str">
        <f ca="1">IFERROR(__xludf.DUMMYFUNCTION("""COMPUTED_VALUE"""),"Will work for 3 years or more")</f>
        <v>Will work for 3 years or more</v>
      </c>
      <c r="H1544" s="1" t="str">
        <f ca="1">IFERROR(__xludf.DUMMYFUNCTION("""COMPUTED_VALUE"""),"No")</f>
        <v>No</v>
      </c>
      <c r="I1544" s="1" t="str">
        <f ca="1">IFERROR(__xludf.DUMMYFUNCTION("""COMPUTED_VALUE"""),"Will NOT work for them")</f>
        <v>Will NOT work for them</v>
      </c>
      <c r="J1544" s="1">
        <f ca="1">IFERROR(__xludf.DUMMYFUNCTION("""COMPUTED_VALUE"""),4)</f>
        <v>4</v>
      </c>
      <c r="K1544" s="1" t="str">
        <f ca="1">IFERROR(__xludf.DUMMYFUNCTION("""COMPUTED_VALUE"""),"Every Day Office Environment")</f>
        <v>Every Day Office Environment</v>
      </c>
      <c r="L1544" s="1" t="str">
        <f ca="1">IFERROR(__xludf.DUMMYFUNCTION("""COMPUTED_VALUE"""),"Employer who appreciates learning and enables that environment")</f>
        <v>Employer who appreciates learning and enables that environment</v>
      </c>
      <c r="M15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4"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1544" s="1" t="str">
        <f ca="1">IFERROR(__xludf.DUMMYFUNCTION("""COMPUTED_VALUE"""),"Manager who sets goal and helps me achieve it")</f>
        <v>Manager who sets goal and helps me achieve it</v>
      </c>
      <c r="P1544" s="1" t="str">
        <f ca="1">IFERROR(__xludf.DUMMYFUNCTION("""COMPUTED_VALUE"""),"Work with more than 10 people in my team")</f>
        <v>Work with more than 10 people in my team</v>
      </c>
      <c r="Q1544" s="1"/>
    </row>
    <row r="1545" spans="1:17" ht="13.2" x14ac:dyDescent="0.25">
      <c r="A1545" s="2">
        <f ca="1">IFERROR(__xludf.DUMMYFUNCTION("""COMPUTED_VALUE"""),45045.7821344675)</f>
        <v>45045.782134467503</v>
      </c>
      <c r="B1545" s="1" t="str">
        <f ca="1">IFERROR(__xludf.DUMMYFUNCTION("""COMPUTED_VALUE"""),"India")</f>
        <v>India</v>
      </c>
      <c r="C1545" s="1">
        <f ca="1">IFERROR(__xludf.DUMMYFUNCTION("""COMPUTED_VALUE"""),122008)</f>
        <v>122008</v>
      </c>
      <c r="D1545" s="3" t="str">
        <f ca="1">IFERROR(__xludf.DUMMYFUNCTION("""COMPUTED_VALUE"""),"Male")</f>
        <v>Male</v>
      </c>
      <c r="E1545" s="1" t="str">
        <f ca="1">IFERROR(__xludf.DUMMYFUNCTION("""COMPUTED_VALUE"""),"My Parents")</f>
        <v>My Parents</v>
      </c>
      <c r="F1545" s="1" t="str">
        <f ca="1">IFERROR(__xludf.DUMMYFUNCTION("""COMPUTED_VALUE"""),"No, But if someone could bare the cost I will")</f>
        <v>No, But if someone could bare the cost I will</v>
      </c>
      <c r="G1545" s="1" t="str">
        <f ca="1">IFERROR(__xludf.DUMMYFUNCTION("""COMPUTED_VALUE"""),"Will work for 3 years or more")</f>
        <v>Will work for 3 years or more</v>
      </c>
      <c r="H1545" s="1" t="str">
        <f ca="1">IFERROR(__xludf.DUMMYFUNCTION("""COMPUTED_VALUE"""),"No")</f>
        <v>No</v>
      </c>
      <c r="I1545" s="1" t="str">
        <f ca="1">IFERROR(__xludf.DUMMYFUNCTION("""COMPUTED_VALUE"""),"Will NOT work for them")</f>
        <v>Will NOT work for them</v>
      </c>
      <c r="J1545" s="1">
        <f ca="1">IFERROR(__xludf.DUMMYFUNCTION("""COMPUTED_VALUE"""),8)</f>
        <v>8</v>
      </c>
      <c r="K1545" s="1" t="str">
        <f ca="1">IFERROR(__xludf.DUMMYFUNCTION("""COMPUTED_VALUE"""),"Hybrid Working Environment with more than 15 days a month at office")</f>
        <v>Hybrid Working Environment with more than 15 days a month at office</v>
      </c>
      <c r="L1545" s="1" t="str">
        <f ca="1">IFERROR(__xludf.DUMMYFUNCTION("""COMPUTED_VALUE"""),"Employer who pushes your limits by enabling an learning environment, and rewards you at the end")</f>
        <v>Employer who pushes your limits by enabling an learning environment, and rewards you at the end</v>
      </c>
      <c r="M15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45"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545" s="1" t="str">
        <f ca="1">IFERROR(__xludf.DUMMYFUNCTION("""COMPUTED_VALUE"""),"Manager who explains what is expected, sets a goal and helps achieve it")</f>
        <v>Manager who explains what is expected, sets a goal and helps achieve it</v>
      </c>
      <c r="P1545" s="1" t="str">
        <f ca="1">IFERROR(__xludf.DUMMYFUNCTION("""COMPUTED_VALUE"""),"Work with more than 10 people in my team")</f>
        <v>Work with more than 10 people in my team</v>
      </c>
      <c r="Q1545" s="1"/>
    </row>
    <row r="1546" spans="1:17" ht="13.2" x14ac:dyDescent="0.25">
      <c r="A1546" s="2">
        <f ca="1">IFERROR(__xludf.DUMMYFUNCTION("""COMPUTED_VALUE"""),45045.7939083912)</f>
        <v>45045.793908391199</v>
      </c>
      <c r="B1546" s="1" t="str">
        <f ca="1">IFERROR(__xludf.DUMMYFUNCTION("""COMPUTED_VALUE"""),"India")</f>
        <v>India</v>
      </c>
      <c r="C1546" s="1">
        <f ca="1">IFERROR(__xludf.DUMMYFUNCTION("""COMPUTED_VALUE"""),160062)</f>
        <v>160062</v>
      </c>
      <c r="D1546" s="3" t="str">
        <f ca="1">IFERROR(__xludf.DUMMYFUNCTION("""COMPUTED_VALUE"""),"Female")</f>
        <v>Female</v>
      </c>
      <c r="E1546" s="1" t="str">
        <f ca="1">IFERROR(__xludf.DUMMYFUNCTION("""COMPUTED_VALUE"""),"Influencers who had successful careers")</f>
        <v>Influencers who had successful careers</v>
      </c>
      <c r="F1546" s="1" t="str">
        <f ca="1">IFERROR(__xludf.DUMMYFUNCTION("""COMPUTED_VALUE"""),"Yes, I will earn and do that")</f>
        <v>Yes, I will earn and do that</v>
      </c>
      <c r="G1546" s="1" t="str">
        <f ca="1">IFERROR(__xludf.DUMMYFUNCTION("""COMPUTED_VALUE"""),"This will be hard to do, but if it is the right company I would try")</f>
        <v>This will be hard to do, but if it is the right company I would try</v>
      </c>
      <c r="H1546" s="1" t="str">
        <f ca="1">IFERROR(__xludf.DUMMYFUNCTION("""COMPUTED_VALUE"""),"No")</f>
        <v>No</v>
      </c>
      <c r="I1546" s="1" t="str">
        <f ca="1">IFERROR(__xludf.DUMMYFUNCTION("""COMPUTED_VALUE"""),"Will NOT work for them")</f>
        <v>Will NOT work for them</v>
      </c>
      <c r="J1546" s="1">
        <f ca="1">IFERROR(__xludf.DUMMYFUNCTION("""COMPUTED_VALUE"""),3)</f>
        <v>3</v>
      </c>
      <c r="K1546" s="1" t="str">
        <f ca="1">IFERROR(__xludf.DUMMYFUNCTION("""COMPUTED_VALUE"""),"Hybrid Working Environment with more than 15 days a month at office")</f>
        <v>Hybrid Working Environment with more than 15 days a month at office</v>
      </c>
      <c r="L1546" s="1" t="str">
        <f ca="1">IFERROR(__xludf.DUMMYFUNCTION("""COMPUTED_VALUE"""),"Employer who pushes your limits by enabling an learning environment, and rewards you at the end")</f>
        <v>Employer who pushes your limits by enabling an learning environment, and rewards you at the end</v>
      </c>
      <c r="M154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46"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546" s="1" t="str">
        <f ca="1">IFERROR(__xludf.DUMMYFUNCTION("""COMPUTED_VALUE"""),"Manager who explains what is expected, sets a goal and helps achieve it")</f>
        <v>Manager who explains what is expected, sets a goal and helps achieve it</v>
      </c>
      <c r="P1546" s="1" t="str">
        <f ca="1">IFERROR(__xludf.DUMMYFUNCTION("""COMPUTED_VALUE"""),"Work with 5 to 6 people in my team")</f>
        <v>Work with 5 to 6 people in my team</v>
      </c>
      <c r="Q1546" s="1"/>
    </row>
    <row r="1547" spans="1:17" ht="13.2" x14ac:dyDescent="0.25">
      <c r="A1547" s="2">
        <f ca="1">IFERROR(__xludf.DUMMYFUNCTION("""COMPUTED_VALUE"""),45045.7970205324)</f>
        <v>45045.797020532402</v>
      </c>
      <c r="B1547" s="1" t="str">
        <f ca="1">IFERROR(__xludf.DUMMYFUNCTION("""COMPUTED_VALUE"""),"India")</f>
        <v>India</v>
      </c>
      <c r="C1547" s="1">
        <f ca="1">IFERROR(__xludf.DUMMYFUNCTION("""COMPUTED_VALUE"""),400703)</f>
        <v>400703</v>
      </c>
      <c r="D1547" s="3" t="str">
        <f ca="1">IFERROR(__xludf.DUMMYFUNCTION("""COMPUTED_VALUE"""),"Male")</f>
        <v>Male</v>
      </c>
      <c r="E1547" s="1" t="str">
        <f ca="1">IFERROR(__xludf.DUMMYFUNCTION("""COMPUTED_VALUE"""),"My Parents")</f>
        <v>My Parents</v>
      </c>
      <c r="F1547" s="1" t="str">
        <f ca="1">IFERROR(__xludf.DUMMYFUNCTION("""COMPUTED_VALUE"""),"No, But if someone could bare the cost I will")</f>
        <v>No, But if someone could bare the cost I will</v>
      </c>
      <c r="G1547" s="1" t="str">
        <f ca="1">IFERROR(__xludf.DUMMYFUNCTION("""COMPUTED_VALUE"""),"Will work for 3 years or more")</f>
        <v>Will work for 3 years or more</v>
      </c>
      <c r="H1547" s="1" t="str">
        <f ca="1">IFERROR(__xludf.DUMMYFUNCTION("""COMPUTED_VALUE"""),"Yes")</f>
        <v>Yes</v>
      </c>
      <c r="I1547" s="1" t="str">
        <f ca="1">IFERROR(__xludf.DUMMYFUNCTION("""COMPUTED_VALUE"""),"Will work for them")</f>
        <v>Will work for them</v>
      </c>
      <c r="J1547" s="1">
        <f ca="1">IFERROR(__xludf.DUMMYFUNCTION("""COMPUTED_VALUE"""),8)</f>
        <v>8</v>
      </c>
      <c r="K1547" s="1" t="str">
        <f ca="1">IFERROR(__xludf.DUMMYFUNCTION("""COMPUTED_VALUE"""),"Hybrid Working Environment with more than 15 days a month at office")</f>
        <v>Hybrid Working Environment with more than 15 days a month at office</v>
      </c>
      <c r="L1547" s="1" t="str">
        <f ca="1">IFERROR(__xludf.DUMMYFUNCTION("""COMPUTED_VALUE"""),"Employer who pushes your limits by enabling an learning environment, and rewards you at the end")</f>
        <v>Employer who pushes your limits by enabling an learning environment, and rewards you at the end</v>
      </c>
      <c r="M154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47"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547" s="1" t="str">
        <f ca="1">IFERROR(__xludf.DUMMYFUNCTION("""COMPUTED_VALUE"""),"Manager who explains what is expected, sets a goal and helps achieve it")</f>
        <v>Manager who explains what is expected, sets a goal and helps achieve it</v>
      </c>
      <c r="P1547" s="1" t="str">
        <f ca="1">IFERROR(__xludf.DUMMYFUNCTION("""COMPUTED_VALUE"""),"Work with 7 to 10 or more people in my team")</f>
        <v>Work with 7 to 10 or more people in my team</v>
      </c>
      <c r="Q1547" s="1"/>
    </row>
    <row r="1548" spans="1:17" ht="13.2" x14ac:dyDescent="0.25">
      <c r="A1548" s="2">
        <f ca="1">IFERROR(__xludf.DUMMYFUNCTION("""COMPUTED_VALUE"""),45045.7978296875)</f>
        <v>45045.797829687501</v>
      </c>
      <c r="B1548" s="1" t="str">
        <f ca="1">IFERROR(__xludf.DUMMYFUNCTION("""COMPUTED_VALUE"""),"India")</f>
        <v>India</v>
      </c>
      <c r="C1548" s="1">
        <f ca="1">IFERROR(__xludf.DUMMYFUNCTION("""COMPUTED_VALUE"""),110019)</f>
        <v>110019</v>
      </c>
      <c r="D1548" s="3" t="str">
        <f ca="1">IFERROR(__xludf.DUMMYFUNCTION("""COMPUTED_VALUE"""),"Female")</f>
        <v>Female</v>
      </c>
      <c r="E1548" s="1" t="str">
        <f ca="1">IFERROR(__xludf.DUMMYFUNCTION("""COMPUTED_VALUE"""),"My Parents")</f>
        <v>My Parents</v>
      </c>
      <c r="F1548" s="1" t="str">
        <f ca="1">IFERROR(__xludf.DUMMYFUNCTION("""COMPUTED_VALUE"""),"Yes, I will earn and do that")</f>
        <v>Yes, I will earn and do that</v>
      </c>
      <c r="G1548" s="1" t="str">
        <f ca="1">IFERROR(__xludf.DUMMYFUNCTION("""COMPUTED_VALUE"""),"This will be hard to do, but if it is the right company I would try")</f>
        <v>This will be hard to do, but if it is the right company I would try</v>
      </c>
      <c r="H1548" s="1" t="str">
        <f ca="1">IFERROR(__xludf.DUMMYFUNCTION("""COMPUTED_VALUE"""),"Yes")</f>
        <v>Yes</v>
      </c>
      <c r="I1548" s="1" t="str">
        <f ca="1">IFERROR(__xludf.DUMMYFUNCTION("""COMPUTED_VALUE"""),"Will NOT work for them")</f>
        <v>Will NOT work for them</v>
      </c>
      <c r="J1548" s="1">
        <f ca="1">IFERROR(__xludf.DUMMYFUNCTION("""COMPUTED_VALUE"""),5)</f>
        <v>5</v>
      </c>
      <c r="K1548" s="1" t="str">
        <f ca="1">IFERROR(__xludf.DUMMYFUNCTION("""COMPUTED_VALUE"""),"Fully Remote with Options to travel as and when needed")</f>
        <v>Fully Remote with Options to travel as and when needed</v>
      </c>
      <c r="L1548" s="1" t="str">
        <f ca="1">IFERROR(__xludf.DUMMYFUNCTION("""COMPUTED_VALUE"""),"Employer who pushes your limits by enabling an learning environment, and rewards you at the end")</f>
        <v>Employer who pushes your limits by enabling an learning environment, and rewards you at the end</v>
      </c>
      <c r="M154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48" s="1" t="str">
        <f ca="1">IFERROR(__xludf.DUMMYFUNCTION("""COMPUTED_VALUE"""),"Manager who explains what is expected, sets a goal and helps achieve it")</f>
        <v>Manager who explains what is expected, sets a goal and helps achieve it</v>
      </c>
      <c r="P1548" s="1" t="str">
        <f ca="1">IFERROR(__xludf.DUMMYFUNCTION("""COMPUTED_VALUE"""),"Work with 2 to 3 people in my team")</f>
        <v>Work with 2 to 3 people in my team</v>
      </c>
      <c r="Q1548" s="1"/>
    </row>
    <row r="1549" spans="1:17" ht="13.2" x14ac:dyDescent="0.25">
      <c r="A1549" s="2">
        <f ca="1">IFERROR(__xludf.DUMMYFUNCTION("""COMPUTED_VALUE"""),45045.801921331)</f>
        <v>45045.801921331004</v>
      </c>
      <c r="B1549" s="1" t="str">
        <f ca="1">IFERROR(__xludf.DUMMYFUNCTION("""COMPUTED_VALUE"""),"India")</f>
        <v>India</v>
      </c>
      <c r="C1549" s="1">
        <f ca="1">IFERROR(__xludf.DUMMYFUNCTION("""COMPUTED_VALUE"""),410206)</f>
        <v>410206</v>
      </c>
      <c r="D1549" s="3" t="str">
        <f ca="1">IFERROR(__xludf.DUMMYFUNCTION("""COMPUTED_VALUE"""),"Male")</f>
        <v>Male</v>
      </c>
      <c r="E1549" s="1" t="str">
        <f ca="1">IFERROR(__xludf.DUMMYFUNCTION("""COMPUTED_VALUE"""),"My Parents")</f>
        <v>My Parents</v>
      </c>
      <c r="F1549" s="1" t="str">
        <f ca="1">IFERROR(__xludf.DUMMYFUNCTION("""COMPUTED_VALUE"""),"Yes, I will earn and do that")</f>
        <v>Yes, I will earn and do that</v>
      </c>
      <c r="G1549" s="1" t="str">
        <f ca="1">IFERROR(__xludf.DUMMYFUNCTION("""COMPUTED_VALUE"""),"Will work for 3 years or more")</f>
        <v>Will work for 3 years or more</v>
      </c>
      <c r="H1549" s="1" t="str">
        <f ca="1">IFERROR(__xludf.DUMMYFUNCTION("""COMPUTED_VALUE"""),"No")</f>
        <v>No</v>
      </c>
      <c r="I1549" s="1" t="str">
        <f ca="1">IFERROR(__xludf.DUMMYFUNCTION("""COMPUTED_VALUE"""),"Will NOT work for them")</f>
        <v>Will NOT work for them</v>
      </c>
      <c r="J1549" s="1">
        <f ca="1">IFERROR(__xludf.DUMMYFUNCTION("""COMPUTED_VALUE"""),3)</f>
        <v>3</v>
      </c>
      <c r="K1549" s="1" t="str">
        <f ca="1">IFERROR(__xludf.DUMMYFUNCTION("""COMPUTED_VALUE"""),"Hybrid Working Environment with more than 15 days a month at office")</f>
        <v>Hybrid Working Environment with more than 15 days a month at office</v>
      </c>
      <c r="L1549" s="1" t="str">
        <f ca="1">IFERROR(__xludf.DUMMYFUNCTION("""COMPUTED_VALUE"""),"Employer who appreciates learning and enables that environment")</f>
        <v>Employer who appreciates learning and enables that environment</v>
      </c>
      <c r="M154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9" s="1" t="str">
        <f ca="1">IFERROR(__xludf.DUMMYFUNCTION("""COMPUTED_VALUE"""),"Design and Develop amazing software, Become a content Creator in some platform, An Artificial Intelligence Specialist / Talking to Robots, Manufacturing / Oil and Gas/ Construction / Hard Physical Work related")</f>
        <v>Design and Develop amazing software, Become a content Creator in some platform, An Artificial Intelligence Specialist / Talking to Robots, Manufacturing / Oil and Gas/ Construction / Hard Physical Work related</v>
      </c>
      <c r="O1549" s="1" t="str">
        <f ca="1">IFERROR(__xludf.DUMMYFUNCTION("""COMPUTED_VALUE"""),"Manager who explains what is expected, sets a goal and helps achieve it")</f>
        <v>Manager who explains what is expected, sets a goal and helps achieve it</v>
      </c>
      <c r="P1549" s="1" t="str">
        <f ca="1">IFERROR(__xludf.DUMMYFUNCTION("""COMPUTED_VALUE"""),"Work with 2 to 3 people in my team")</f>
        <v>Work with 2 to 3 people in my team</v>
      </c>
      <c r="Q1549" s="1"/>
    </row>
    <row r="1550" spans="1:17" ht="13.2" x14ac:dyDescent="0.25">
      <c r="A1550" s="2">
        <f ca="1">IFERROR(__xludf.DUMMYFUNCTION("""COMPUTED_VALUE"""),45045.8045855092)</f>
        <v>45045.804585509199</v>
      </c>
      <c r="B1550" s="1" t="str">
        <f ca="1">IFERROR(__xludf.DUMMYFUNCTION("""COMPUTED_VALUE"""),"India")</f>
        <v>India</v>
      </c>
      <c r="C1550" s="1">
        <f ca="1">IFERROR(__xludf.DUMMYFUNCTION("""COMPUTED_VALUE"""),533262)</f>
        <v>533262</v>
      </c>
      <c r="D1550" s="3" t="str">
        <f ca="1">IFERROR(__xludf.DUMMYFUNCTION("""COMPUTED_VALUE"""),"Male")</f>
        <v>Male</v>
      </c>
      <c r="E1550" s="1" t="str">
        <f ca="1">IFERROR(__xludf.DUMMYFUNCTION("""COMPUTED_VALUE"""),"My Parents")</f>
        <v>My Parents</v>
      </c>
      <c r="F1550" s="1" t="str">
        <f ca="1">IFERROR(__xludf.DUMMYFUNCTION("""COMPUTED_VALUE"""),"No, But if someone could bare the cost I will")</f>
        <v>No, But if someone could bare the cost I will</v>
      </c>
      <c r="G1550" s="1" t="str">
        <f ca="1">IFERROR(__xludf.DUMMYFUNCTION("""COMPUTED_VALUE"""),"Will work for 3 years or more")</f>
        <v>Will work for 3 years or more</v>
      </c>
      <c r="H1550" s="1" t="str">
        <f ca="1">IFERROR(__xludf.DUMMYFUNCTION("""COMPUTED_VALUE"""),"No")</f>
        <v>No</v>
      </c>
      <c r="I1550" s="1" t="str">
        <f ca="1">IFERROR(__xludf.DUMMYFUNCTION("""COMPUTED_VALUE"""),"Will NOT work for them")</f>
        <v>Will NOT work for them</v>
      </c>
      <c r="J1550" s="1">
        <f ca="1">IFERROR(__xludf.DUMMYFUNCTION("""COMPUTED_VALUE"""),5)</f>
        <v>5</v>
      </c>
      <c r="K1550" s="1" t="str">
        <f ca="1">IFERROR(__xludf.DUMMYFUNCTION("""COMPUTED_VALUE"""),"Every Day Office Environment")</f>
        <v>Every Day Office Environment</v>
      </c>
      <c r="L1550" s="1" t="str">
        <f ca="1">IFERROR(__xludf.DUMMYFUNCTION("""COMPUTED_VALUE"""),"Employer who appreciates learning and enables that environment")</f>
        <v>Employer who appreciates learning and enables that environment</v>
      </c>
      <c r="M155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50" s="1" t="str">
        <f ca="1">IFERROR(__xludf.DUMMYFUNCTION("""COMPUTED_VALUE"""),"Design and Develop amazing software, Look deeply into Data and generate insights, Become a content Creator in some platform, An Artificial Intelligence Specialist / Talking to Robots")</f>
        <v>Design and Develop amazing software, Look deeply into Data and generate insights, Become a content Creator in some platform, An Artificial Intelligence Specialist / Talking to Robots</v>
      </c>
      <c r="O1550" s="1" t="str">
        <f ca="1">IFERROR(__xludf.DUMMYFUNCTION("""COMPUTED_VALUE"""),"Manager who explains what is expected, sets a goal and helps achieve it")</f>
        <v>Manager who explains what is expected, sets a goal and helps achieve it</v>
      </c>
      <c r="P1550" s="1" t="str">
        <f ca="1">IFERROR(__xludf.DUMMYFUNCTION("""COMPUTED_VALUE"""),"Work with 2 to 3 people in my team, Work with 5 to 6 people in my team")</f>
        <v>Work with 2 to 3 people in my team, Work with 5 to 6 people in my team</v>
      </c>
      <c r="Q1550" s="1"/>
    </row>
    <row r="1551" spans="1:17" ht="13.2" x14ac:dyDescent="0.25">
      <c r="A1551" s="2">
        <f ca="1">IFERROR(__xludf.DUMMYFUNCTION("""COMPUTED_VALUE"""),45045.8133652083)</f>
        <v>45045.813365208298</v>
      </c>
      <c r="B1551" s="1" t="str">
        <f ca="1">IFERROR(__xludf.DUMMYFUNCTION("""COMPUTED_VALUE"""),"India")</f>
        <v>India</v>
      </c>
      <c r="C1551" s="1">
        <f ca="1">IFERROR(__xludf.DUMMYFUNCTION("""COMPUTED_VALUE"""),400050)</f>
        <v>400050</v>
      </c>
      <c r="D1551" s="3" t="str">
        <f ca="1">IFERROR(__xludf.DUMMYFUNCTION("""COMPUTED_VALUE"""),"Female")</f>
        <v>Female</v>
      </c>
      <c r="E1551" s="1" t="str">
        <f ca="1">IFERROR(__xludf.DUMMYFUNCTION("""COMPUTED_VALUE"""),"People from my circle, but not family members")</f>
        <v>People from my circle, but not family members</v>
      </c>
      <c r="F1551" s="1" t="str">
        <f ca="1">IFERROR(__xludf.DUMMYFUNCTION("""COMPUTED_VALUE"""),"No I would not be pursuing Higher Education outside of India")</f>
        <v>No I would not be pursuing Higher Education outside of India</v>
      </c>
      <c r="G1551" s="1" t="str">
        <f ca="1">IFERROR(__xludf.DUMMYFUNCTION("""COMPUTED_VALUE"""),"This will be hard to do, but if it is the right company I would try")</f>
        <v>This will be hard to do, but if it is the right company I would try</v>
      </c>
      <c r="H1551" s="1" t="str">
        <f ca="1">IFERROR(__xludf.DUMMYFUNCTION("""COMPUTED_VALUE"""),"No")</f>
        <v>No</v>
      </c>
      <c r="I1551" s="1" t="str">
        <f ca="1">IFERROR(__xludf.DUMMYFUNCTION("""COMPUTED_VALUE"""),"Will NOT work for them")</f>
        <v>Will NOT work for them</v>
      </c>
      <c r="J1551" s="1">
        <f ca="1">IFERROR(__xludf.DUMMYFUNCTION("""COMPUTED_VALUE"""),7)</f>
        <v>7</v>
      </c>
      <c r="K1551" s="1" t="str">
        <f ca="1">IFERROR(__xludf.DUMMYFUNCTION("""COMPUTED_VALUE"""),"Fully Remote with Options to travel as and when needed")</f>
        <v>Fully Remote with Options to travel as and when needed</v>
      </c>
      <c r="L1551" s="1" t="str">
        <f ca="1">IFERROR(__xludf.DUMMYFUNCTION("""COMPUTED_VALUE"""),"Employer who rewards learning and enables that environment")</f>
        <v>Employer who rewards learning and enables that environment</v>
      </c>
      <c r="M15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1"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551" s="1" t="str">
        <f ca="1">IFERROR(__xludf.DUMMYFUNCTION("""COMPUTED_VALUE"""),"Manager who explains what is expected, sets a goal and helps achieve it")</f>
        <v>Manager who explains what is expected, sets a goal and helps achieve it</v>
      </c>
      <c r="P1551" s="1" t="str">
        <f ca="1">IFERROR(__xludf.DUMMYFUNCTION("""COMPUTED_VALUE"""),"Work with 2 to 3 people in my team, Work with 5 to 6 people in my team")</f>
        <v>Work with 2 to 3 people in my team, Work with 5 to 6 people in my team</v>
      </c>
      <c r="Q1551" s="1"/>
    </row>
    <row r="1552" spans="1:17" ht="13.2" x14ac:dyDescent="0.25">
      <c r="A1552" s="2">
        <f ca="1">IFERROR(__xludf.DUMMYFUNCTION("""COMPUTED_VALUE"""),45045.8198918518)</f>
        <v>45045.819891851803</v>
      </c>
      <c r="B1552" s="1" t="str">
        <f ca="1">IFERROR(__xludf.DUMMYFUNCTION("""COMPUTED_VALUE"""),"India")</f>
        <v>India</v>
      </c>
      <c r="C1552" s="1">
        <f ca="1">IFERROR(__xludf.DUMMYFUNCTION("""COMPUTED_VALUE"""),700118)</f>
        <v>700118</v>
      </c>
      <c r="D1552" s="3" t="str">
        <f ca="1">IFERROR(__xludf.DUMMYFUNCTION("""COMPUTED_VALUE"""),"Male")</f>
        <v>Male</v>
      </c>
      <c r="E1552" s="1" t="str">
        <f ca="1">IFERROR(__xludf.DUMMYFUNCTION("""COMPUTED_VALUE"""),"People who have changed the world for better")</f>
        <v>People who have changed the world for better</v>
      </c>
      <c r="F1552" s="1" t="str">
        <f ca="1">IFERROR(__xludf.DUMMYFUNCTION("""COMPUTED_VALUE"""),"No I would not be pursuing Higher Education outside of India")</f>
        <v>No I would not be pursuing Higher Education outside of India</v>
      </c>
      <c r="G1552" s="1" t="str">
        <f ca="1">IFERROR(__xludf.DUMMYFUNCTION("""COMPUTED_VALUE"""),"This will be hard to do, but if it is the right company I would try")</f>
        <v>This will be hard to do, but if it is the right company I would try</v>
      </c>
      <c r="H1552" s="1" t="str">
        <f ca="1">IFERROR(__xludf.DUMMYFUNCTION("""COMPUTED_VALUE"""),"No")</f>
        <v>No</v>
      </c>
      <c r="I1552" s="1" t="str">
        <f ca="1">IFERROR(__xludf.DUMMYFUNCTION("""COMPUTED_VALUE"""),"Will NOT work for them")</f>
        <v>Will NOT work for them</v>
      </c>
      <c r="J1552" s="1">
        <f ca="1">IFERROR(__xludf.DUMMYFUNCTION("""COMPUTED_VALUE"""),1)</f>
        <v>1</v>
      </c>
      <c r="K1552" s="1" t="str">
        <f ca="1">IFERROR(__xludf.DUMMYFUNCTION("""COMPUTED_VALUE"""),"Hybrid Working Environment with more than 15 days a month at office")</f>
        <v>Hybrid Working Environment with more than 15 days a month at office</v>
      </c>
      <c r="L1552" s="1" t="str">
        <f ca="1">IFERROR(__xludf.DUMMYFUNCTION("""COMPUTED_VALUE"""),"Employer who appreciates learning and enables that environment")</f>
        <v>Employer who appreciates learning and enables that environment</v>
      </c>
      <c r="M155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5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52" s="1" t="str">
        <f ca="1">IFERROR(__xludf.DUMMYFUNCTION("""COMPUTED_VALUE"""),"Manager who sets goal and helps me achieve it")</f>
        <v>Manager who sets goal and helps me achieve it</v>
      </c>
      <c r="P1552" s="1" t="str">
        <f ca="1">IFERROR(__xludf.DUMMYFUNCTION("""COMPUTED_VALUE"""),"Work with 5 to 6 people in my team")</f>
        <v>Work with 5 to 6 people in my team</v>
      </c>
      <c r="Q1552" s="1"/>
    </row>
    <row r="1553" spans="1:17" ht="13.2" x14ac:dyDescent="0.25">
      <c r="A1553" s="2">
        <f ca="1">IFERROR(__xludf.DUMMYFUNCTION("""COMPUTED_VALUE"""),45045.8252145486)</f>
        <v>45045.825214548597</v>
      </c>
      <c r="B1553" s="1" t="str">
        <f ca="1">IFERROR(__xludf.DUMMYFUNCTION("""COMPUTED_VALUE"""),"India")</f>
        <v>India</v>
      </c>
      <c r="C1553" s="1">
        <f ca="1">IFERROR(__xludf.DUMMYFUNCTION("""COMPUTED_VALUE"""),605010)</f>
        <v>605010</v>
      </c>
      <c r="D1553" s="3" t="str">
        <f ca="1">IFERROR(__xludf.DUMMYFUNCTION("""COMPUTED_VALUE"""),"Female")</f>
        <v>Female</v>
      </c>
      <c r="E1553" s="1" t="str">
        <f ca="1">IFERROR(__xludf.DUMMYFUNCTION("""COMPUTED_VALUE"""),"Influencers who had successful careers")</f>
        <v>Influencers who had successful careers</v>
      </c>
      <c r="F1553" s="1" t="str">
        <f ca="1">IFERROR(__xludf.DUMMYFUNCTION("""COMPUTED_VALUE"""),"No, But if someone could bare the cost I will")</f>
        <v>No, But if someone could bare the cost I will</v>
      </c>
      <c r="G1553" s="1" t="str">
        <f ca="1">IFERROR(__xludf.DUMMYFUNCTION("""COMPUTED_VALUE"""),"Will work for 3 years or more")</f>
        <v>Will work for 3 years or more</v>
      </c>
      <c r="H1553" s="1" t="str">
        <f ca="1">IFERROR(__xludf.DUMMYFUNCTION("""COMPUTED_VALUE"""),"No")</f>
        <v>No</v>
      </c>
      <c r="I1553" s="1" t="str">
        <f ca="1">IFERROR(__xludf.DUMMYFUNCTION("""COMPUTED_VALUE"""),"Will NOT work for them")</f>
        <v>Will NOT work for them</v>
      </c>
      <c r="J1553" s="1">
        <f ca="1">IFERROR(__xludf.DUMMYFUNCTION("""COMPUTED_VALUE"""),3)</f>
        <v>3</v>
      </c>
      <c r="K1553" s="1" t="str">
        <f ca="1">IFERROR(__xludf.DUMMYFUNCTION("""COMPUTED_VALUE"""),"Hybrid Working Environment with more than 15 days a month at office")</f>
        <v>Hybrid Working Environment with more than 15 days a month at office</v>
      </c>
      <c r="L1553" s="1" t="str">
        <f ca="1">IFERROR(__xludf.DUMMYFUNCTION("""COMPUTED_VALUE"""),"Employer who rewards learning and enables that environment")</f>
        <v>Employer who rewards learning and enables that environment</v>
      </c>
      <c r="M155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5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553" s="1" t="str">
        <f ca="1">IFERROR(__xludf.DUMMYFUNCTION("""COMPUTED_VALUE"""),"Manager who explains what is expected, sets a goal and helps achieve it")</f>
        <v>Manager who explains what is expected, sets a goal and helps achieve it</v>
      </c>
      <c r="P1553" s="1" t="str">
        <f ca="1">IFERROR(__xludf.DUMMYFUNCTION("""COMPUTED_VALUE"""),"Work with 5 to 6 people in my team")</f>
        <v>Work with 5 to 6 people in my team</v>
      </c>
      <c r="Q1553" s="1"/>
    </row>
    <row r="1554" spans="1:17" ht="13.2" x14ac:dyDescent="0.25">
      <c r="A1554" s="2">
        <f ca="1">IFERROR(__xludf.DUMMYFUNCTION("""COMPUTED_VALUE"""),45045.8261623958)</f>
        <v>45045.826162395802</v>
      </c>
      <c r="B1554" s="1" t="str">
        <f ca="1">IFERROR(__xludf.DUMMYFUNCTION("""COMPUTED_VALUE"""),"Others")</f>
        <v>Others</v>
      </c>
      <c r="C1554" s="1">
        <f ca="1">IFERROR(__xludf.DUMMYFUNCTION("""COMPUTED_VALUE"""),2145)</f>
        <v>2145</v>
      </c>
      <c r="D1554" s="3" t="str">
        <f ca="1">IFERROR(__xludf.DUMMYFUNCTION("""COMPUTED_VALUE"""),"Female")</f>
        <v>Female</v>
      </c>
      <c r="E1554" s="1" t="str">
        <f ca="1">IFERROR(__xludf.DUMMYFUNCTION("""COMPUTED_VALUE"""),"People who have changed the world for better")</f>
        <v>People who have changed the world for better</v>
      </c>
      <c r="F1554" s="1" t="str">
        <f ca="1">IFERROR(__xludf.DUMMYFUNCTION("""COMPUTED_VALUE"""),"No, But if someone could bare the cost I will")</f>
        <v>No, But if someone could bare the cost I will</v>
      </c>
      <c r="G1554" s="1" t="str">
        <f ca="1">IFERROR(__xludf.DUMMYFUNCTION("""COMPUTED_VALUE"""),"This will be hard to do, but if it is the right company I would try")</f>
        <v>This will be hard to do, but if it is the right company I would try</v>
      </c>
      <c r="H1554" s="1" t="str">
        <f ca="1">IFERROR(__xludf.DUMMYFUNCTION("""COMPUTED_VALUE"""),"No")</f>
        <v>No</v>
      </c>
      <c r="I1554" s="1" t="str">
        <f ca="1">IFERROR(__xludf.DUMMYFUNCTION("""COMPUTED_VALUE"""),"Will NOT work for them")</f>
        <v>Will NOT work for them</v>
      </c>
      <c r="J1554" s="1">
        <f ca="1">IFERROR(__xludf.DUMMYFUNCTION("""COMPUTED_VALUE"""),1)</f>
        <v>1</v>
      </c>
      <c r="K1554" s="1" t="str">
        <f ca="1">IFERROR(__xludf.DUMMYFUNCTION("""COMPUTED_VALUE"""),"Fully Remote with Options to travel as and when needed")</f>
        <v>Fully Remote with Options to travel as and when needed</v>
      </c>
      <c r="L1554" s="1" t="str">
        <f ca="1">IFERROR(__xludf.DUMMYFUNCTION("""COMPUTED_VALUE"""),"Employer who rewards learning and enables that environment")</f>
        <v>Employer who rewards learning and enables that environment</v>
      </c>
      <c r="M15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54" s="1" t="str">
        <f ca="1">IFERROR(__xludf.DUMMYFUNCTION("""COMPUTED_VALUE"""),"Business Operations in any organization, Build and develop a Team, Design and Develop amazing software, Work as a freelancer and do my thing my way")</f>
        <v>Business Operations in any organization, Build and develop a Team, Design and Develop amazing software, Work as a freelancer and do my thing my way</v>
      </c>
      <c r="O1554" s="1" t="str">
        <f ca="1">IFERROR(__xludf.DUMMYFUNCTION("""COMPUTED_VALUE"""),"Manager who explains what is expected, sets a goal and helps achieve it")</f>
        <v>Manager who explains what is expected, sets a goal and helps achieve it</v>
      </c>
      <c r="P1554" s="1" t="str">
        <f ca="1">IFERROR(__xludf.DUMMYFUNCTION("""COMPUTED_VALUE"""),"Work with 5 to 6 people in my team")</f>
        <v>Work with 5 to 6 people in my team</v>
      </c>
      <c r="Q1554" s="1"/>
    </row>
    <row r="1555" spans="1:17" ht="13.2" x14ac:dyDescent="0.25">
      <c r="A1555" s="2">
        <f ca="1">IFERROR(__xludf.DUMMYFUNCTION("""COMPUTED_VALUE"""),45045.8393320254)</f>
        <v>45045.839332025404</v>
      </c>
      <c r="B1555" s="1" t="str">
        <f ca="1">IFERROR(__xludf.DUMMYFUNCTION("""COMPUTED_VALUE"""),"India")</f>
        <v>India</v>
      </c>
      <c r="C1555" s="1">
        <f ca="1">IFERROR(__xludf.DUMMYFUNCTION("""COMPUTED_VALUE"""),600004)</f>
        <v>600004</v>
      </c>
      <c r="D1555" s="3" t="str">
        <f ca="1">IFERROR(__xludf.DUMMYFUNCTION("""COMPUTED_VALUE"""),"Female")</f>
        <v>Female</v>
      </c>
      <c r="E1555" s="1" t="str">
        <f ca="1">IFERROR(__xludf.DUMMYFUNCTION("""COMPUTED_VALUE"""),"My Parents")</f>
        <v>My Parents</v>
      </c>
      <c r="F1555" s="1" t="str">
        <f ca="1">IFERROR(__xludf.DUMMYFUNCTION("""COMPUTED_VALUE"""),"No I would not be pursuing Higher Education outside of India")</f>
        <v>No I would not be pursuing Higher Education outside of India</v>
      </c>
      <c r="G1555" s="1" t="str">
        <f ca="1">IFERROR(__xludf.DUMMYFUNCTION("""COMPUTED_VALUE"""),"This will be hard to do, but if it is the right company I would try")</f>
        <v>This will be hard to do, but if it is the right company I would try</v>
      </c>
      <c r="H1555" s="1" t="str">
        <f ca="1">IFERROR(__xludf.DUMMYFUNCTION("""COMPUTED_VALUE"""),"No")</f>
        <v>No</v>
      </c>
      <c r="I1555" s="1" t="str">
        <f ca="1">IFERROR(__xludf.DUMMYFUNCTION("""COMPUTED_VALUE"""),"Will NOT work for them")</f>
        <v>Will NOT work for them</v>
      </c>
      <c r="J1555" s="1">
        <f ca="1">IFERROR(__xludf.DUMMYFUNCTION("""COMPUTED_VALUE"""),1)</f>
        <v>1</v>
      </c>
      <c r="K1555" s="1" t="str">
        <f ca="1">IFERROR(__xludf.DUMMYFUNCTION("""COMPUTED_VALUE"""),"Every Day Office Environment")</f>
        <v>Every Day Office Environment</v>
      </c>
      <c r="L1555" s="1" t="str">
        <f ca="1">IFERROR(__xludf.DUMMYFUNCTION("""COMPUTED_VALUE"""),"Employer who rewards learning and enables that environment")</f>
        <v>Employer who rewards learning and enables that environment</v>
      </c>
      <c r="M1555"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55"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555" s="1" t="str">
        <f ca="1">IFERROR(__xludf.DUMMYFUNCTION("""COMPUTED_VALUE"""),"Manager who sets targets and expects me to achieve it")</f>
        <v>Manager who sets targets and expects me to achieve it</v>
      </c>
      <c r="P1555" s="1" t="str">
        <f ca="1">IFERROR(__xludf.DUMMYFUNCTION("""COMPUTED_VALUE"""),"Work with more than 10 people in my team")</f>
        <v>Work with more than 10 people in my team</v>
      </c>
      <c r="Q1555" s="1"/>
    </row>
    <row r="1556" spans="1:17" ht="13.2" x14ac:dyDescent="0.25">
      <c r="A1556" s="2">
        <f ca="1">IFERROR(__xludf.DUMMYFUNCTION("""COMPUTED_VALUE"""),45045.8402047106)</f>
        <v>45045.840204710599</v>
      </c>
      <c r="B1556" s="1" t="str">
        <f ca="1">IFERROR(__xludf.DUMMYFUNCTION("""COMPUTED_VALUE"""),"Canada")</f>
        <v>Canada</v>
      </c>
      <c r="C1556" s="1" t="str">
        <f ca="1">IFERROR(__xludf.DUMMYFUNCTION("""COMPUTED_VALUE"""),"V5Z3G7")</f>
        <v>V5Z3G7</v>
      </c>
      <c r="D1556" s="3" t="str">
        <f ca="1">IFERROR(__xludf.DUMMYFUNCTION("""COMPUTED_VALUE"""),"Male")</f>
        <v>Male</v>
      </c>
      <c r="E1556" s="1" t="str">
        <f ca="1">IFERROR(__xludf.DUMMYFUNCTION("""COMPUTED_VALUE"""),"People from my circle, but not family members")</f>
        <v>People from my circle, but not family members</v>
      </c>
      <c r="F1556" s="1" t="str">
        <f ca="1">IFERROR(__xludf.DUMMYFUNCTION("""COMPUTED_VALUE"""),"Yes, I will earn and do that")</f>
        <v>Yes, I will earn and do that</v>
      </c>
      <c r="G1556" s="1" t="str">
        <f ca="1">IFERROR(__xludf.DUMMYFUNCTION("""COMPUTED_VALUE"""),"Will work for 3 years or more")</f>
        <v>Will work for 3 years or more</v>
      </c>
      <c r="H1556" s="1" t="str">
        <f ca="1">IFERROR(__xludf.DUMMYFUNCTION("""COMPUTED_VALUE"""),"No")</f>
        <v>No</v>
      </c>
      <c r="I1556" s="1" t="str">
        <f ca="1">IFERROR(__xludf.DUMMYFUNCTION("""COMPUTED_VALUE"""),"Will NOT work for them")</f>
        <v>Will NOT work for them</v>
      </c>
      <c r="J1556" s="1">
        <f ca="1">IFERROR(__xludf.DUMMYFUNCTION("""COMPUTED_VALUE"""),6)</f>
        <v>6</v>
      </c>
      <c r="K1556" s="1" t="str">
        <f ca="1">IFERROR(__xludf.DUMMYFUNCTION("""COMPUTED_VALUE"""),"Every Day Office Environment")</f>
        <v>Every Day Office Environment</v>
      </c>
      <c r="L1556" s="1" t="str">
        <f ca="1">IFERROR(__xludf.DUMMYFUNCTION("""COMPUTED_VALUE"""),"Employer who appreciates learning and enables that environment")</f>
        <v>Employer who appreciates learning and enables that environment</v>
      </c>
      <c r="M1556"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556" s="1" t="str">
        <f ca="1">IFERROR(__xludf.DUMMYFUNCTION("""COMPUTED_VALUE"""),"Design and Creative strategy in any company, Build and develop a Team, Work as a freelancer and do my thing my way, I Want to sell things/Sales")</f>
        <v>Design and Creative strategy in any company, Build and develop a Team, Work as a freelancer and do my thing my way, I Want to sell things/Sales</v>
      </c>
      <c r="O1556" s="1" t="str">
        <f ca="1">IFERROR(__xludf.DUMMYFUNCTION("""COMPUTED_VALUE"""),"Manager who clearly describes what she/he needs")</f>
        <v>Manager who clearly describes what she/he needs</v>
      </c>
      <c r="P1556" s="1" t="str">
        <f ca="1">IFERROR(__xludf.DUMMYFUNCTION("""COMPUTED_VALUE"""),"Work with 7 to 10 or more people in my team, Work with more than 10 people in my team")</f>
        <v>Work with 7 to 10 or more people in my team, Work with more than 10 people in my team</v>
      </c>
      <c r="Q1556" s="1"/>
    </row>
    <row r="1557" spans="1:17" ht="13.2" x14ac:dyDescent="0.25">
      <c r="A1557" s="2">
        <f ca="1">IFERROR(__xludf.DUMMYFUNCTION("""COMPUTED_VALUE"""),45045.8419922337)</f>
        <v>45045.841992233698</v>
      </c>
      <c r="B1557" s="1" t="str">
        <f ca="1">IFERROR(__xludf.DUMMYFUNCTION("""COMPUTED_VALUE"""),"India")</f>
        <v>India</v>
      </c>
      <c r="C1557" s="1">
        <f ca="1">IFERROR(__xludf.DUMMYFUNCTION("""COMPUTED_VALUE"""),110076)</f>
        <v>110076</v>
      </c>
      <c r="D1557" s="3" t="str">
        <f ca="1">IFERROR(__xludf.DUMMYFUNCTION("""COMPUTED_VALUE"""),"Female")</f>
        <v>Female</v>
      </c>
      <c r="E1557" s="1" t="str">
        <f ca="1">IFERROR(__xludf.DUMMYFUNCTION("""COMPUTED_VALUE"""),"People from my circle, but not family members")</f>
        <v>People from my circle, but not family members</v>
      </c>
      <c r="F1557" s="1" t="str">
        <f ca="1">IFERROR(__xludf.DUMMYFUNCTION("""COMPUTED_VALUE"""),"Yes, I will earn and do that")</f>
        <v>Yes, I will earn and do that</v>
      </c>
      <c r="G1557" s="1" t="str">
        <f ca="1">IFERROR(__xludf.DUMMYFUNCTION("""COMPUTED_VALUE"""),"Will work for 3 years or more")</f>
        <v>Will work for 3 years or more</v>
      </c>
      <c r="H1557" s="1" t="str">
        <f ca="1">IFERROR(__xludf.DUMMYFUNCTION("""COMPUTED_VALUE"""),"No")</f>
        <v>No</v>
      </c>
      <c r="I1557" s="1" t="str">
        <f ca="1">IFERROR(__xludf.DUMMYFUNCTION("""COMPUTED_VALUE"""),"Will NOT work for them")</f>
        <v>Will NOT work for them</v>
      </c>
      <c r="J1557" s="1">
        <f ca="1">IFERROR(__xludf.DUMMYFUNCTION("""COMPUTED_VALUE"""),3)</f>
        <v>3</v>
      </c>
      <c r="K1557" s="1" t="str">
        <f ca="1">IFERROR(__xludf.DUMMYFUNCTION("""COMPUTED_VALUE"""),"Hybrid Working Environment with more than 15 days a month at office")</f>
        <v>Hybrid Working Environment with more than 15 days a month at office</v>
      </c>
      <c r="L1557" s="1" t="str">
        <f ca="1">IFERROR(__xludf.DUMMYFUNCTION("""COMPUTED_VALUE"""),"Employer who rewards learning and enables that environment")</f>
        <v>Employer who rewards learning and enables that environment</v>
      </c>
      <c r="M155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557" s="1" t="str">
        <f ca="1">IFERROR(__xludf.DUMMYFUNCTION("""COMPUTED_VALUE"""),"Business Operations in any organization, Manage and drive End-to-End Projects or Products, Look deeply into Data and generate insights, Become a content Creator in some platform")</f>
        <v>Business Operations in any organization, Manage and drive End-to-End Projects or Products, Look deeply into Data and generate insights, Become a content Creator in some platform</v>
      </c>
      <c r="O1557" s="1" t="str">
        <f ca="1">IFERROR(__xludf.DUMMYFUNCTION("""COMPUTED_VALUE"""),"Manager who explains what is expected, sets a goal and helps achieve it")</f>
        <v>Manager who explains what is expected, sets a goal and helps achieve it</v>
      </c>
      <c r="P1557" s="1" t="str">
        <f ca="1">IFERROR(__xludf.DUMMYFUNCTION("""COMPUTED_VALUE"""),"Work with 5 to 6 people in my team")</f>
        <v>Work with 5 to 6 people in my team</v>
      </c>
      <c r="Q1557" s="1"/>
    </row>
    <row r="1558" spans="1:17" ht="13.2" x14ac:dyDescent="0.25">
      <c r="A1558" s="2">
        <f ca="1">IFERROR(__xludf.DUMMYFUNCTION("""COMPUTED_VALUE"""),45045.8420590856)</f>
        <v>45045.842059085597</v>
      </c>
      <c r="B1558" s="1" t="str">
        <f ca="1">IFERROR(__xludf.DUMMYFUNCTION("""COMPUTED_VALUE"""),"India")</f>
        <v>India</v>
      </c>
      <c r="C1558" s="1">
        <f ca="1">IFERROR(__xludf.DUMMYFUNCTION("""COMPUTED_VALUE"""),500003)</f>
        <v>500003</v>
      </c>
      <c r="D1558" s="3" t="str">
        <f ca="1">IFERROR(__xludf.DUMMYFUNCTION("""COMPUTED_VALUE"""),"Female")</f>
        <v>Female</v>
      </c>
      <c r="E1558" s="1" t="str">
        <f ca="1">IFERROR(__xludf.DUMMYFUNCTION("""COMPUTED_VALUE"""),"People from my circle, but not family members")</f>
        <v>People from my circle, but not family members</v>
      </c>
      <c r="F1558" s="1" t="str">
        <f ca="1">IFERROR(__xludf.DUMMYFUNCTION("""COMPUTED_VALUE"""),"No I would not be pursuing Higher Education outside of India")</f>
        <v>No I would not be pursuing Higher Education outside of India</v>
      </c>
      <c r="G1558" s="1" t="str">
        <f ca="1">IFERROR(__xludf.DUMMYFUNCTION("""COMPUTED_VALUE"""),"No way")</f>
        <v>No way</v>
      </c>
      <c r="H1558" s="1" t="str">
        <f ca="1">IFERROR(__xludf.DUMMYFUNCTION("""COMPUTED_VALUE"""),"No")</f>
        <v>No</v>
      </c>
      <c r="I1558" s="1" t="str">
        <f ca="1">IFERROR(__xludf.DUMMYFUNCTION("""COMPUTED_VALUE"""),"Will work for them")</f>
        <v>Will work for them</v>
      </c>
      <c r="J1558" s="1">
        <f ca="1">IFERROR(__xludf.DUMMYFUNCTION("""COMPUTED_VALUE"""),7)</f>
        <v>7</v>
      </c>
      <c r="K1558" s="1" t="str">
        <f ca="1">IFERROR(__xludf.DUMMYFUNCTION("""COMPUTED_VALUE"""),"Fully Remote with Options to travel as and when needed")</f>
        <v>Fully Remote with Options to travel as and when needed</v>
      </c>
      <c r="L1558" s="1" t="str">
        <f ca="1">IFERROR(__xludf.DUMMYFUNCTION("""COMPUTED_VALUE"""),"Employer who pushes your limits by enabling an learning environment, and rewards you at the end")</f>
        <v>Employer who pushes your limits by enabling an learning environment, and rewards you at the end</v>
      </c>
      <c r="M155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558" s="1" t="str">
        <f ca="1">IFERROR(__xludf.DUMMYFUNCTION("""COMPUTED_VALUE"""),"Manager who clearly describes what she/he needs")</f>
        <v>Manager who clearly describes what she/he needs</v>
      </c>
      <c r="P1558" s="1" t="str">
        <f ca="1">IFERROR(__xludf.DUMMYFUNCTION("""COMPUTED_VALUE"""),"Work with 2 to 3 people in my team")</f>
        <v>Work with 2 to 3 people in my team</v>
      </c>
      <c r="Q1558" s="1"/>
    </row>
    <row r="1559" spans="1:17" ht="13.2" x14ac:dyDescent="0.25">
      <c r="A1559" s="2">
        <f ca="1">IFERROR(__xludf.DUMMYFUNCTION("""COMPUTED_VALUE"""),45045.8425336458)</f>
        <v>45045.842533645802</v>
      </c>
      <c r="B1559" s="1" t="str">
        <f ca="1">IFERROR(__xludf.DUMMYFUNCTION("""COMPUTED_VALUE"""),"India")</f>
        <v>India</v>
      </c>
      <c r="C1559" s="1">
        <f ca="1">IFERROR(__xludf.DUMMYFUNCTION("""COMPUTED_VALUE"""),160062)</f>
        <v>160062</v>
      </c>
      <c r="D1559" s="3" t="str">
        <f ca="1">IFERROR(__xludf.DUMMYFUNCTION("""COMPUTED_VALUE"""),"Male")</f>
        <v>Male</v>
      </c>
      <c r="E1559" s="1" t="str">
        <f ca="1">IFERROR(__xludf.DUMMYFUNCTION("""COMPUTED_VALUE"""),"My Parents")</f>
        <v>My Parents</v>
      </c>
      <c r="F1559" s="1" t="str">
        <f ca="1">IFERROR(__xludf.DUMMYFUNCTION("""COMPUTED_VALUE"""),"No, But if someone could bare the cost I will")</f>
        <v>No, But if someone could bare the cost I will</v>
      </c>
      <c r="G1559" s="1" t="str">
        <f ca="1">IFERROR(__xludf.DUMMYFUNCTION("""COMPUTED_VALUE"""),"This will be hard to do, but if it is the right company I would try")</f>
        <v>This will be hard to do, but if it is the right company I would try</v>
      </c>
      <c r="H1559" s="1" t="str">
        <f ca="1">IFERROR(__xludf.DUMMYFUNCTION("""COMPUTED_VALUE"""),"No")</f>
        <v>No</v>
      </c>
      <c r="I1559" s="1" t="str">
        <f ca="1">IFERROR(__xludf.DUMMYFUNCTION("""COMPUTED_VALUE"""),"Will NOT work for them")</f>
        <v>Will NOT work for them</v>
      </c>
      <c r="J1559" s="1">
        <f ca="1">IFERROR(__xludf.DUMMYFUNCTION("""COMPUTED_VALUE"""),4)</f>
        <v>4</v>
      </c>
      <c r="K1559" s="1" t="str">
        <f ca="1">IFERROR(__xludf.DUMMYFUNCTION("""COMPUTED_VALUE"""),"Hybrid Working Environment with more than 15 days a month at office")</f>
        <v>Hybrid Working Environment with more than 15 days a month at office</v>
      </c>
      <c r="L1559" s="1" t="str">
        <f ca="1">IFERROR(__xludf.DUMMYFUNCTION("""COMPUTED_VALUE"""),"Employer who pushes your limits by enabling an learning environment, and rewards you at the end")</f>
        <v>Employer who pushes your limits by enabling an learning environment, and rewards you at the end</v>
      </c>
      <c r="M155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9"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559" s="1" t="str">
        <f ca="1">IFERROR(__xludf.DUMMYFUNCTION("""COMPUTED_VALUE"""),"Manager who explains what is expected, sets a goal and helps achieve it")</f>
        <v>Manager who explains what is expected, sets a goal and helps achieve it</v>
      </c>
      <c r="P1559" s="1" t="str">
        <f ca="1">IFERROR(__xludf.DUMMYFUNCTION("""COMPUTED_VALUE"""),"Work with 5 to 6 people in my team")</f>
        <v>Work with 5 to 6 people in my team</v>
      </c>
      <c r="Q1559" s="1"/>
    </row>
    <row r="1560" spans="1:17" ht="13.2" x14ac:dyDescent="0.25">
      <c r="A1560" s="2">
        <f ca="1">IFERROR(__xludf.DUMMYFUNCTION("""COMPUTED_VALUE"""),45045.8425577083)</f>
        <v>45045.842557708304</v>
      </c>
      <c r="B1560" s="1" t="str">
        <f ca="1">IFERROR(__xludf.DUMMYFUNCTION("""COMPUTED_VALUE"""),"India")</f>
        <v>India</v>
      </c>
      <c r="C1560" s="1">
        <f ca="1">IFERROR(__xludf.DUMMYFUNCTION("""COMPUTED_VALUE"""),505001)</f>
        <v>505001</v>
      </c>
      <c r="D1560" s="3" t="str">
        <f ca="1">IFERROR(__xludf.DUMMYFUNCTION("""COMPUTED_VALUE"""),"Female")</f>
        <v>Female</v>
      </c>
      <c r="E1560" s="1" t="str">
        <f ca="1">IFERROR(__xludf.DUMMYFUNCTION("""COMPUTED_VALUE"""),"People who have changed the world for better")</f>
        <v>People who have changed the world for better</v>
      </c>
      <c r="F1560" s="1" t="str">
        <f ca="1">IFERROR(__xludf.DUMMYFUNCTION("""COMPUTED_VALUE"""),"Yes, I will earn and do that")</f>
        <v>Yes, I will earn and do that</v>
      </c>
      <c r="G1560" s="1" t="str">
        <f ca="1">IFERROR(__xludf.DUMMYFUNCTION("""COMPUTED_VALUE"""),"This will be hard to do, but if it is the right company I would try")</f>
        <v>This will be hard to do, but if it is the right company I would try</v>
      </c>
      <c r="H1560" s="1" t="str">
        <f ca="1">IFERROR(__xludf.DUMMYFUNCTION("""COMPUTED_VALUE"""),"No")</f>
        <v>No</v>
      </c>
      <c r="I1560" s="1" t="str">
        <f ca="1">IFERROR(__xludf.DUMMYFUNCTION("""COMPUTED_VALUE"""),"Will NOT work for them")</f>
        <v>Will NOT work for them</v>
      </c>
      <c r="J1560" s="1">
        <f ca="1">IFERROR(__xludf.DUMMYFUNCTION("""COMPUTED_VALUE"""),7)</f>
        <v>7</v>
      </c>
      <c r="K1560" s="1" t="str">
        <f ca="1">IFERROR(__xludf.DUMMYFUNCTION("""COMPUTED_VALUE"""),"Hybrid Working Environment with less than 3 days a month at office")</f>
        <v>Hybrid Working Environment with less than 3 days a month at office</v>
      </c>
      <c r="L1560" s="1" t="str">
        <f ca="1">IFERROR(__xludf.DUMMYFUNCTION("""COMPUTED_VALUE"""),"Employer who pushes your limits by enabling an learning environment, and rewards you at the end")</f>
        <v>Employer who pushes your limits by enabling an learning environment, and rewards you at the end</v>
      </c>
      <c r="M156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6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60" s="1" t="str">
        <f ca="1">IFERROR(__xludf.DUMMYFUNCTION("""COMPUTED_VALUE"""),"Manager who sets goal and helps me achieve it")</f>
        <v>Manager who sets goal and helps me achieve it</v>
      </c>
      <c r="P1560" s="1" t="str">
        <f ca="1">IFERROR(__xludf.DUMMYFUNCTION("""COMPUTED_VALUE"""),"Work with 7 to 10 or more people in my team")</f>
        <v>Work with 7 to 10 or more people in my team</v>
      </c>
      <c r="Q1560" s="1"/>
    </row>
    <row r="1561" spans="1:17" ht="13.2" x14ac:dyDescent="0.25">
      <c r="A1561" s="2">
        <f ca="1">IFERROR(__xludf.DUMMYFUNCTION("""COMPUTED_VALUE"""),45045.843451412)</f>
        <v>45045.843451412002</v>
      </c>
      <c r="B1561" s="1" t="str">
        <f ca="1">IFERROR(__xludf.DUMMYFUNCTION("""COMPUTED_VALUE"""),"India")</f>
        <v>India</v>
      </c>
      <c r="C1561" s="1">
        <f ca="1">IFERROR(__xludf.DUMMYFUNCTION("""COMPUTED_VALUE"""),160062)</f>
        <v>160062</v>
      </c>
      <c r="D1561" s="3" t="str">
        <f ca="1">IFERROR(__xludf.DUMMYFUNCTION("""COMPUTED_VALUE"""),"Male")</f>
        <v>Male</v>
      </c>
      <c r="E1561" s="1" t="str">
        <f ca="1">IFERROR(__xludf.DUMMYFUNCTION("""COMPUTED_VALUE"""),"Social Media like LinkedIn")</f>
        <v>Social Media like LinkedIn</v>
      </c>
      <c r="F1561" s="1" t="str">
        <f ca="1">IFERROR(__xludf.DUMMYFUNCTION("""COMPUTED_VALUE"""),"No, But if someone could bare the cost I will")</f>
        <v>No, But if someone could bare the cost I will</v>
      </c>
      <c r="G1561" s="1" t="str">
        <f ca="1">IFERROR(__xludf.DUMMYFUNCTION("""COMPUTED_VALUE"""),"This will be hard to do, but if it is the right company I would try")</f>
        <v>This will be hard to do, but if it is the right company I would try</v>
      </c>
      <c r="H1561" s="1" t="str">
        <f ca="1">IFERROR(__xludf.DUMMYFUNCTION("""COMPUTED_VALUE"""),"No")</f>
        <v>No</v>
      </c>
      <c r="I1561" s="1" t="str">
        <f ca="1">IFERROR(__xludf.DUMMYFUNCTION("""COMPUTED_VALUE"""),"Will NOT work for them")</f>
        <v>Will NOT work for them</v>
      </c>
      <c r="J1561" s="1">
        <f ca="1">IFERROR(__xludf.DUMMYFUNCTION("""COMPUTED_VALUE"""),1)</f>
        <v>1</v>
      </c>
      <c r="K1561" s="1" t="str">
        <f ca="1">IFERROR(__xludf.DUMMYFUNCTION("""COMPUTED_VALUE"""),"Fully Remote with Options to travel as and when needed")</f>
        <v>Fully Remote with Options to travel as and when needed</v>
      </c>
      <c r="L1561" s="1" t="str">
        <f ca="1">IFERROR(__xludf.DUMMYFUNCTION("""COMPUTED_VALUE"""),"Employer who pushes your limits by enabling an learning environment, and rewards you at the end")</f>
        <v>Employer who pushes your limits by enabling an learning environment, and rewards you at the end</v>
      </c>
      <c r="M156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61" s="1" t="str">
        <f ca="1">IFERROR(__xludf.DUMMYFUNCTION("""COMPUTED_VALUE"""),"Work as a freelancer and do my thing my way, Entrepreneur or Start Up, I Want to sell things/Sales, An Artificial Intelligence Specialist / Talking to Robots")</f>
        <v>Work as a freelancer and do my thing my way, Entrepreneur or Start Up, I Want to sell things/Sales, An Artificial Intelligence Specialist / Talking to Robots</v>
      </c>
      <c r="O1561" s="1" t="str">
        <f ca="1">IFERROR(__xludf.DUMMYFUNCTION("""COMPUTED_VALUE"""),"Manager who explains what is expected, sets a goal and helps achieve it")</f>
        <v>Manager who explains what is expected, sets a goal and helps achieve it</v>
      </c>
      <c r="P1561" s="1" t="str">
        <f ca="1">IFERROR(__xludf.DUMMYFUNCTION("""COMPUTED_VALUE"""),"Work with 2 to 3 people in my team")</f>
        <v>Work with 2 to 3 people in my team</v>
      </c>
      <c r="Q1561" s="1"/>
    </row>
    <row r="1562" spans="1:17" ht="13.2" x14ac:dyDescent="0.25">
      <c r="A1562" s="2">
        <f ca="1">IFERROR(__xludf.DUMMYFUNCTION("""COMPUTED_VALUE"""),45045.8468377314)</f>
        <v>45045.846837731398</v>
      </c>
      <c r="B1562" s="1" t="str">
        <f ca="1">IFERROR(__xludf.DUMMYFUNCTION("""COMPUTED_VALUE"""),"India")</f>
        <v>India</v>
      </c>
      <c r="C1562" s="1">
        <f ca="1">IFERROR(__xludf.DUMMYFUNCTION("""COMPUTED_VALUE"""),533262)</f>
        <v>533262</v>
      </c>
      <c r="D1562" s="3" t="str">
        <f ca="1">IFERROR(__xludf.DUMMYFUNCTION("""COMPUTED_VALUE"""),"Male")</f>
        <v>Male</v>
      </c>
      <c r="E1562" s="1" t="str">
        <f ca="1">IFERROR(__xludf.DUMMYFUNCTION("""COMPUTED_VALUE"""),"People from my circle, but not family members")</f>
        <v>People from my circle, but not family members</v>
      </c>
      <c r="F1562" s="1" t="str">
        <f ca="1">IFERROR(__xludf.DUMMYFUNCTION("""COMPUTED_VALUE"""),"No I would not be pursuing Higher Education outside of India")</f>
        <v>No I would not be pursuing Higher Education outside of India</v>
      </c>
      <c r="G1562" s="1" t="str">
        <f ca="1">IFERROR(__xludf.DUMMYFUNCTION("""COMPUTED_VALUE"""),"This will be hard to do, but if it is the right company I would try")</f>
        <v>This will be hard to do, but if it is the right company I would try</v>
      </c>
      <c r="H1562" s="1" t="str">
        <f ca="1">IFERROR(__xludf.DUMMYFUNCTION("""COMPUTED_VALUE"""),"Yes")</f>
        <v>Yes</v>
      </c>
      <c r="I1562" s="1" t="str">
        <f ca="1">IFERROR(__xludf.DUMMYFUNCTION("""COMPUTED_VALUE"""),"Will work for them")</f>
        <v>Will work for them</v>
      </c>
      <c r="J1562" s="1">
        <f ca="1">IFERROR(__xludf.DUMMYFUNCTION("""COMPUTED_VALUE"""),4)</f>
        <v>4</v>
      </c>
      <c r="K1562" s="1" t="str">
        <f ca="1">IFERROR(__xludf.DUMMYFUNCTION("""COMPUTED_VALUE"""),"Hybrid Working Environment with less than 3 days a month at office")</f>
        <v>Hybrid Working Environment with less than 3 days a month at office</v>
      </c>
      <c r="L1562" s="1" t="str">
        <f ca="1">IFERROR(__xludf.DUMMYFUNCTION("""COMPUTED_VALUE"""),"Employer who appreciates learning and enables that environment")</f>
        <v>Employer who appreciates learning and enables that environment</v>
      </c>
      <c r="M156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1562" s="1" t="str">
        <f ca="1">IFERROR(__xludf.DUMMYFUNCTION("""COMPUTED_VALUE"""),"Manager who explains what is expected, sets a goal and helps achieve it")</f>
        <v>Manager who explains what is expected, sets a goal and helps achieve it</v>
      </c>
      <c r="P1562" s="1" t="str">
        <f ca="1">IFERROR(__xludf.DUMMYFUNCTION("""COMPUTED_VALUE"""),"Work with 7 to 10 or more people in my team")</f>
        <v>Work with 7 to 10 or more people in my team</v>
      </c>
      <c r="Q1562" s="1"/>
    </row>
    <row r="1563" spans="1:17" ht="13.2" x14ac:dyDescent="0.25">
      <c r="A1563" s="2">
        <f ca="1">IFERROR(__xludf.DUMMYFUNCTION("""COMPUTED_VALUE"""),45045.8486119907)</f>
        <v>45045.848611990703</v>
      </c>
      <c r="B1563" s="1" t="str">
        <f ca="1">IFERROR(__xludf.DUMMYFUNCTION("""COMPUTED_VALUE"""),"India")</f>
        <v>India</v>
      </c>
      <c r="C1563" s="1">
        <f ca="1">IFERROR(__xludf.DUMMYFUNCTION("""COMPUTED_VALUE"""),505001)</f>
        <v>505001</v>
      </c>
      <c r="D1563" s="3" t="str">
        <f ca="1">IFERROR(__xludf.DUMMYFUNCTION("""COMPUTED_VALUE"""),"Male")</f>
        <v>Male</v>
      </c>
      <c r="E1563" s="1" t="str">
        <f ca="1">IFERROR(__xludf.DUMMYFUNCTION("""COMPUTED_VALUE"""),"My Parents")</f>
        <v>My Parents</v>
      </c>
      <c r="F1563" s="1" t="str">
        <f ca="1">IFERROR(__xludf.DUMMYFUNCTION("""COMPUTED_VALUE"""),"No, But if someone could bare the cost I will")</f>
        <v>No, But if someone could bare the cost I will</v>
      </c>
      <c r="G1563" s="1" t="str">
        <f ca="1">IFERROR(__xludf.DUMMYFUNCTION("""COMPUTED_VALUE"""),"This will be hard to do, but if it is the right company I would try")</f>
        <v>This will be hard to do, but if it is the right company I would try</v>
      </c>
      <c r="H1563" s="1" t="str">
        <f ca="1">IFERROR(__xludf.DUMMYFUNCTION("""COMPUTED_VALUE"""),"No")</f>
        <v>No</v>
      </c>
      <c r="I1563" s="1" t="str">
        <f ca="1">IFERROR(__xludf.DUMMYFUNCTION("""COMPUTED_VALUE"""),"Will NOT work for them")</f>
        <v>Will NOT work for them</v>
      </c>
      <c r="J1563" s="1">
        <f ca="1">IFERROR(__xludf.DUMMYFUNCTION("""COMPUTED_VALUE"""),5)</f>
        <v>5</v>
      </c>
      <c r="K1563" s="1" t="str">
        <f ca="1">IFERROR(__xludf.DUMMYFUNCTION("""COMPUTED_VALUE"""),"Every Day Office Environment")</f>
        <v>Every Day Office Environment</v>
      </c>
      <c r="L1563" s="1" t="str">
        <f ca="1">IFERROR(__xludf.DUMMYFUNCTION("""COMPUTED_VALUE"""),"Employer who pushes your limits by enabling an learning environment, and rewards you at the end")</f>
        <v>Employer who pushes your limits by enabling an learning environment, and rewards you at the end</v>
      </c>
      <c r="M156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63"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563" s="1" t="str">
        <f ca="1">IFERROR(__xludf.DUMMYFUNCTION("""COMPUTED_VALUE"""),"Manager who explains what is expected, sets a goal and helps achieve it")</f>
        <v>Manager who explains what is expected, sets a goal and helps achieve it</v>
      </c>
      <c r="P1563" s="1" t="str">
        <f ca="1">IFERROR(__xludf.DUMMYFUNCTION("""COMPUTED_VALUE"""),"Work with 5 to 6 people in my team")</f>
        <v>Work with 5 to 6 people in my team</v>
      </c>
      <c r="Q1563" s="1"/>
    </row>
    <row r="1564" spans="1:17" ht="13.2" x14ac:dyDescent="0.25">
      <c r="A1564" s="2">
        <f ca="1">IFERROR(__xludf.DUMMYFUNCTION("""COMPUTED_VALUE"""),45045.8488790509)</f>
        <v>45045.8488790509</v>
      </c>
      <c r="B1564" s="1" t="str">
        <f ca="1">IFERROR(__xludf.DUMMYFUNCTION("""COMPUTED_VALUE"""),"India")</f>
        <v>India</v>
      </c>
      <c r="C1564" s="1">
        <f ca="1">IFERROR(__xludf.DUMMYFUNCTION("""COMPUTED_VALUE"""),533005)</f>
        <v>533005</v>
      </c>
      <c r="D1564" s="3" t="str">
        <f ca="1">IFERROR(__xludf.DUMMYFUNCTION("""COMPUTED_VALUE"""),"Male")</f>
        <v>Male</v>
      </c>
      <c r="E1564" s="1" t="str">
        <f ca="1">IFERROR(__xludf.DUMMYFUNCTION("""COMPUTED_VALUE"""),"My Parents")</f>
        <v>My Parents</v>
      </c>
      <c r="F1564" s="1" t="str">
        <f ca="1">IFERROR(__xludf.DUMMYFUNCTION("""COMPUTED_VALUE"""),"Yes, I will earn and do that")</f>
        <v>Yes, I will earn and do that</v>
      </c>
      <c r="G1564" s="1" t="str">
        <f ca="1">IFERROR(__xludf.DUMMYFUNCTION("""COMPUTED_VALUE"""),"This will be hard to do, but if it is the right company I would try")</f>
        <v>This will be hard to do, but if it is the right company I would try</v>
      </c>
      <c r="H1564" s="1" t="str">
        <f ca="1">IFERROR(__xludf.DUMMYFUNCTION("""COMPUTED_VALUE"""),"Yes")</f>
        <v>Yes</v>
      </c>
      <c r="I1564" s="1" t="str">
        <f ca="1">IFERROR(__xludf.DUMMYFUNCTION("""COMPUTED_VALUE"""),"Will work for them")</f>
        <v>Will work for them</v>
      </c>
      <c r="J1564" s="1">
        <f ca="1">IFERROR(__xludf.DUMMYFUNCTION("""COMPUTED_VALUE"""),2)</f>
        <v>2</v>
      </c>
      <c r="K1564" s="1" t="str">
        <f ca="1">IFERROR(__xludf.DUMMYFUNCTION("""COMPUTED_VALUE"""),"Fully Remote with Options to travel as and when needed")</f>
        <v>Fully Remote with Options to travel as and when needed</v>
      </c>
      <c r="L1564" s="1" t="str">
        <f ca="1">IFERROR(__xludf.DUMMYFUNCTION("""COMPUTED_VALUE"""),"Employer who pushes your limits by enabling an learning environment, and rewards you at the end")</f>
        <v>Employer who pushes your limits by enabling an learning environment, and rewards you at the end</v>
      </c>
      <c r="M15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4" s="1" t="str">
        <f ca="1">IFERROR(__xludf.DUMMYFUNCTION("""COMPUTED_VALUE"""),"Business Operations in any organization, Design and Develop amazing software, Work in a BPO setup for some well known client, Manufacturing / Oil and Gas/ Construction / Hard Physical Work related")</f>
        <v>Business Operations in any organization, Design and Develop amazing software, Work in a BPO setup for some well known client, Manufacturing / Oil and Gas/ Construction / Hard Physical Work related</v>
      </c>
      <c r="O1564" s="1" t="str">
        <f ca="1">IFERROR(__xludf.DUMMYFUNCTION("""COMPUTED_VALUE"""),"Manager who explains what is expected, sets a goal and helps achieve it")</f>
        <v>Manager who explains what is expected, sets a goal and helps achieve it</v>
      </c>
      <c r="P1564" s="1" t="str">
        <f ca="1">IFERROR(__xludf.DUMMYFUNCTION("""COMPUTED_VALUE"""),"Work with 5 to 6 people in my team")</f>
        <v>Work with 5 to 6 people in my team</v>
      </c>
      <c r="Q1564" s="1"/>
    </row>
    <row r="1565" spans="1:17" ht="13.2" x14ac:dyDescent="0.25">
      <c r="A1565" s="2">
        <f ca="1">IFERROR(__xludf.DUMMYFUNCTION("""COMPUTED_VALUE"""),45045.8491904282)</f>
        <v>45045.849190428198</v>
      </c>
      <c r="B1565" s="1" t="str">
        <f ca="1">IFERROR(__xludf.DUMMYFUNCTION("""COMPUTED_VALUE"""),"India")</f>
        <v>India</v>
      </c>
      <c r="C1565" s="1">
        <f ca="1">IFERROR(__xludf.DUMMYFUNCTION("""COMPUTED_VALUE"""),500026)</f>
        <v>500026</v>
      </c>
      <c r="D1565" s="3" t="str">
        <f ca="1">IFERROR(__xludf.DUMMYFUNCTION("""COMPUTED_VALUE"""),"Female")</f>
        <v>Female</v>
      </c>
      <c r="E1565" s="1" t="str">
        <f ca="1">IFERROR(__xludf.DUMMYFUNCTION("""COMPUTED_VALUE"""),"My Parents")</f>
        <v>My Parents</v>
      </c>
      <c r="F1565" s="1" t="str">
        <f ca="1">IFERROR(__xludf.DUMMYFUNCTION("""COMPUTED_VALUE"""),"Yes, I will earn and do that")</f>
        <v>Yes, I will earn and do that</v>
      </c>
      <c r="G1565" s="1" t="str">
        <f ca="1">IFERROR(__xludf.DUMMYFUNCTION("""COMPUTED_VALUE"""),"This will be hard to do, but if it is the right company I would try")</f>
        <v>This will be hard to do, but if it is the right company I would try</v>
      </c>
      <c r="H1565" s="1" t="str">
        <f ca="1">IFERROR(__xludf.DUMMYFUNCTION("""COMPUTED_VALUE"""),"No")</f>
        <v>No</v>
      </c>
      <c r="I1565" s="1" t="str">
        <f ca="1">IFERROR(__xludf.DUMMYFUNCTION("""COMPUTED_VALUE"""),"Will work for them")</f>
        <v>Will work for them</v>
      </c>
      <c r="J1565" s="1">
        <f ca="1">IFERROR(__xludf.DUMMYFUNCTION("""COMPUTED_VALUE"""),6)</f>
        <v>6</v>
      </c>
      <c r="K1565" s="1" t="str">
        <f ca="1">IFERROR(__xludf.DUMMYFUNCTION("""COMPUTED_VALUE"""),"Fully Remote with Options to travel as and when needed")</f>
        <v>Fully Remote with Options to travel as and when needed</v>
      </c>
      <c r="L1565" s="1" t="str">
        <f ca="1">IFERROR(__xludf.DUMMYFUNCTION("""COMPUTED_VALUE"""),"Employer who appreciates learning and enables that environment")</f>
        <v>Employer who appreciates learning and enables that environment</v>
      </c>
      <c r="M1565" s="1" t="str">
        <f ca="1">IFERROR(__xludf.DUMMYFUNCTION("""COMPUTED_VALUE"""),"Self Paced Learning Portals of the Company, Instructor or Expert Learning Programs, Manager Teaching you")</f>
        <v>Self Paced Learning Portals of the Company, Instructor or Expert Learning Programs, Manager Teaching you</v>
      </c>
      <c r="N1565"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565" s="1" t="str">
        <f ca="1">IFERROR(__xludf.DUMMYFUNCTION("""COMPUTED_VALUE"""),"Manager who sets targets and expects me to achieve it")</f>
        <v>Manager who sets targets and expects me to achieve it</v>
      </c>
      <c r="P1565" s="1" t="str">
        <f ca="1">IFERROR(__xludf.DUMMYFUNCTION("""COMPUTED_VALUE"""),"Work alone, Work with 7 to 10 or more people in my team")</f>
        <v>Work alone, Work with 7 to 10 or more people in my team</v>
      </c>
      <c r="Q1565" s="1"/>
    </row>
    <row r="1566" spans="1:17" ht="13.2" x14ac:dyDescent="0.25">
      <c r="A1566" s="2">
        <f ca="1">IFERROR(__xludf.DUMMYFUNCTION("""COMPUTED_VALUE"""),45045.8498843981)</f>
        <v>45045.8498843981</v>
      </c>
      <c r="B1566" s="1" t="str">
        <f ca="1">IFERROR(__xludf.DUMMYFUNCTION("""COMPUTED_VALUE"""),"India")</f>
        <v>India</v>
      </c>
      <c r="C1566" s="1">
        <f ca="1">IFERROR(__xludf.DUMMYFUNCTION("""COMPUTED_VALUE"""),533262)</f>
        <v>533262</v>
      </c>
      <c r="D1566" s="3" t="str">
        <f ca="1">IFERROR(__xludf.DUMMYFUNCTION("""COMPUTED_VALUE"""),"Female")</f>
        <v>Female</v>
      </c>
      <c r="E1566" s="1" t="str">
        <f ca="1">IFERROR(__xludf.DUMMYFUNCTION("""COMPUTED_VALUE"""),"My Parents")</f>
        <v>My Parents</v>
      </c>
      <c r="F1566" s="1" t="str">
        <f ca="1">IFERROR(__xludf.DUMMYFUNCTION("""COMPUTED_VALUE"""),"Yes, I will earn and do that")</f>
        <v>Yes, I will earn and do that</v>
      </c>
      <c r="G1566" s="1" t="str">
        <f ca="1">IFERROR(__xludf.DUMMYFUNCTION("""COMPUTED_VALUE"""),"Will work for 3 years or more")</f>
        <v>Will work for 3 years or more</v>
      </c>
      <c r="H1566" s="1" t="str">
        <f ca="1">IFERROR(__xludf.DUMMYFUNCTION("""COMPUTED_VALUE"""),"Yes")</f>
        <v>Yes</v>
      </c>
      <c r="I1566" s="1" t="str">
        <f ca="1">IFERROR(__xludf.DUMMYFUNCTION("""COMPUTED_VALUE"""),"Will work for them")</f>
        <v>Will work for them</v>
      </c>
      <c r="J1566" s="1">
        <f ca="1">IFERROR(__xludf.DUMMYFUNCTION("""COMPUTED_VALUE"""),3)</f>
        <v>3</v>
      </c>
      <c r="K1566" s="1" t="str">
        <f ca="1">IFERROR(__xludf.DUMMYFUNCTION("""COMPUTED_VALUE"""),"Every Day Office Environment")</f>
        <v>Every Day Office Environment</v>
      </c>
      <c r="L1566" s="1" t="str">
        <f ca="1">IFERROR(__xludf.DUMMYFUNCTION("""COMPUTED_VALUE"""),"Employer who appreciates learning and enables that environment")</f>
        <v>Employer who appreciates learning and enables that environment</v>
      </c>
      <c r="M15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6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566" s="1" t="str">
        <f ca="1">IFERROR(__xludf.DUMMYFUNCTION("""COMPUTED_VALUE"""),"Manager who clearly describes what she/he needs")</f>
        <v>Manager who clearly describes what she/he needs</v>
      </c>
      <c r="P1566" s="1" t="str">
        <f ca="1">IFERROR(__xludf.DUMMYFUNCTION("""COMPUTED_VALUE"""),"Work with 5 to 6 people in my team")</f>
        <v>Work with 5 to 6 people in my team</v>
      </c>
      <c r="Q1566" s="1"/>
    </row>
    <row r="1567" spans="1:17" ht="13.2" x14ac:dyDescent="0.25">
      <c r="A1567" s="2">
        <f ca="1">IFERROR(__xludf.DUMMYFUNCTION("""COMPUTED_VALUE"""),45045.8500181597)</f>
        <v>45045.850018159697</v>
      </c>
      <c r="B1567" s="1" t="str">
        <f ca="1">IFERROR(__xludf.DUMMYFUNCTION("""COMPUTED_VALUE"""),"India")</f>
        <v>India</v>
      </c>
      <c r="C1567" s="1">
        <f ca="1">IFERROR(__xludf.DUMMYFUNCTION("""COMPUTED_VALUE"""),110060)</f>
        <v>110060</v>
      </c>
      <c r="D1567" s="3" t="str">
        <f ca="1">IFERROR(__xludf.DUMMYFUNCTION("""COMPUTED_VALUE"""),"Male")</f>
        <v>Male</v>
      </c>
      <c r="E1567" s="1" t="str">
        <f ca="1">IFERROR(__xludf.DUMMYFUNCTION("""COMPUTED_VALUE"""),"People who have changed the world for better")</f>
        <v>People who have changed the world for better</v>
      </c>
      <c r="F1567" s="1" t="str">
        <f ca="1">IFERROR(__xludf.DUMMYFUNCTION("""COMPUTED_VALUE"""),"No I would not be pursuing Higher Education outside of India")</f>
        <v>No I would not be pursuing Higher Education outside of India</v>
      </c>
      <c r="G1567" s="1" t="str">
        <f ca="1">IFERROR(__xludf.DUMMYFUNCTION("""COMPUTED_VALUE"""),"No way")</f>
        <v>No way</v>
      </c>
      <c r="H1567" s="1" t="str">
        <f ca="1">IFERROR(__xludf.DUMMYFUNCTION("""COMPUTED_VALUE"""),"No")</f>
        <v>No</v>
      </c>
      <c r="I1567" s="1" t="str">
        <f ca="1">IFERROR(__xludf.DUMMYFUNCTION("""COMPUTED_VALUE"""),"Will NOT work for them")</f>
        <v>Will NOT work for them</v>
      </c>
      <c r="J1567" s="1">
        <f ca="1">IFERROR(__xludf.DUMMYFUNCTION("""COMPUTED_VALUE"""),1)</f>
        <v>1</v>
      </c>
      <c r="K1567" s="1" t="str">
        <f ca="1">IFERROR(__xludf.DUMMYFUNCTION("""COMPUTED_VALUE"""),"Hybrid Working Environment with less than 3 days a month at office")</f>
        <v>Hybrid Working Environment with less than 3 days a month at office</v>
      </c>
      <c r="L1567" s="1" t="str">
        <f ca="1">IFERROR(__xludf.DUMMYFUNCTION("""COMPUTED_VALUE"""),"Employer who appreciates learning and enables that environment")</f>
        <v>Employer who appreciates learning and enables that environment</v>
      </c>
      <c r="M156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67"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1567" s="1" t="str">
        <f ca="1">IFERROR(__xludf.DUMMYFUNCTION("""COMPUTED_VALUE"""),"Manager who clearly describes what she/he needs")</f>
        <v>Manager who clearly describes what she/he needs</v>
      </c>
      <c r="P1567" s="1" t="str">
        <f ca="1">IFERROR(__xludf.DUMMYFUNCTION("""COMPUTED_VALUE"""),"Work alone")</f>
        <v>Work alone</v>
      </c>
      <c r="Q1567" s="1"/>
    </row>
    <row r="1568" spans="1:17" ht="13.2" x14ac:dyDescent="0.25">
      <c r="A1568" s="2">
        <f ca="1">IFERROR(__xludf.DUMMYFUNCTION("""COMPUTED_VALUE"""),45045.8535692013)</f>
        <v>45045.853569201303</v>
      </c>
      <c r="B1568" s="1" t="str">
        <f ca="1">IFERROR(__xludf.DUMMYFUNCTION("""COMPUTED_VALUE"""),"India")</f>
        <v>India</v>
      </c>
      <c r="C1568" s="1">
        <f ca="1">IFERROR(__xludf.DUMMYFUNCTION("""COMPUTED_VALUE"""),500009)</f>
        <v>500009</v>
      </c>
      <c r="D1568" s="3" t="str">
        <f ca="1">IFERROR(__xludf.DUMMYFUNCTION("""COMPUTED_VALUE"""),"Male")</f>
        <v>Male</v>
      </c>
      <c r="E1568" s="1" t="str">
        <f ca="1">IFERROR(__xludf.DUMMYFUNCTION("""COMPUTED_VALUE"""),"My Parents")</f>
        <v>My Parents</v>
      </c>
      <c r="F1568" s="1" t="str">
        <f ca="1">IFERROR(__xludf.DUMMYFUNCTION("""COMPUTED_VALUE"""),"Yes, I will earn and do that")</f>
        <v>Yes, I will earn and do that</v>
      </c>
      <c r="G1568" s="1" t="str">
        <f ca="1">IFERROR(__xludf.DUMMYFUNCTION("""COMPUTED_VALUE"""),"This will be hard to do, but if it is the right company I would try")</f>
        <v>This will be hard to do, but if it is the right company I would try</v>
      </c>
      <c r="H1568" s="1" t="str">
        <f ca="1">IFERROR(__xludf.DUMMYFUNCTION("""COMPUTED_VALUE"""),"No")</f>
        <v>No</v>
      </c>
      <c r="I1568" s="1" t="str">
        <f ca="1">IFERROR(__xludf.DUMMYFUNCTION("""COMPUTED_VALUE"""),"Will NOT work for them")</f>
        <v>Will NOT work for them</v>
      </c>
      <c r="J1568" s="1">
        <f ca="1">IFERROR(__xludf.DUMMYFUNCTION("""COMPUTED_VALUE"""),6)</f>
        <v>6</v>
      </c>
      <c r="K1568" s="1" t="str">
        <f ca="1">IFERROR(__xludf.DUMMYFUNCTION("""COMPUTED_VALUE"""),"Every Day Office Environment")</f>
        <v>Every Day Office Environment</v>
      </c>
      <c r="L1568" s="1" t="str">
        <f ca="1">IFERROR(__xludf.DUMMYFUNCTION("""COMPUTED_VALUE"""),"Employer who pushes your limits by enabling an learning environment, and rewards you at the end")</f>
        <v>Employer who pushes your limits by enabling an learning environment, and rewards you at the end</v>
      </c>
      <c r="M15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568" s="1" t="str">
        <f ca="1">IFERROR(__xludf.DUMMYFUNCTION("""COMPUTED_VALUE"""),"Manager who clearly describes what she/he needs")</f>
        <v>Manager who clearly describes what she/he needs</v>
      </c>
      <c r="P1568" s="1" t="str">
        <f ca="1">IFERROR(__xludf.DUMMYFUNCTION("""COMPUTED_VALUE"""),"Work with 7 to 10 or more people in my team")</f>
        <v>Work with 7 to 10 or more people in my team</v>
      </c>
      <c r="Q1568" s="1"/>
    </row>
    <row r="1569" spans="1:17" ht="13.2" x14ac:dyDescent="0.25">
      <c r="A1569" s="2">
        <f ca="1">IFERROR(__xludf.DUMMYFUNCTION("""COMPUTED_VALUE"""),45045.8545929745)</f>
        <v>45045.854592974501</v>
      </c>
      <c r="B1569" s="1" t="str">
        <f ca="1">IFERROR(__xludf.DUMMYFUNCTION("""COMPUTED_VALUE"""),"India")</f>
        <v>India</v>
      </c>
      <c r="C1569" s="1">
        <f ca="1">IFERROR(__xludf.DUMMYFUNCTION("""COMPUTED_VALUE"""),500057)</f>
        <v>500057</v>
      </c>
      <c r="D1569" s="3" t="str">
        <f ca="1">IFERROR(__xludf.DUMMYFUNCTION("""COMPUTED_VALUE"""),"Female")</f>
        <v>Female</v>
      </c>
      <c r="E1569" s="1" t="str">
        <f ca="1">IFERROR(__xludf.DUMMYFUNCTION("""COMPUTED_VALUE"""),"My Parents")</f>
        <v>My Parents</v>
      </c>
      <c r="F1569" s="1" t="str">
        <f ca="1">IFERROR(__xludf.DUMMYFUNCTION("""COMPUTED_VALUE"""),"No, But if someone could bare the cost I will")</f>
        <v>No, But if someone could bare the cost I will</v>
      </c>
      <c r="G1569" s="1" t="str">
        <f ca="1">IFERROR(__xludf.DUMMYFUNCTION("""COMPUTED_VALUE"""),"This will be hard to do, but if it is the right company I would try")</f>
        <v>This will be hard to do, but if it is the right company I would try</v>
      </c>
      <c r="H1569" s="1" t="str">
        <f ca="1">IFERROR(__xludf.DUMMYFUNCTION("""COMPUTED_VALUE"""),"No")</f>
        <v>No</v>
      </c>
      <c r="I1569" s="1" t="str">
        <f ca="1">IFERROR(__xludf.DUMMYFUNCTION("""COMPUTED_VALUE"""),"Will NOT work for them")</f>
        <v>Will NOT work for them</v>
      </c>
      <c r="J1569" s="1">
        <f ca="1">IFERROR(__xludf.DUMMYFUNCTION("""COMPUTED_VALUE"""),10)</f>
        <v>10</v>
      </c>
      <c r="K1569" s="1" t="str">
        <f ca="1">IFERROR(__xludf.DUMMYFUNCTION("""COMPUTED_VALUE"""),"Every Day Office Environment")</f>
        <v>Every Day Office Environment</v>
      </c>
      <c r="L1569" s="1" t="str">
        <f ca="1">IFERROR(__xludf.DUMMYFUNCTION("""COMPUTED_VALUE"""),"Employer who rewards learning and enables that environment")</f>
        <v>Employer who rewards learning and enables that environment</v>
      </c>
      <c r="M15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6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69" s="1" t="str">
        <f ca="1">IFERROR(__xludf.DUMMYFUNCTION("""COMPUTED_VALUE"""),"Manager who explains what is expected, sets a goal and helps achieve it")</f>
        <v>Manager who explains what is expected, sets a goal and helps achieve it</v>
      </c>
      <c r="P1569" s="1" t="str">
        <f ca="1">IFERROR(__xludf.DUMMYFUNCTION("""COMPUTED_VALUE"""),"Work alone")</f>
        <v>Work alone</v>
      </c>
      <c r="Q1569" s="1"/>
    </row>
    <row r="1570" spans="1:17" ht="13.2" x14ac:dyDescent="0.25">
      <c r="A1570" s="2">
        <f ca="1">IFERROR(__xludf.DUMMYFUNCTION("""COMPUTED_VALUE"""),45045.8546041898)</f>
        <v>45045.854604189801</v>
      </c>
      <c r="B1570" s="1" t="str">
        <f ca="1">IFERROR(__xludf.DUMMYFUNCTION("""COMPUTED_VALUE"""),"India")</f>
        <v>India</v>
      </c>
      <c r="C1570" s="1">
        <f ca="1">IFERROR(__xludf.DUMMYFUNCTION("""COMPUTED_VALUE"""),500083)</f>
        <v>500083</v>
      </c>
      <c r="D1570" s="3" t="str">
        <f ca="1">IFERROR(__xludf.DUMMYFUNCTION("""COMPUTED_VALUE"""),"Male")</f>
        <v>Male</v>
      </c>
      <c r="E1570" s="1" t="str">
        <f ca="1">IFERROR(__xludf.DUMMYFUNCTION("""COMPUTED_VALUE"""),"Influencers who had successful careers")</f>
        <v>Influencers who had successful careers</v>
      </c>
      <c r="F1570" s="1" t="str">
        <f ca="1">IFERROR(__xludf.DUMMYFUNCTION("""COMPUTED_VALUE"""),"No, But if someone could bare the cost I will")</f>
        <v>No, But if someone could bare the cost I will</v>
      </c>
      <c r="G1570" s="1" t="str">
        <f ca="1">IFERROR(__xludf.DUMMYFUNCTION("""COMPUTED_VALUE"""),"This will be hard to do, but if it is the right company I would try")</f>
        <v>This will be hard to do, but if it is the right company I would try</v>
      </c>
      <c r="H1570" s="1" t="str">
        <f ca="1">IFERROR(__xludf.DUMMYFUNCTION("""COMPUTED_VALUE"""),"No")</f>
        <v>No</v>
      </c>
      <c r="I1570" s="1" t="str">
        <f ca="1">IFERROR(__xludf.DUMMYFUNCTION("""COMPUTED_VALUE"""),"Will work for them")</f>
        <v>Will work for them</v>
      </c>
      <c r="J1570" s="1">
        <f ca="1">IFERROR(__xludf.DUMMYFUNCTION("""COMPUTED_VALUE"""),10)</f>
        <v>10</v>
      </c>
      <c r="K1570" s="1" t="str">
        <f ca="1">IFERROR(__xludf.DUMMYFUNCTION("""COMPUTED_VALUE"""),"Hybrid Working Environment with more than 15 days a month at office")</f>
        <v>Hybrid Working Environment with more than 15 days a month at office</v>
      </c>
      <c r="L1570" s="1" t="str">
        <f ca="1">IFERROR(__xludf.DUMMYFUNCTION("""COMPUTED_VALUE"""),"Employer who rewards learning and enables that environment")</f>
        <v>Employer who rewards learning and enables that environment</v>
      </c>
      <c r="M15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0"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570" s="1" t="str">
        <f ca="1">IFERROR(__xludf.DUMMYFUNCTION("""COMPUTED_VALUE"""),"Manager who explains what is expected, sets a goal and helps achieve it")</f>
        <v>Manager who explains what is expected, sets a goal and helps achieve it</v>
      </c>
      <c r="P1570" s="1" t="str">
        <f ca="1">IFERROR(__xludf.DUMMYFUNCTION("""COMPUTED_VALUE"""),"Work with 2 to 3 people in my team, Work with 5 to 6 people in my team")</f>
        <v>Work with 2 to 3 people in my team, Work with 5 to 6 people in my team</v>
      </c>
      <c r="Q1570" s="1"/>
    </row>
    <row r="1571" spans="1:17" ht="13.2" x14ac:dyDescent="0.25">
      <c r="A1571" s="2">
        <f ca="1">IFERROR(__xludf.DUMMYFUNCTION("""COMPUTED_VALUE"""),45045.8565572453)</f>
        <v>45045.856557245301</v>
      </c>
      <c r="B1571" s="1" t="str">
        <f ca="1">IFERROR(__xludf.DUMMYFUNCTION("""COMPUTED_VALUE"""),"India")</f>
        <v>India</v>
      </c>
      <c r="C1571" s="1">
        <f ca="1">IFERROR(__xludf.DUMMYFUNCTION("""COMPUTED_VALUE"""),411028)</f>
        <v>411028</v>
      </c>
      <c r="D1571" s="3" t="str">
        <f ca="1">IFERROR(__xludf.DUMMYFUNCTION("""COMPUTED_VALUE"""),"Male")</f>
        <v>Male</v>
      </c>
      <c r="E1571" s="1" t="str">
        <f ca="1">IFERROR(__xludf.DUMMYFUNCTION("""COMPUTED_VALUE"""),"People who have changed the world for better")</f>
        <v>People who have changed the world for better</v>
      </c>
      <c r="F1571" s="1" t="str">
        <f ca="1">IFERROR(__xludf.DUMMYFUNCTION("""COMPUTED_VALUE"""),"No I would not be pursuing Higher Education outside of India")</f>
        <v>No I would not be pursuing Higher Education outside of India</v>
      </c>
      <c r="G1571" s="1" t="str">
        <f ca="1">IFERROR(__xludf.DUMMYFUNCTION("""COMPUTED_VALUE"""),"This will be hard to do, but if it is the right company I would try")</f>
        <v>This will be hard to do, but if it is the right company I would try</v>
      </c>
      <c r="H1571" s="1" t="str">
        <f ca="1">IFERROR(__xludf.DUMMYFUNCTION("""COMPUTED_VALUE"""),"No")</f>
        <v>No</v>
      </c>
      <c r="I1571" s="1" t="str">
        <f ca="1">IFERROR(__xludf.DUMMYFUNCTION("""COMPUTED_VALUE"""),"Will NOT work for them")</f>
        <v>Will NOT work for them</v>
      </c>
      <c r="J1571" s="1">
        <f ca="1">IFERROR(__xludf.DUMMYFUNCTION("""COMPUTED_VALUE"""),5)</f>
        <v>5</v>
      </c>
      <c r="K1571" s="1" t="str">
        <f ca="1">IFERROR(__xludf.DUMMYFUNCTION("""COMPUTED_VALUE"""),"Hybrid Working Environment with more than 15 days a month at office")</f>
        <v>Hybrid Working Environment with more than 15 days a month at office</v>
      </c>
      <c r="L1571" s="1" t="str">
        <f ca="1">IFERROR(__xludf.DUMMYFUNCTION("""COMPUTED_VALUE"""),"Employer who pushes your limits by enabling an learning environment, and rewards you at the end")</f>
        <v>Employer who pushes your limits by enabling an learning environment, and rewards you at the end</v>
      </c>
      <c r="M1571" s="1" t="str">
        <f ca="1">IFERROR(__xludf.DUMMYFUNCTION("""COMPUTED_VALUE"""),"Instructor or Expert Learning Programs, Learning by observing others, Manager Teaching you")</f>
        <v>Instructor or Expert Learning Programs, Learning by observing others, Manager Teaching you</v>
      </c>
      <c r="N1571"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571" s="1" t="str">
        <f ca="1">IFERROR(__xludf.DUMMYFUNCTION("""COMPUTED_VALUE"""),"Manager who explains what is expected, sets a goal and helps achieve it")</f>
        <v>Manager who explains what is expected, sets a goal and helps achieve it</v>
      </c>
      <c r="P1571" s="1" t="str">
        <f ca="1">IFERROR(__xludf.DUMMYFUNCTION("""COMPUTED_VALUE"""),"Work with 5 to 6 people in my team, Work with 7 to 10 or more people in my team")</f>
        <v>Work with 5 to 6 people in my team, Work with 7 to 10 or more people in my team</v>
      </c>
      <c r="Q1571" s="1"/>
    </row>
    <row r="1572" spans="1:17" ht="13.2" x14ac:dyDescent="0.25">
      <c r="A1572" s="2">
        <f ca="1">IFERROR(__xludf.DUMMYFUNCTION("""COMPUTED_VALUE"""),45045.8589259838)</f>
        <v>45045.858925983797</v>
      </c>
      <c r="B1572" s="1" t="str">
        <f ca="1">IFERROR(__xludf.DUMMYFUNCTION("""COMPUTED_VALUE"""),"India")</f>
        <v>India</v>
      </c>
      <c r="C1572" s="1">
        <f ca="1">IFERROR(__xludf.DUMMYFUNCTION("""COMPUTED_VALUE"""),533005)</f>
        <v>533005</v>
      </c>
      <c r="D1572" s="3" t="str">
        <f ca="1">IFERROR(__xludf.DUMMYFUNCTION("""COMPUTED_VALUE"""),"Male")</f>
        <v>Male</v>
      </c>
      <c r="E1572" s="1" t="str">
        <f ca="1">IFERROR(__xludf.DUMMYFUNCTION("""COMPUTED_VALUE"""),"People from my circle, but not family members")</f>
        <v>People from my circle, but not family members</v>
      </c>
      <c r="F1572" s="1" t="str">
        <f ca="1">IFERROR(__xludf.DUMMYFUNCTION("""COMPUTED_VALUE"""),"No, But if someone could bare the cost I will")</f>
        <v>No, But if someone could bare the cost I will</v>
      </c>
      <c r="G1572" s="1" t="str">
        <f ca="1">IFERROR(__xludf.DUMMYFUNCTION("""COMPUTED_VALUE"""),"This will be hard to do, but if it is the right company I would try")</f>
        <v>This will be hard to do, but if it is the right company I would try</v>
      </c>
      <c r="H1572" s="1" t="str">
        <f ca="1">IFERROR(__xludf.DUMMYFUNCTION("""COMPUTED_VALUE"""),"Yes")</f>
        <v>Yes</v>
      </c>
      <c r="I1572" s="1" t="str">
        <f ca="1">IFERROR(__xludf.DUMMYFUNCTION("""COMPUTED_VALUE"""),"Will NOT work for them")</f>
        <v>Will NOT work for them</v>
      </c>
      <c r="J1572" s="1">
        <f ca="1">IFERROR(__xludf.DUMMYFUNCTION("""COMPUTED_VALUE"""),4)</f>
        <v>4</v>
      </c>
      <c r="K1572" s="1" t="str">
        <f ca="1">IFERROR(__xludf.DUMMYFUNCTION("""COMPUTED_VALUE"""),"Hybrid Working Environment with more than 15 days a month at office")</f>
        <v>Hybrid Working Environment with more than 15 days a month at office</v>
      </c>
      <c r="L1572" s="1" t="str">
        <f ca="1">IFERROR(__xludf.DUMMYFUNCTION("""COMPUTED_VALUE"""),"Employer who pushes your limits by enabling an learning environment, and rewards you at the end")</f>
        <v>Employer who pushes your limits by enabling an learning environment, and rewards you at the end</v>
      </c>
      <c r="M157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7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572" s="1" t="str">
        <f ca="1">IFERROR(__xludf.DUMMYFUNCTION("""COMPUTED_VALUE"""),"Manager who explains what is expected, sets a goal and helps achieve it")</f>
        <v>Manager who explains what is expected, sets a goal and helps achieve it</v>
      </c>
      <c r="P1572" s="1" t="str">
        <f ca="1">IFERROR(__xludf.DUMMYFUNCTION("""COMPUTED_VALUE"""),"Work alone, Work with 2 to 3 people in my team")</f>
        <v>Work alone, Work with 2 to 3 people in my team</v>
      </c>
      <c r="Q1572" s="1"/>
    </row>
    <row r="1573" spans="1:17" ht="13.2" x14ac:dyDescent="0.25">
      <c r="A1573" s="2">
        <f ca="1">IFERROR(__xludf.DUMMYFUNCTION("""COMPUTED_VALUE"""),45045.8607478587)</f>
        <v>45045.8607478587</v>
      </c>
      <c r="B1573" s="1" t="str">
        <f ca="1">IFERROR(__xludf.DUMMYFUNCTION("""COMPUTED_VALUE"""),"India")</f>
        <v>India</v>
      </c>
      <c r="C1573" s="1">
        <f ca="1">IFERROR(__xludf.DUMMYFUNCTION("""COMPUTED_VALUE"""),505001)</f>
        <v>505001</v>
      </c>
      <c r="D1573" s="3" t="str">
        <f ca="1">IFERROR(__xludf.DUMMYFUNCTION("""COMPUTED_VALUE"""),"Female")</f>
        <v>Female</v>
      </c>
      <c r="E1573" s="1" t="str">
        <f ca="1">IFERROR(__xludf.DUMMYFUNCTION("""COMPUTED_VALUE"""),"My Parents")</f>
        <v>My Parents</v>
      </c>
      <c r="F1573" s="1" t="str">
        <f ca="1">IFERROR(__xludf.DUMMYFUNCTION("""COMPUTED_VALUE"""),"No I would not be pursuing Higher Education outside of India")</f>
        <v>No I would not be pursuing Higher Education outside of India</v>
      </c>
      <c r="G1573" s="1" t="str">
        <f ca="1">IFERROR(__xludf.DUMMYFUNCTION("""COMPUTED_VALUE"""),"This will be hard to do, but if it is the right company I would try")</f>
        <v>This will be hard to do, but if it is the right company I would try</v>
      </c>
      <c r="H1573" s="1" t="str">
        <f ca="1">IFERROR(__xludf.DUMMYFUNCTION("""COMPUTED_VALUE"""),"No")</f>
        <v>No</v>
      </c>
      <c r="I1573" s="1" t="str">
        <f ca="1">IFERROR(__xludf.DUMMYFUNCTION("""COMPUTED_VALUE"""),"Will NOT work for them")</f>
        <v>Will NOT work for them</v>
      </c>
      <c r="J1573" s="1">
        <f ca="1">IFERROR(__xludf.DUMMYFUNCTION("""COMPUTED_VALUE"""),1)</f>
        <v>1</v>
      </c>
      <c r="K1573" s="1" t="str">
        <f ca="1">IFERROR(__xludf.DUMMYFUNCTION("""COMPUTED_VALUE"""),"Fully Remote with No option to visit offices")</f>
        <v>Fully Remote with No option to visit offices</v>
      </c>
      <c r="L1573" s="1" t="str">
        <f ca="1">IFERROR(__xludf.DUMMYFUNCTION("""COMPUTED_VALUE"""),"Employer who appreciates learning and enables that environment")</f>
        <v>Employer who appreciates learning and enables that environment</v>
      </c>
      <c r="M157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73" s="1" t="str">
        <f ca="1">IFERROR(__xludf.DUMMYFUNCTION("""COMPUTED_VALUE"""),"Manager who explains what is expected, sets a goal and helps achieve it")</f>
        <v>Manager who explains what is expected, sets a goal and helps achieve it</v>
      </c>
      <c r="P1573" s="1" t="str">
        <f ca="1">IFERROR(__xludf.DUMMYFUNCTION("""COMPUTED_VALUE"""),"Work with 5 to 6 people in my team")</f>
        <v>Work with 5 to 6 people in my team</v>
      </c>
      <c r="Q1573" s="1"/>
    </row>
    <row r="1574" spans="1:17" ht="13.2" x14ac:dyDescent="0.25">
      <c r="A1574" s="2">
        <f ca="1">IFERROR(__xludf.DUMMYFUNCTION("""COMPUTED_VALUE"""),45045.8635213541)</f>
        <v>45045.863521354098</v>
      </c>
      <c r="B1574" s="1" t="str">
        <f ca="1">IFERROR(__xludf.DUMMYFUNCTION("""COMPUTED_VALUE"""),"India")</f>
        <v>India</v>
      </c>
      <c r="C1574" s="1">
        <f ca="1">IFERROR(__xludf.DUMMYFUNCTION("""COMPUTED_VALUE"""),500029)</f>
        <v>500029</v>
      </c>
      <c r="D1574" s="3" t="str">
        <f ca="1">IFERROR(__xludf.DUMMYFUNCTION("""COMPUTED_VALUE"""),"Male")</f>
        <v>Male</v>
      </c>
      <c r="E1574" s="1" t="str">
        <f ca="1">IFERROR(__xludf.DUMMYFUNCTION("""COMPUTED_VALUE"""),"My Parents")</f>
        <v>My Parents</v>
      </c>
      <c r="F1574" s="1" t="str">
        <f ca="1">IFERROR(__xludf.DUMMYFUNCTION("""COMPUTED_VALUE"""),"Yes, I will earn and do that")</f>
        <v>Yes, I will earn and do that</v>
      </c>
      <c r="G1574" s="1" t="str">
        <f ca="1">IFERROR(__xludf.DUMMYFUNCTION("""COMPUTED_VALUE"""),"Will work for 3 years or more")</f>
        <v>Will work for 3 years or more</v>
      </c>
      <c r="H1574" s="1" t="str">
        <f ca="1">IFERROR(__xludf.DUMMYFUNCTION("""COMPUTED_VALUE"""),"Yes")</f>
        <v>Yes</v>
      </c>
      <c r="I1574" s="1" t="str">
        <f ca="1">IFERROR(__xludf.DUMMYFUNCTION("""COMPUTED_VALUE"""),"Will NOT work for them")</f>
        <v>Will NOT work for them</v>
      </c>
      <c r="J1574" s="1">
        <f ca="1">IFERROR(__xludf.DUMMYFUNCTION("""COMPUTED_VALUE"""),7)</f>
        <v>7</v>
      </c>
      <c r="K1574" s="1" t="str">
        <f ca="1">IFERROR(__xludf.DUMMYFUNCTION("""COMPUTED_VALUE"""),"Hybrid Working Environment with more than 15 days a month at office")</f>
        <v>Hybrid Working Environment with more than 15 days a month at office</v>
      </c>
      <c r="L1574" s="1" t="str">
        <f ca="1">IFERROR(__xludf.DUMMYFUNCTION("""COMPUTED_VALUE"""),"Employer who pushes your limits by enabling an learning environment, and rewards you at the end")</f>
        <v>Employer who pushes your limits by enabling an learning environment, and rewards you at the end</v>
      </c>
      <c r="M157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7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4" s="1" t="str">
        <f ca="1">IFERROR(__xludf.DUMMYFUNCTION("""COMPUTED_VALUE"""),"Manager who sets goal and helps me achieve it")</f>
        <v>Manager who sets goal and helps me achieve it</v>
      </c>
      <c r="P1574" s="1" t="str">
        <f ca="1">IFERROR(__xludf.DUMMYFUNCTION("""COMPUTED_VALUE"""),"Work with 5 to 6 people in my team")</f>
        <v>Work with 5 to 6 people in my team</v>
      </c>
      <c r="Q1574" s="1"/>
    </row>
    <row r="1575" spans="1:17" ht="13.2" x14ac:dyDescent="0.25">
      <c r="A1575" s="2">
        <f ca="1">IFERROR(__xludf.DUMMYFUNCTION("""COMPUTED_VALUE"""),45045.8649970833)</f>
        <v>45045.864997083299</v>
      </c>
      <c r="B1575" s="1" t="str">
        <f ca="1">IFERROR(__xludf.DUMMYFUNCTION("""COMPUTED_VALUE"""),"India")</f>
        <v>India</v>
      </c>
      <c r="C1575" s="1">
        <f ca="1">IFERROR(__xludf.DUMMYFUNCTION("""COMPUTED_VALUE"""),500094)</f>
        <v>500094</v>
      </c>
      <c r="D1575" s="3" t="str">
        <f ca="1">IFERROR(__xludf.DUMMYFUNCTION("""COMPUTED_VALUE"""),"Female")</f>
        <v>Female</v>
      </c>
      <c r="E1575" s="1" t="str">
        <f ca="1">IFERROR(__xludf.DUMMYFUNCTION("""COMPUTED_VALUE"""),"My Parents")</f>
        <v>My Parents</v>
      </c>
      <c r="F1575" s="1" t="str">
        <f ca="1">IFERROR(__xludf.DUMMYFUNCTION("""COMPUTED_VALUE"""),"Yes, I will earn and do that")</f>
        <v>Yes, I will earn and do that</v>
      </c>
      <c r="G1575" s="1" t="str">
        <f ca="1">IFERROR(__xludf.DUMMYFUNCTION("""COMPUTED_VALUE"""),"This will be hard to do, but if it is the right company I would try")</f>
        <v>This will be hard to do, but if it is the right company I would try</v>
      </c>
      <c r="H1575" s="1" t="str">
        <f ca="1">IFERROR(__xludf.DUMMYFUNCTION("""COMPUTED_VALUE"""),"No")</f>
        <v>No</v>
      </c>
      <c r="I1575" s="1" t="str">
        <f ca="1">IFERROR(__xludf.DUMMYFUNCTION("""COMPUTED_VALUE"""),"Will work for them")</f>
        <v>Will work for them</v>
      </c>
      <c r="J1575" s="1">
        <f ca="1">IFERROR(__xludf.DUMMYFUNCTION("""COMPUTED_VALUE"""),3)</f>
        <v>3</v>
      </c>
      <c r="K1575" s="1" t="str">
        <f ca="1">IFERROR(__xludf.DUMMYFUNCTION("""COMPUTED_VALUE"""),"Fully Remote with Options to travel as and when needed")</f>
        <v>Fully Remote with Options to travel as and when needed</v>
      </c>
      <c r="L1575" s="1" t="str">
        <f ca="1">IFERROR(__xludf.DUMMYFUNCTION("""COMPUTED_VALUE"""),"Employer who pushes your limits by enabling an learning environment, and rewards you at the end")</f>
        <v>Employer who pushes your limits by enabling an learning environment, and rewards you at the end</v>
      </c>
      <c r="M1575" s="1" t="str">
        <f ca="1">IFERROR(__xludf.DUMMYFUNCTION("""COMPUTED_VALUE"""),"Instructor or Expert Learning Programs, Learning by observing others, Manager Teaching you")</f>
        <v>Instructor or Expert Learning Programs, Learning by observing others, Manager Teaching you</v>
      </c>
      <c r="N1575"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75" s="1" t="str">
        <f ca="1">IFERROR(__xludf.DUMMYFUNCTION("""COMPUTED_VALUE"""),"Manager who sets goal and helps me achieve it")</f>
        <v>Manager who sets goal and helps me achieve it</v>
      </c>
      <c r="P1575" s="1" t="str">
        <f ca="1">IFERROR(__xludf.DUMMYFUNCTION("""COMPUTED_VALUE"""),"Work with 2 to 3 people in my team")</f>
        <v>Work with 2 to 3 people in my team</v>
      </c>
      <c r="Q1575" s="1"/>
    </row>
    <row r="1576" spans="1:17" ht="13.2" x14ac:dyDescent="0.25">
      <c r="A1576" s="2">
        <f ca="1">IFERROR(__xludf.DUMMYFUNCTION("""COMPUTED_VALUE"""),45045.8698424537)</f>
        <v>45045.8698424537</v>
      </c>
      <c r="B1576" s="1" t="str">
        <f ca="1">IFERROR(__xludf.DUMMYFUNCTION("""COMPUTED_VALUE"""),"India")</f>
        <v>India</v>
      </c>
      <c r="C1576" s="1">
        <f ca="1">IFERROR(__xludf.DUMMYFUNCTION("""COMPUTED_VALUE"""),522501)</f>
        <v>522501</v>
      </c>
      <c r="D1576" s="3" t="str">
        <f ca="1">IFERROR(__xludf.DUMMYFUNCTION("""COMPUTED_VALUE"""),"Female")</f>
        <v>Female</v>
      </c>
      <c r="E1576" s="1" t="str">
        <f ca="1">IFERROR(__xludf.DUMMYFUNCTION("""COMPUTED_VALUE"""),"People who have changed the world for better")</f>
        <v>People who have changed the world for better</v>
      </c>
      <c r="F1576" s="1" t="str">
        <f ca="1">IFERROR(__xludf.DUMMYFUNCTION("""COMPUTED_VALUE"""),"No I would not be pursuing Higher Education outside of India")</f>
        <v>No I would not be pursuing Higher Education outside of India</v>
      </c>
      <c r="G1576" s="1" t="str">
        <f ca="1">IFERROR(__xludf.DUMMYFUNCTION("""COMPUTED_VALUE"""),"This will be hard to do, but if it is the right company I would try")</f>
        <v>This will be hard to do, but if it is the right company I would try</v>
      </c>
      <c r="H1576" s="1" t="str">
        <f ca="1">IFERROR(__xludf.DUMMYFUNCTION("""COMPUTED_VALUE"""),"No")</f>
        <v>No</v>
      </c>
      <c r="I1576" s="1" t="str">
        <f ca="1">IFERROR(__xludf.DUMMYFUNCTION("""COMPUTED_VALUE"""),"Will NOT work for them")</f>
        <v>Will NOT work for them</v>
      </c>
      <c r="J1576" s="1">
        <f ca="1">IFERROR(__xludf.DUMMYFUNCTION("""COMPUTED_VALUE"""),5)</f>
        <v>5</v>
      </c>
      <c r="K1576" s="1" t="str">
        <f ca="1">IFERROR(__xludf.DUMMYFUNCTION("""COMPUTED_VALUE"""),"Fully Remote with No option to visit offices")</f>
        <v>Fully Remote with No option to visit offices</v>
      </c>
      <c r="L1576" s="1" t="str">
        <f ca="1">IFERROR(__xludf.DUMMYFUNCTION("""COMPUTED_VALUE"""),"Employer who pushes your limits by enabling an learning environment, and rewards you at the end")</f>
        <v>Employer who pushes your limits by enabling an learning environment, and rewards you at the end</v>
      </c>
      <c r="M15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6" s="1" t="str">
        <f ca="1">IFERROR(__xludf.DUMMYFUNCTION("""COMPUTED_VALUE"""),"Teaching in any of the institutes/colleges/online or offline, Design and Develop amazing software, Entrepreneur or Start Up, An Artificial Intelligence Specialist / Talking to Robots")</f>
        <v>Teaching in any of the institutes/colleges/online or offline, Design and Develop amazing software, Entrepreneur or Start Up, An Artificial Intelligence Specialist / Talking to Robots</v>
      </c>
      <c r="O1576" s="1" t="str">
        <f ca="1">IFERROR(__xludf.DUMMYFUNCTION("""COMPUTED_VALUE"""),"Manager who clearly describes what she/he needs")</f>
        <v>Manager who clearly describes what she/he needs</v>
      </c>
      <c r="P1576" s="1" t="str">
        <f ca="1">IFERROR(__xludf.DUMMYFUNCTION("""COMPUTED_VALUE"""),"Work with 5 to 6 people in my team")</f>
        <v>Work with 5 to 6 people in my team</v>
      </c>
      <c r="Q1576" s="1"/>
    </row>
    <row r="1577" spans="1:17" ht="13.2" x14ac:dyDescent="0.25">
      <c r="A1577" s="2">
        <f ca="1">IFERROR(__xludf.DUMMYFUNCTION("""COMPUTED_VALUE"""),45045.8734557291)</f>
        <v>45045.873455729103</v>
      </c>
      <c r="B1577" s="1" t="str">
        <f ca="1">IFERROR(__xludf.DUMMYFUNCTION("""COMPUTED_VALUE"""),"India")</f>
        <v>India</v>
      </c>
      <c r="C1577" s="1">
        <f ca="1">IFERROR(__xludf.DUMMYFUNCTION("""COMPUTED_VALUE"""),125111)</f>
        <v>125111</v>
      </c>
      <c r="D1577" s="3" t="str">
        <f ca="1">IFERROR(__xludf.DUMMYFUNCTION("""COMPUTED_VALUE"""),"Female")</f>
        <v>Female</v>
      </c>
      <c r="E1577" s="1" t="str">
        <f ca="1">IFERROR(__xludf.DUMMYFUNCTION("""COMPUTED_VALUE"""),"My Parents")</f>
        <v>My Parents</v>
      </c>
      <c r="F1577" s="1" t="str">
        <f ca="1">IFERROR(__xludf.DUMMYFUNCTION("""COMPUTED_VALUE"""),"Yes, I will earn and do that")</f>
        <v>Yes, I will earn and do that</v>
      </c>
      <c r="G1577" s="1" t="str">
        <f ca="1">IFERROR(__xludf.DUMMYFUNCTION("""COMPUTED_VALUE"""),"Will work for 3 years or more")</f>
        <v>Will work for 3 years or more</v>
      </c>
      <c r="H1577" s="1" t="str">
        <f ca="1">IFERROR(__xludf.DUMMYFUNCTION("""COMPUTED_VALUE"""),"Yes")</f>
        <v>Yes</v>
      </c>
      <c r="I1577" s="1" t="str">
        <f ca="1">IFERROR(__xludf.DUMMYFUNCTION("""COMPUTED_VALUE"""),"Will work for them")</f>
        <v>Will work for them</v>
      </c>
      <c r="J1577" s="1">
        <f ca="1">IFERROR(__xludf.DUMMYFUNCTION("""COMPUTED_VALUE"""),6)</f>
        <v>6</v>
      </c>
      <c r="K1577" s="1" t="str">
        <f ca="1">IFERROR(__xludf.DUMMYFUNCTION("""COMPUTED_VALUE"""),"Fully Remote with No option to visit offices")</f>
        <v>Fully Remote with No option to visit offices</v>
      </c>
      <c r="L1577" s="1" t="str">
        <f ca="1">IFERROR(__xludf.DUMMYFUNCTION("""COMPUTED_VALUE"""),"Employer who pushes your limits by enabling an learning environment, and rewards you at the end")</f>
        <v>Employer who pushes your limits by enabling an learning environment, and rewards you at the end</v>
      </c>
      <c r="M157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77"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77" s="1" t="str">
        <f ca="1">IFERROR(__xludf.DUMMYFUNCTION("""COMPUTED_VALUE"""),"Manager who explains what is expected, sets a goal and helps achieve it")</f>
        <v>Manager who explains what is expected, sets a goal and helps achieve it</v>
      </c>
      <c r="P1577" s="1" t="str">
        <f ca="1">IFERROR(__xludf.DUMMYFUNCTION("""COMPUTED_VALUE"""),"Work alone")</f>
        <v>Work alone</v>
      </c>
      <c r="Q1577" s="1"/>
    </row>
    <row r="1578" spans="1:17" ht="13.2" x14ac:dyDescent="0.25">
      <c r="A1578" s="2">
        <f ca="1">IFERROR(__xludf.DUMMYFUNCTION("""COMPUTED_VALUE"""),45045.8738184027)</f>
        <v>45045.873818402702</v>
      </c>
      <c r="B1578" s="1" t="str">
        <f ca="1">IFERROR(__xludf.DUMMYFUNCTION("""COMPUTED_VALUE"""),"India")</f>
        <v>India</v>
      </c>
      <c r="C1578" s="1">
        <f ca="1">IFERROR(__xludf.DUMMYFUNCTION("""COMPUTED_VALUE"""),505524)</f>
        <v>505524</v>
      </c>
      <c r="D1578" s="3" t="str">
        <f ca="1">IFERROR(__xludf.DUMMYFUNCTION("""COMPUTED_VALUE"""),"Male")</f>
        <v>Male</v>
      </c>
      <c r="E1578" s="1" t="str">
        <f ca="1">IFERROR(__xludf.DUMMYFUNCTION("""COMPUTED_VALUE"""),"People who have changed the world for better")</f>
        <v>People who have changed the world for better</v>
      </c>
      <c r="F1578" s="1" t="str">
        <f ca="1">IFERROR(__xludf.DUMMYFUNCTION("""COMPUTED_VALUE"""),"No I would not be pursuing Higher Education outside of India")</f>
        <v>No I would not be pursuing Higher Education outside of India</v>
      </c>
      <c r="G1578" s="1" t="str">
        <f ca="1">IFERROR(__xludf.DUMMYFUNCTION("""COMPUTED_VALUE"""),"Will work for 3 years or more")</f>
        <v>Will work for 3 years or more</v>
      </c>
      <c r="H1578" s="1" t="str">
        <f ca="1">IFERROR(__xludf.DUMMYFUNCTION("""COMPUTED_VALUE"""),"No")</f>
        <v>No</v>
      </c>
      <c r="I1578" s="1" t="str">
        <f ca="1">IFERROR(__xludf.DUMMYFUNCTION("""COMPUTED_VALUE"""),"Will work for them")</f>
        <v>Will work for them</v>
      </c>
      <c r="J1578" s="1">
        <f ca="1">IFERROR(__xludf.DUMMYFUNCTION("""COMPUTED_VALUE"""),5)</f>
        <v>5</v>
      </c>
      <c r="K1578" s="1" t="str">
        <f ca="1">IFERROR(__xludf.DUMMYFUNCTION("""COMPUTED_VALUE"""),"Hybrid Working Environment with more than 15 days a month at office")</f>
        <v>Hybrid Working Environment with more than 15 days a month at office</v>
      </c>
      <c r="L1578" s="1" t="str">
        <f ca="1">IFERROR(__xludf.DUMMYFUNCTION("""COMPUTED_VALUE"""),"Employer who appreciates learning and enables that environment")</f>
        <v>Employer who appreciates learning and enables that environment</v>
      </c>
      <c r="M157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7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8" s="1" t="str">
        <f ca="1">IFERROR(__xludf.DUMMYFUNCTION("""COMPUTED_VALUE"""),"Manager who explains what is expected, sets a goal and helps achieve it")</f>
        <v>Manager who explains what is expected, sets a goal and helps achieve it</v>
      </c>
      <c r="P1578" s="1" t="str">
        <f ca="1">IFERROR(__xludf.DUMMYFUNCTION("""COMPUTED_VALUE"""),"Work with 5 to 6 people in my team")</f>
        <v>Work with 5 to 6 people in my team</v>
      </c>
      <c r="Q1578" s="1"/>
    </row>
    <row r="1579" spans="1:17" ht="13.2" x14ac:dyDescent="0.25">
      <c r="A1579" s="2">
        <f ca="1">IFERROR(__xludf.DUMMYFUNCTION("""COMPUTED_VALUE"""),45045.8738984606)</f>
        <v>45045.873898460603</v>
      </c>
      <c r="B1579" s="1" t="str">
        <f ca="1">IFERROR(__xludf.DUMMYFUNCTION("""COMPUTED_VALUE"""),"India")</f>
        <v>India</v>
      </c>
      <c r="C1579" s="1">
        <f ca="1">IFERROR(__xludf.DUMMYFUNCTION("""COMPUTED_VALUE"""),500019)</f>
        <v>500019</v>
      </c>
      <c r="D1579" s="3" t="str">
        <f ca="1">IFERROR(__xludf.DUMMYFUNCTION("""COMPUTED_VALUE"""),"Male")</f>
        <v>Male</v>
      </c>
      <c r="E1579" s="1" t="str">
        <f ca="1">IFERROR(__xludf.DUMMYFUNCTION("""COMPUTED_VALUE"""),"People from my circle, but not family members")</f>
        <v>People from my circle, but not family members</v>
      </c>
      <c r="F1579" s="1" t="str">
        <f ca="1">IFERROR(__xludf.DUMMYFUNCTION("""COMPUTED_VALUE"""),"No, But if someone could bare the cost I will")</f>
        <v>No, But if someone could bare the cost I will</v>
      </c>
      <c r="G1579" s="1" t="str">
        <f ca="1">IFERROR(__xludf.DUMMYFUNCTION("""COMPUTED_VALUE"""),"No way")</f>
        <v>No way</v>
      </c>
      <c r="H1579" s="1" t="str">
        <f ca="1">IFERROR(__xludf.DUMMYFUNCTION("""COMPUTED_VALUE"""),"No")</f>
        <v>No</v>
      </c>
      <c r="I1579" s="1" t="str">
        <f ca="1">IFERROR(__xludf.DUMMYFUNCTION("""COMPUTED_VALUE"""),"Will NOT work for them")</f>
        <v>Will NOT work for them</v>
      </c>
      <c r="J1579" s="1">
        <f ca="1">IFERROR(__xludf.DUMMYFUNCTION("""COMPUTED_VALUE"""),8)</f>
        <v>8</v>
      </c>
      <c r="K1579" s="1" t="str">
        <f ca="1">IFERROR(__xludf.DUMMYFUNCTION("""COMPUTED_VALUE"""),"Hybrid Working Environment with less than 3 days a month at office")</f>
        <v>Hybrid Working Environment with less than 3 days a month at office</v>
      </c>
      <c r="L1579" s="1" t="str">
        <f ca="1">IFERROR(__xludf.DUMMYFUNCTION("""COMPUTED_VALUE"""),"Employer who pushes your limits by enabling an learning environment, and rewards you at the end")</f>
        <v>Employer who pushes your limits by enabling an learning environment, and rewards you at the end</v>
      </c>
      <c r="M157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579" s="1" t="str">
        <f ca="1">IFERROR(__xludf.DUMMYFUNCTION("""COMPUTED_VALUE"""),"Manager who sets goal and helps me achieve it")</f>
        <v>Manager who sets goal and helps me achieve it</v>
      </c>
      <c r="P1579" s="1" t="str">
        <f ca="1">IFERROR(__xludf.DUMMYFUNCTION("""COMPUTED_VALUE"""),"Work with 7 to 10 or more people in my team")</f>
        <v>Work with 7 to 10 or more people in my team</v>
      </c>
      <c r="Q1579" s="1"/>
    </row>
    <row r="1580" spans="1:17" ht="13.2" x14ac:dyDescent="0.25">
      <c r="A1580" s="2">
        <f ca="1">IFERROR(__xludf.DUMMYFUNCTION("""COMPUTED_VALUE"""),45045.8750028009)</f>
        <v>45045.875002800902</v>
      </c>
      <c r="B1580" s="1" t="str">
        <f ca="1">IFERROR(__xludf.DUMMYFUNCTION("""COMPUTED_VALUE"""),"India")</f>
        <v>India</v>
      </c>
      <c r="C1580" s="1">
        <f ca="1">IFERROR(__xludf.DUMMYFUNCTION("""COMPUTED_VALUE"""),508101)</f>
        <v>508101</v>
      </c>
      <c r="D1580" s="3" t="str">
        <f ca="1">IFERROR(__xludf.DUMMYFUNCTION("""COMPUTED_VALUE"""),"Female")</f>
        <v>Female</v>
      </c>
      <c r="E1580" s="1" t="str">
        <f ca="1">IFERROR(__xludf.DUMMYFUNCTION("""COMPUTED_VALUE"""),"Influencers who had successful careers")</f>
        <v>Influencers who had successful careers</v>
      </c>
      <c r="F1580" s="1" t="str">
        <f ca="1">IFERROR(__xludf.DUMMYFUNCTION("""COMPUTED_VALUE"""),"Yes, I will earn and do that")</f>
        <v>Yes, I will earn and do that</v>
      </c>
      <c r="G1580" s="1" t="str">
        <f ca="1">IFERROR(__xludf.DUMMYFUNCTION("""COMPUTED_VALUE"""),"This will be hard to do, but if it is the right company I would try")</f>
        <v>This will be hard to do, but if it is the right company I would try</v>
      </c>
      <c r="H1580" s="1" t="str">
        <f ca="1">IFERROR(__xludf.DUMMYFUNCTION("""COMPUTED_VALUE"""),"No")</f>
        <v>No</v>
      </c>
      <c r="I1580" s="1" t="str">
        <f ca="1">IFERROR(__xludf.DUMMYFUNCTION("""COMPUTED_VALUE"""),"Will NOT work for them")</f>
        <v>Will NOT work for them</v>
      </c>
      <c r="J1580" s="1">
        <f ca="1">IFERROR(__xludf.DUMMYFUNCTION("""COMPUTED_VALUE"""),4)</f>
        <v>4</v>
      </c>
      <c r="K1580" s="1" t="str">
        <f ca="1">IFERROR(__xludf.DUMMYFUNCTION("""COMPUTED_VALUE"""),"Hybrid Working Environment with more than 15 days a month at office")</f>
        <v>Hybrid Working Environment with more than 15 days a month at office</v>
      </c>
      <c r="L1580" s="1" t="str">
        <f ca="1">IFERROR(__xludf.DUMMYFUNCTION("""COMPUTED_VALUE"""),"Employer who pushes your limits by enabling an learning environment, and rewards you at the end")</f>
        <v>Employer who pushes your limits by enabling an learning environment, and rewards you at the end</v>
      </c>
      <c r="M158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0"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580" s="1" t="str">
        <f ca="1">IFERROR(__xludf.DUMMYFUNCTION("""COMPUTED_VALUE"""),"Manager who explains what is expected, sets a goal and helps achieve it")</f>
        <v>Manager who explains what is expected, sets a goal and helps achieve it</v>
      </c>
      <c r="P1580" s="1" t="str">
        <f ca="1">IFERROR(__xludf.DUMMYFUNCTION("""COMPUTED_VALUE"""),"Work with 7 to 10 or more people in my team, Work with more than 10 people in my team")</f>
        <v>Work with 7 to 10 or more people in my team, Work with more than 10 people in my team</v>
      </c>
      <c r="Q1580" s="1"/>
    </row>
    <row r="1581" spans="1:17" ht="13.2" x14ac:dyDescent="0.25">
      <c r="A1581" s="2">
        <f ca="1">IFERROR(__xludf.DUMMYFUNCTION("""COMPUTED_VALUE"""),45045.8761457986)</f>
        <v>45045.876145798597</v>
      </c>
      <c r="B1581" s="1" t="str">
        <f ca="1">IFERROR(__xludf.DUMMYFUNCTION("""COMPUTED_VALUE"""),"India")</f>
        <v>India</v>
      </c>
      <c r="C1581" s="1">
        <f ca="1">IFERROR(__xludf.DUMMYFUNCTION("""COMPUTED_VALUE"""),452001)</f>
        <v>452001</v>
      </c>
      <c r="D1581" s="3" t="str">
        <f ca="1">IFERROR(__xludf.DUMMYFUNCTION("""COMPUTED_VALUE"""),"Male")</f>
        <v>Male</v>
      </c>
      <c r="E1581" s="1" t="str">
        <f ca="1">IFERROR(__xludf.DUMMYFUNCTION("""COMPUTED_VALUE"""),"My Parents")</f>
        <v>My Parents</v>
      </c>
      <c r="F1581" s="1" t="str">
        <f ca="1">IFERROR(__xludf.DUMMYFUNCTION("""COMPUTED_VALUE"""),"No I would not be pursuing Higher Education outside of India")</f>
        <v>No I would not be pursuing Higher Education outside of India</v>
      </c>
      <c r="G1581" s="1" t="str">
        <f ca="1">IFERROR(__xludf.DUMMYFUNCTION("""COMPUTED_VALUE"""),"Will work for 3 years or more")</f>
        <v>Will work for 3 years or more</v>
      </c>
      <c r="H1581" s="1" t="str">
        <f ca="1">IFERROR(__xludf.DUMMYFUNCTION("""COMPUTED_VALUE"""),"No")</f>
        <v>No</v>
      </c>
      <c r="I1581" s="1" t="str">
        <f ca="1">IFERROR(__xludf.DUMMYFUNCTION("""COMPUTED_VALUE"""),"Will NOT work for them")</f>
        <v>Will NOT work for them</v>
      </c>
      <c r="J1581" s="1">
        <f ca="1">IFERROR(__xludf.DUMMYFUNCTION("""COMPUTED_VALUE"""),1)</f>
        <v>1</v>
      </c>
      <c r="K1581" s="1" t="str">
        <f ca="1">IFERROR(__xludf.DUMMYFUNCTION("""COMPUTED_VALUE"""),"Hybrid Working Environment with more than 15 days a month at office")</f>
        <v>Hybrid Working Environment with more than 15 days a month at office</v>
      </c>
      <c r="L1581" s="1" t="str">
        <f ca="1">IFERROR(__xludf.DUMMYFUNCTION("""COMPUTED_VALUE"""),"Employer who appreciates learning and enables that environment")</f>
        <v>Employer who appreciates learning and enables that environment</v>
      </c>
      <c r="M15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1"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581" s="1" t="str">
        <f ca="1">IFERROR(__xludf.DUMMYFUNCTION("""COMPUTED_VALUE"""),"Manager who sets targets and expects me to achieve it")</f>
        <v>Manager who sets targets and expects me to achieve it</v>
      </c>
      <c r="P1581" s="1" t="str">
        <f ca="1">IFERROR(__xludf.DUMMYFUNCTION("""COMPUTED_VALUE"""),"Work with 2 to 3 people in my team")</f>
        <v>Work with 2 to 3 people in my team</v>
      </c>
      <c r="Q1581" s="1"/>
    </row>
    <row r="1582" spans="1:17" ht="13.2" x14ac:dyDescent="0.25">
      <c r="A1582" s="2">
        <f ca="1">IFERROR(__xludf.DUMMYFUNCTION("""COMPUTED_VALUE"""),45045.8766770486)</f>
        <v>45045.876677048604</v>
      </c>
      <c r="B1582" s="1" t="str">
        <f ca="1">IFERROR(__xludf.DUMMYFUNCTION("""COMPUTED_VALUE"""),"India")</f>
        <v>India</v>
      </c>
      <c r="C1582" s="1">
        <f ca="1">IFERROR(__xludf.DUMMYFUNCTION("""COMPUTED_VALUE"""),500013)</f>
        <v>500013</v>
      </c>
      <c r="D1582" s="3" t="str">
        <f ca="1">IFERROR(__xludf.DUMMYFUNCTION("""COMPUTED_VALUE"""),"Male")</f>
        <v>Male</v>
      </c>
      <c r="E1582" s="1" t="str">
        <f ca="1">IFERROR(__xludf.DUMMYFUNCTION("""COMPUTED_VALUE"""),"People from my circle, but not family members")</f>
        <v>People from my circle, but not family members</v>
      </c>
      <c r="F1582" s="1" t="str">
        <f ca="1">IFERROR(__xludf.DUMMYFUNCTION("""COMPUTED_VALUE"""),"Yes, I will earn and do that")</f>
        <v>Yes, I will earn and do that</v>
      </c>
      <c r="G1582" s="1" t="str">
        <f ca="1">IFERROR(__xludf.DUMMYFUNCTION("""COMPUTED_VALUE"""),"This will be hard to do, but if it is the right company I would try")</f>
        <v>This will be hard to do, but if it is the right company I would try</v>
      </c>
      <c r="H1582" s="1" t="str">
        <f ca="1">IFERROR(__xludf.DUMMYFUNCTION("""COMPUTED_VALUE"""),"No")</f>
        <v>No</v>
      </c>
      <c r="I1582" s="1" t="str">
        <f ca="1">IFERROR(__xludf.DUMMYFUNCTION("""COMPUTED_VALUE"""),"Will NOT work for them")</f>
        <v>Will NOT work for them</v>
      </c>
      <c r="J1582" s="1">
        <f ca="1">IFERROR(__xludf.DUMMYFUNCTION("""COMPUTED_VALUE"""),7)</f>
        <v>7</v>
      </c>
      <c r="K1582" s="1" t="str">
        <f ca="1">IFERROR(__xludf.DUMMYFUNCTION("""COMPUTED_VALUE"""),"Hybrid Working Environment with more than 15 days a month at office")</f>
        <v>Hybrid Working Environment with more than 15 days a month at office</v>
      </c>
      <c r="L1582" s="1" t="str">
        <f ca="1">IFERROR(__xludf.DUMMYFUNCTION("""COMPUTED_VALUE"""),"Employer who pushes your limits by enabling an learning environment, and rewards you at the end")</f>
        <v>Employer who pushes your limits by enabling an learning environment, and rewards you at the end</v>
      </c>
      <c r="M158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582" s="1" t="str">
        <f ca="1">IFERROR(__xludf.DUMMYFUNCTION("""COMPUTED_VALUE"""),"Design and Develop amazing software, Entrepreneur or Start Up, I Want to sell things/Sales, An Artificial Intelligence Specialist / Talking to Robots")</f>
        <v>Design and Develop amazing software, Entrepreneur or Start Up, I Want to sell things/Sales, An Artificial Intelligence Specialist / Talking to Robots</v>
      </c>
      <c r="O1582" s="1" t="str">
        <f ca="1">IFERROR(__xludf.DUMMYFUNCTION("""COMPUTED_VALUE"""),"Manager who explains what is expected, sets a goal and helps achieve it")</f>
        <v>Manager who explains what is expected, sets a goal and helps achieve it</v>
      </c>
      <c r="P1582" s="1" t="str">
        <f ca="1">IFERROR(__xludf.DUMMYFUNCTION("""COMPUTED_VALUE"""),"Work with 2 to 3 people in my team")</f>
        <v>Work with 2 to 3 people in my team</v>
      </c>
      <c r="Q1582" s="1"/>
    </row>
    <row r="1583" spans="1:17" ht="13.2" x14ac:dyDescent="0.25">
      <c r="A1583" s="2">
        <f ca="1">IFERROR(__xludf.DUMMYFUNCTION("""COMPUTED_VALUE"""),45045.8809333449)</f>
        <v>45045.880933344903</v>
      </c>
      <c r="B1583" s="1" t="str">
        <f ca="1">IFERROR(__xludf.DUMMYFUNCTION("""COMPUTED_VALUE"""),"India")</f>
        <v>India</v>
      </c>
      <c r="C1583" s="1">
        <f ca="1">IFERROR(__xludf.DUMMYFUNCTION("""COMPUTED_VALUE"""),828116)</f>
        <v>828116</v>
      </c>
      <c r="D1583" s="3" t="str">
        <f ca="1">IFERROR(__xludf.DUMMYFUNCTION("""COMPUTED_VALUE"""),"Male")</f>
        <v>Male</v>
      </c>
      <c r="E1583" s="1" t="str">
        <f ca="1">IFERROR(__xludf.DUMMYFUNCTION("""COMPUTED_VALUE"""),"People from my circle, but not family members")</f>
        <v>People from my circle, but not family members</v>
      </c>
      <c r="F1583" s="1" t="str">
        <f ca="1">IFERROR(__xludf.DUMMYFUNCTION("""COMPUTED_VALUE"""),"No, But if someone could bare the cost I will")</f>
        <v>No, But if someone could bare the cost I will</v>
      </c>
      <c r="G1583" s="1" t="str">
        <f ca="1">IFERROR(__xludf.DUMMYFUNCTION("""COMPUTED_VALUE"""),"Will work for 3 years or more")</f>
        <v>Will work for 3 years or more</v>
      </c>
      <c r="H1583" s="1" t="str">
        <f ca="1">IFERROR(__xludf.DUMMYFUNCTION("""COMPUTED_VALUE"""),"Yes")</f>
        <v>Yes</v>
      </c>
      <c r="I1583" s="1" t="str">
        <f ca="1">IFERROR(__xludf.DUMMYFUNCTION("""COMPUTED_VALUE"""),"Will work for them")</f>
        <v>Will work for them</v>
      </c>
      <c r="J1583" s="1">
        <f ca="1">IFERROR(__xludf.DUMMYFUNCTION("""COMPUTED_VALUE"""),10)</f>
        <v>10</v>
      </c>
      <c r="K1583" s="1" t="str">
        <f ca="1">IFERROR(__xludf.DUMMYFUNCTION("""COMPUTED_VALUE"""),"Hybrid Working Environment with more than 15 days a month at office")</f>
        <v>Hybrid Working Environment with more than 15 days a month at office</v>
      </c>
      <c r="L1583" s="1" t="str">
        <f ca="1">IFERROR(__xludf.DUMMYFUNCTION("""COMPUTED_VALUE"""),"Employer who pushes your limits by enabling an learning environment, and rewards you at the end")</f>
        <v>Employer who pushes your limits by enabling an learning environment, and rewards you at the end</v>
      </c>
      <c r="M15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3"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583" s="1" t="str">
        <f ca="1">IFERROR(__xludf.DUMMYFUNCTION("""COMPUTED_VALUE"""),"Manager who explains what is expected, sets a goal and helps achieve it")</f>
        <v>Manager who explains what is expected, sets a goal and helps achieve it</v>
      </c>
      <c r="P1583" s="1" t="str">
        <f ca="1">IFERROR(__xludf.DUMMYFUNCTION("""COMPUTED_VALUE"""),"Work with 2 to 3 people in my team")</f>
        <v>Work with 2 to 3 people in my team</v>
      </c>
      <c r="Q1583" s="1"/>
    </row>
    <row r="1584" spans="1:17" ht="13.2" x14ac:dyDescent="0.25">
      <c r="A1584" s="2">
        <f ca="1">IFERROR(__xludf.DUMMYFUNCTION("""COMPUTED_VALUE"""),45045.8826855555)</f>
        <v>45045.882685555502</v>
      </c>
      <c r="B1584" s="1" t="str">
        <f ca="1">IFERROR(__xludf.DUMMYFUNCTION("""COMPUTED_VALUE"""),"India")</f>
        <v>India</v>
      </c>
      <c r="C1584" s="1">
        <f ca="1">IFERROR(__xludf.DUMMYFUNCTION("""COMPUTED_VALUE"""),500011)</f>
        <v>500011</v>
      </c>
      <c r="D1584" s="3" t="str">
        <f ca="1">IFERROR(__xludf.DUMMYFUNCTION("""COMPUTED_VALUE"""),"Female")</f>
        <v>Female</v>
      </c>
      <c r="E1584" s="1" t="str">
        <f ca="1">IFERROR(__xludf.DUMMYFUNCTION("""COMPUTED_VALUE"""),"My Parents")</f>
        <v>My Parents</v>
      </c>
      <c r="F1584" s="1" t="str">
        <f ca="1">IFERROR(__xludf.DUMMYFUNCTION("""COMPUTED_VALUE"""),"No I would not be pursuing Higher Education outside of India")</f>
        <v>No I would not be pursuing Higher Education outside of India</v>
      </c>
      <c r="G1584" s="1" t="str">
        <f ca="1">IFERROR(__xludf.DUMMYFUNCTION("""COMPUTED_VALUE"""),"This will be hard to do, but if it is the right company I would try")</f>
        <v>This will be hard to do, but if it is the right company I would try</v>
      </c>
      <c r="H1584" s="1" t="str">
        <f ca="1">IFERROR(__xludf.DUMMYFUNCTION("""COMPUTED_VALUE"""),"Yes")</f>
        <v>Yes</v>
      </c>
      <c r="I1584" s="1" t="str">
        <f ca="1">IFERROR(__xludf.DUMMYFUNCTION("""COMPUTED_VALUE"""),"Will work for them")</f>
        <v>Will work for them</v>
      </c>
      <c r="J1584" s="1">
        <f ca="1">IFERROR(__xludf.DUMMYFUNCTION("""COMPUTED_VALUE"""),3)</f>
        <v>3</v>
      </c>
      <c r="K1584" s="1" t="str">
        <f ca="1">IFERROR(__xludf.DUMMYFUNCTION("""COMPUTED_VALUE"""),"Hybrid Working Environment with less than 3 days a month at office")</f>
        <v>Hybrid Working Environment with less than 3 days a month at office</v>
      </c>
      <c r="L1584" s="1" t="str">
        <f ca="1">IFERROR(__xludf.DUMMYFUNCTION("""COMPUTED_VALUE"""),"Employer who appreciates learning and enables that environment")</f>
        <v>Employer who appreciates learning and enables that environment</v>
      </c>
      <c r="M15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584"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584" s="1" t="str">
        <f ca="1">IFERROR(__xludf.DUMMYFUNCTION("""COMPUTED_VALUE"""),"Manager who clearly describes what she/he needs")</f>
        <v>Manager who clearly describes what she/he needs</v>
      </c>
      <c r="P1584" s="1" t="str">
        <f ca="1">IFERROR(__xludf.DUMMYFUNCTION("""COMPUTED_VALUE"""),"Work alone")</f>
        <v>Work alone</v>
      </c>
      <c r="Q1584" s="1"/>
    </row>
    <row r="1585" spans="1:17" ht="13.2" x14ac:dyDescent="0.25">
      <c r="A1585" s="2">
        <f ca="1">IFERROR(__xludf.DUMMYFUNCTION("""COMPUTED_VALUE"""),45045.8827236921)</f>
        <v>45045.882723692099</v>
      </c>
      <c r="B1585" s="1" t="str">
        <f ca="1">IFERROR(__xludf.DUMMYFUNCTION("""COMPUTED_VALUE"""),"Canada")</f>
        <v>Canada</v>
      </c>
      <c r="C1585" s="1" t="str">
        <f ca="1">IFERROR(__xludf.DUMMYFUNCTION("""COMPUTED_VALUE"""),"Xxxxx")</f>
        <v>Xxxxx</v>
      </c>
      <c r="D1585" s="3" t="str">
        <f ca="1">IFERROR(__xludf.DUMMYFUNCTION("""COMPUTED_VALUE"""),"Male")</f>
        <v>Male</v>
      </c>
      <c r="E1585" s="1" t="str">
        <f ca="1">IFERROR(__xludf.DUMMYFUNCTION("""COMPUTED_VALUE"""),"People from my circle, but not family members")</f>
        <v>People from my circle, but not family members</v>
      </c>
      <c r="F1585" s="1" t="str">
        <f ca="1">IFERROR(__xludf.DUMMYFUNCTION("""COMPUTED_VALUE"""),"No, But if someone could bare the cost I will")</f>
        <v>No, But if someone could bare the cost I will</v>
      </c>
      <c r="G1585" s="1" t="str">
        <f ca="1">IFERROR(__xludf.DUMMYFUNCTION("""COMPUTED_VALUE"""),"This will be hard to do, but if it is the right company I would try")</f>
        <v>This will be hard to do, but if it is the right company I would try</v>
      </c>
      <c r="H1585" s="1" t="str">
        <f ca="1">IFERROR(__xludf.DUMMYFUNCTION("""COMPUTED_VALUE"""),"No")</f>
        <v>No</v>
      </c>
      <c r="I1585" s="1" t="str">
        <f ca="1">IFERROR(__xludf.DUMMYFUNCTION("""COMPUTED_VALUE"""),"Will NOT work for them")</f>
        <v>Will NOT work for them</v>
      </c>
      <c r="J1585" s="1">
        <f ca="1">IFERROR(__xludf.DUMMYFUNCTION("""COMPUTED_VALUE"""),5)</f>
        <v>5</v>
      </c>
      <c r="K1585" s="1" t="str">
        <f ca="1">IFERROR(__xludf.DUMMYFUNCTION("""COMPUTED_VALUE"""),"Hybrid Working Environment with more than 15 days a month at office")</f>
        <v>Hybrid Working Environment with more than 15 days a month at office</v>
      </c>
      <c r="L1585" s="1" t="str">
        <f ca="1">IFERROR(__xludf.DUMMYFUNCTION("""COMPUTED_VALUE"""),"Employer who appreciates learning and enables that environment")</f>
        <v>Employer who appreciates learning and enables that environment</v>
      </c>
      <c r="M158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85"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585" s="1" t="str">
        <f ca="1">IFERROR(__xludf.DUMMYFUNCTION("""COMPUTED_VALUE"""),"Manager who explains what is expected, sets a goal and helps achieve it")</f>
        <v>Manager who explains what is expected, sets a goal and helps achieve it</v>
      </c>
      <c r="P1585" s="1" t="str">
        <f ca="1">IFERROR(__xludf.DUMMYFUNCTION("""COMPUTED_VALUE"""),"Work with 5 to 6 people in my team")</f>
        <v>Work with 5 to 6 people in my team</v>
      </c>
      <c r="Q1585" s="1"/>
    </row>
    <row r="1586" spans="1:17" ht="13.2" x14ac:dyDescent="0.25">
      <c r="A1586" s="2">
        <f ca="1">IFERROR(__xludf.DUMMYFUNCTION("""COMPUTED_VALUE"""),45045.8844610648)</f>
        <v>45045.884461064801</v>
      </c>
      <c r="B1586" s="1" t="str">
        <f ca="1">IFERROR(__xludf.DUMMYFUNCTION("""COMPUTED_VALUE"""),"India")</f>
        <v>India</v>
      </c>
      <c r="C1586" s="1">
        <f ca="1">IFERROR(__xludf.DUMMYFUNCTION("""COMPUTED_VALUE"""),500062)</f>
        <v>500062</v>
      </c>
      <c r="D1586" s="3" t="str">
        <f ca="1">IFERROR(__xludf.DUMMYFUNCTION("""COMPUTED_VALUE"""),"Male")</f>
        <v>Male</v>
      </c>
      <c r="E1586" s="1" t="str">
        <f ca="1">IFERROR(__xludf.DUMMYFUNCTION("""COMPUTED_VALUE"""),"People from my circle, but not family members")</f>
        <v>People from my circle, but not family members</v>
      </c>
      <c r="F1586" s="1" t="str">
        <f ca="1">IFERROR(__xludf.DUMMYFUNCTION("""COMPUTED_VALUE"""),"No I would not be pursuing Higher Education outside of India")</f>
        <v>No I would not be pursuing Higher Education outside of India</v>
      </c>
      <c r="G1586" s="1" t="str">
        <f ca="1">IFERROR(__xludf.DUMMYFUNCTION("""COMPUTED_VALUE"""),"This will be hard to do, but if it is the right company I would try")</f>
        <v>This will be hard to do, but if it is the right company I would try</v>
      </c>
      <c r="H1586" s="1" t="str">
        <f ca="1">IFERROR(__xludf.DUMMYFUNCTION("""COMPUTED_VALUE"""),"No")</f>
        <v>No</v>
      </c>
      <c r="I1586" s="1" t="str">
        <f ca="1">IFERROR(__xludf.DUMMYFUNCTION("""COMPUTED_VALUE"""),"Will NOT work for them")</f>
        <v>Will NOT work for them</v>
      </c>
      <c r="J1586" s="1">
        <f ca="1">IFERROR(__xludf.DUMMYFUNCTION("""COMPUTED_VALUE"""),2)</f>
        <v>2</v>
      </c>
      <c r="K1586" s="1" t="str">
        <f ca="1">IFERROR(__xludf.DUMMYFUNCTION("""COMPUTED_VALUE"""),"Hybrid Working Environment with more than 15 days a month at office")</f>
        <v>Hybrid Working Environment with more than 15 days a month at office</v>
      </c>
      <c r="L1586" s="1" t="str">
        <f ca="1">IFERROR(__xludf.DUMMYFUNCTION("""COMPUTED_VALUE"""),"Employer who appreciates learning and enables that environment")</f>
        <v>Employer who appreciates learning and enables that environment</v>
      </c>
      <c r="M1586" s="1" t="str">
        <f ca="1">IFERROR(__xludf.DUMMYFUNCTION("""COMPUTED_VALUE"""),"Instructor or Expert Learning Programs, Learning by observing others, Manager Teaching you")</f>
        <v>Instructor or Expert Learning Programs, Learning by observing others, Manager Teaching you</v>
      </c>
      <c r="N1586"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86" s="1" t="str">
        <f ca="1">IFERROR(__xludf.DUMMYFUNCTION("""COMPUTED_VALUE"""),"Manager who sets goal and helps me achieve it")</f>
        <v>Manager who sets goal and helps me achieve it</v>
      </c>
      <c r="P1586" s="1" t="str">
        <f ca="1">IFERROR(__xludf.DUMMYFUNCTION("""COMPUTED_VALUE"""),"Work alone, Work with 2 to 3 people in my team, Work with 5 to 6 people in my team")</f>
        <v>Work alone, Work with 2 to 3 people in my team, Work with 5 to 6 people in my team</v>
      </c>
      <c r="Q1586" s="1"/>
    </row>
    <row r="1587" spans="1:17" ht="13.2" x14ac:dyDescent="0.25">
      <c r="A1587" s="2">
        <f ca="1">IFERROR(__xludf.DUMMYFUNCTION("""COMPUTED_VALUE"""),45045.8848477662)</f>
        <v>45045.884847766203</v>
      </c>
      <c r="B1587" s="1" t="str">
        <f ca="1">IFERROR(__xludf.DUMMYFUNCTION("""COMPUTED_VALUE"""),"Canada")</f>
        <v>Canada</v>
      </c>
      <c r="C1587" s="1" t="str">
        <f ca="1">IFERROR(__xludf.DUMMYFUNCTION("""COMPUTED_VALUE"""),"H3X2V2")</f>
        <v>H3X2V2</v>
      </c>
      <c r="D1587" s="3" t="str">
        <f ca="1">IFERROR(__xludf.DUMMYFUNCTION("""COMPUTED_VALUE"""),"Male")</f>
        <v>Male</v>
      </c>
      <c r="E1587" s="1" t="str">
        <f ca="1">IFERROR(__xludf.DUMMYFUNCTION("""COMPUTED_VALUE"""),"My Parents")</f>
        <v>My Parents</v>
      </c>
      <c r="F1587" s="1" t="str">
        <f ca="1">IFERROR(__xludf.DUMMYFUNCTION("""COMPUTED_VALUE"""),"Yes, I will earn and do that")</f>
        <v>Yes, I will earn and do that</v>
      </c>
      <c r="G1587" s="1" t="str">
        <f ca="1">IFERROR(__xludf.DUMMYFUNCTION("""COMPUTED_VALUE"""),"Will work for 3 years or more")</f>
        <v>Will work for 3 years or more</v>
      </c>
      <c r="H1587" s="1" t="str">
        <f ca="1">IFERROR(__xludf.DUMMYFUNCTION("""COMPUTED_VALUE"""),"No")</f>
        <v>No</v>
      </c>
      <c r="I1587" s="1" t="str">
        <f ca="1">IFERROR(__xludf.DUMMYFUNCTION("""COMPUTED_VALUE"""),"Will NOT work for them")</f>
        <v>Will NOT work for them</v>
      </c>
      <c r="J1587" s="1">
        <f ca="1">IFERROR(__xludf.DUMMYFUNCTION("""COMPUTED_VALUE"""),1)</f>
        <v>1</v>
      </c>
      <c r="K1587" s="1" t="str">
        <f ca="1">IFERROR(__xludf.DUMMYFUNCTION("""COMPUTED_VALUE"""),"Hybrid Working Environment with less than 3 days a month at office")</f>
        <v>Hybrid Working Environment with less than 3 days a month at office</v>
      </c>
      <c r="L1587" s="1" t="str">
        <f ca="1">IFERROR(__xludf.DUMMYFUNCTION("""COMPUTED_VALUE"""),"Employer who pushes your limits by enabling an learning environment, and rewards you at the end")</f>
        <v>Employer who pushes your limits by enabling an learning environment, and rewards you at the end</v>
      </c>
      <c r="M15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87"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587" s="1" t="str">
        <f ca="1">IFERROR(__xludf.DUMMYFUNCTION("""COMPUTED_VALUE"""),"Manager who explains what is expected, sets a goal and helps achieve it")</f>
        <v>Manager who explains what is expected, sets a goal and helps achieve it</v>
      </c>
      <c r="P1587" s="1" t="str">
        <f ca="1">IFERROR(__xludf.DUMMYFUNCTION("""COMPUTED_VALUE"""),"Work with 5 to 6 people in my team, Work with 7 to 10 or more people in my team")</f>
        <v>Work with 5 to 6 people in my team, Work with 7 to 10 or more people in my team</v>
      </c>
      <c r="Q1587" s="1"/>
    </row>
    <row r="1588" spans="1:17" ht="13.2" x14ac:dyDescent="0.25">
      <c r="A1588" s="2">
        <f ca="1">IFERROR(__xludf.DUMMYFUNCTION("""COMPUTED_VALUE"""),45045.8851780555)</f>
        <v>45045.885178055498</v>
      </c>
      <c r="B1588" s="1" t="str">
        <f ca="1">IFERROR(__xludf.DUMMYFUNCTION("""COMPUTED_VALUE"""),"India")</f>
        <v>India</v>
      </c>
      <c r="C1588" s="1">
        <f ca="1">IFERROR(__xludf.DUMMYFUNCTION("""COMPUTED_VALUE"""),421201)</f>
        <v>421201</v>
      </c>
      <c r="D1588" s="3" t="str">
        <f ca="1">IFERROR(__xludf.DUMMYFUNCTION("""COMPUTED_VALUE"""),"Male")</f>
        <v>Male</v>
      </c>
      <c r="E1588" s="1" t="str">
        <f ca="1">IFERROR(__xludf.DUMMYFUNCTION("""COMPUTED_VALUE"""),"People who have changed the world for better")</f>
        <v>People who have changed the world for better</v>
      </c>
      <c r="F1588" s="1" t="str">
        <f ca="1">IFERROR(__xludf.DUMMYFUNCTION("""COMPUTED_VALUE"""),"Yes, I will earn and do that")</f>
        <v>Yes, I will earn and do that</v>
      </c>
      <c r="G1588" s="1" t="str">
        <f ca="1">IFERROR(__xludf.DUMMYFUNCTION("""COMPUTED_VALUE"""),"This will be hard to do, but if it is the right company I would try")</f>
        <v>This will be hard to do, but if it is the right company I would try</v>
      </c>
      <c r="H1588" s="1" t="str">
        <f ca="1">IFERROR(__xludf.DUMMYFUNCTION("""COMPUTED_VALUE"""),"No")</f>
        <v>No</v>
      </c>
      <c r="I1588" s="1" t="str">
        <f ca="1">IFERROR(__xludf.DUMMYFUNCTION("""COMPUTED_VALUE"""),"Will NOT work for them")</f>
        <v>Will NOT work for them</v>
      </c>
      <c r="J1588" s="1">
        <f ca="1">IFERROR(__xludf.DUMMYFUNCTION("""COMPUTED_VALUE"""),5)</f>
        <v>5</v>
      </c>
      <c r="K1588" s="1" t="str">
        <f ca="1">IFERROR(__xludf.DUMMYFUNCTION("""COMPUTED_VALUE"""),"Hybrid Working Environment with more than 15 days a month at office")</f>
        <v>Hybrid Working Environment with more than 15 days a month at office</v>
      </c>
      <c r="L1588" s="1" t="str">
        <f ca="1">IFERROR(__xludf.DUMMYFUNCTION("""COMPUTED_VALUE"""),"Employer who appreciates learning and enables that environment")</f>
        <v>Employer who appreciates learning and enables that environment</v>
      </c>
      <c r="M1588" s="1" t="str">
        <f ca="1">IFERROR(__xludf.DUMMYFUNCTION("""COMPUTED_VALUE"""),"Self Paced Learning Portals of the Company, Instructor or Expert Learning Programs, Manager Teaching you")</f>
        <v>Self Paced Learning Portals of the Company, Instructor or Expert Learning Programs, Manager Teaching you</v>
      </c>
      <c r="N15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588" s="1" t="str">
        <f ca="1">IFERROR(__xludf.DUMMYFUNCTION("""COMPUTED_VALUE"""),"Manager who clearly describes what she/he needs")</f>
        <v>Manager who clearly describes what she/he needs</v>
      </c>
      <c r="P1588" s="1" t="str">
        <f ca="1">IFERROR(__xludf.DUMMYFUNCTION("""COMPUTED_VALUE"""),"Work with 5 to 6 people in my team")</f>
        <v>Work with 5 to 6 people in my team</v>
      </c>
      <c r="Q1588" s="1"/>
    </row>
    <row r="1589" spans="1:17" ht="13.2" x14ac:dyDescent="0.25">
      <c r="A1589" s="2">
        <f ca="1">IFERROR(__xludf.DUMMYFUNCTION("""COMPUTED_VALUE"""),45045.8864719907)</f>
        <v>45045.8864719907</v>
      </c>
      <c r="B1589" s="1" t="str">
        <f ca="1">IFERROR(__xludf.DUMMYFUNCTION("""COMPUTED_VALUE"""),"Canada")</f>
        <v>Canada</v>
      </c>
      <c r="C1589" s="1" t="str">
        <f ca="1">IFERROR(__xludf.DUMMYFUNCTION("""COMPUTED_VALUE"""),"Xxxx")</f>
        <v>Xxxx</v>
      </c>
      <c r="D1589" s="3" t="str">
        <f ca="1">IFERROR(__xludf.DUMMYFUNCTION("""COMPUTED_VALUE"""),"Male")</f>
        <v>Male</v>
      </c>
      <c r="E1589" s="1" t="str">
        <f ca="1">IFERROR(__xludf.DUMMYFUNCTION("""COMPUTED_VALUE"""),"My Parents")</f>
        <v>My Parents</v>
      </c>
      <c r="F1589" s="1" t="str">
        <f ca="1">IFERROR(__xludf.DUMMYFUNCTION("""COMPUTED_VALUE"""),"No, But if someone could bare the cost I will")</f>
        <v>No, But if someone could bare the cost I will</v>
      </c>
      <c r="G1589" s="1" t="str">
        <f ca="1">IFERROR(__xludf.DUMMYFUNCTION("""COMPUTED_VALUE"""),"Will work for 3 years or more")</f>
        <v>Will work for 3 years or more</v>
      </c>
      <c r="H1589" s="1" t="str">
        <f ca="1">IFERROR(__xludf.DUMMYFUNCTION("""COMPUTED_VALUE"""),"No")</f>
        <v>No</v>
      </c>
      <c r="I1589" s="1" t="str">
        <f ca="1">IFERROR(__xludf.DUMMYFUNCTION("""COMPUTED_VALUE"""),"Will work for them")</f>
        <v>Will work for them</v>
      </c>
      <c r="J1589" s="1">
        <f ca="1">IFERROR(__xludf.DUMMYFUNCTION("""COMPUTED_VALUE"""),5)</f>
        <v>5</v>
      </c>
      <c r="K1589" s="1" t="str">
        <f ca="1">IFERROR(__xludf.DUMMYFUNCTION("""COMPUTED_VALUE"""),"Hybrid Working Environment with more than 15 days a month at office")</f>
        <v>Hybrid Working Environment with more than 15 days a month at office</v>
      </c>
      <c r="L1589" s="1" t="str">
        <f ca="1">IFERROR(__xludf.DUMMYFUNCTION("""COMPUTED_VALUE"""),"Employer who pushes your limits and doesn't enables learning environment and never rewards you")</f>
        <v>Employer who pushes your limits and doesn't enables learning environment and never rewards you</v>
      </c>
      <c r="M158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89"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589" s="1" t="str">
        <f ca="1">IFERROR(__xludf.DUMMYFUNCTION("""COMPUTED_VALUE"""),"Manager who explains what is expected, sets a goal and helps achieve it")</f>
        <v>Manager who explains what is expected, sets a goal and helps achieve it</v>
      </c>
      <c r="P1589" s="1" t="str">
        <f ca="1">IFERROR(__xludf.DUMMYFUNCTION("""COMPUTED_VALUE"""),"Work with 5 to 6 people in my team")</f>
        <v>Work with 5 to 6 people in my team</v>
      </c>
      <c r="Q1589" s="1"/>
    </row>
    <row r="1590" spans="1:17" ht="13.2" x14ac:dyDescent="0.25">
      <c r="A1590" s="2">
        <f ca="1">IFERROR(__xludf.DUMMYFUNCTION("""COMPUTED_VALUE"""),45045.8899465856)</f>
        <v>45045.889946585601</v>
      </c>
      <c r="B1590" s="1" t="str">
        <f ca="1">IFERROR(__xludf.DUMMYFUNCTION("""COMPUTED_VALUE"""),"India")</f>
        <v>India</v>
      </c>
      <c r="C1590" s="1">
        <f ca="1">IFERROR(__xludf.DUMMYFUNCTION("""COMPUTED_VALUE"""),110076)</f>
        <v>110076</v>
      </c>
      <c r="D1590" s="3" t="str">
        <f ca="1">IFERROR(__xludf.DUMMYFUNCTION("""COMPUTED_VALUE"""),"Male")</f>
        <v>Male</v>
      </c>
      <c r="E1590" s="1" t="str">
        <f ca="1">IFERROR(__xludf.DUMMYFUNCTION("""COMPUTED_VALUE"""),"People from my circle, but not family members")</f>
        <v>People from my circle, but not family members</v>
      </c>
      <c r="F1590" s="1" t="str">
        <f ca="1">IFERROR(__xludf.DUMMYFUNCTION("""COMPUTED_VALUE"""),"Yes, I will earn and do that")</f>
        <v>Yes, I will earn and do that</v>
      </c>
      <c r="G1590" s="1" t="str">
        <f ca="1">IFERROR(__xludf.DUMMYFUNCTION("""COMPUTED_VALUE"""),"Will work for 3 years or more")</f>
        <v>Will work for 3 years or more</v>
      </c>
      <c r="H1590" s="1" t="str">
        <f ca="1">IFERROR(__xludf.DUMMYFUNCTION("""COMPUTED_VALUE"""),"No")</f>
        <v>No</v>
      </c>
      <c r="I1590" s="1" t="str">
        <f ca="1">IFERROR(__xludf.DUMMYFUNCTION("""COMPUTED_VALUE"""),"Will NOT work for them")</f>
        <v>Will NOT work for them</v>
      </c>
      <c r="J1590" s="1">
        <f ca="1">IFERROR(__xludf.DUMMYFUNCTION("""COMPUTED_VALUE"""),5)</f>
        <v>5</v>
      </c>
      <c r="K1590" s="1" t="str">
        <f ca="1">IFERROR(__xludf.DUMMYFUNCTION("""COMPUTED_VALUE"""),"Every Day Office Environment")</f>
        <v>Every Day Office Environment</v>
      </c>
      <c r="L1590" s="1" t="str">
        <f ca="1">IFERROR(__xludf.DUMMYFUNCTION("""COMPUTED_VALUE"""),"Employer who pushes your limits by enabling an learning environment, and rewards you at the end")</f>
        <v>Employer who pushes your limits by enabling an learning environment, and rewards you at the end</v>
      </c>
      <c r="M1590" s="1" t="str">
        <f ca="1">IFERROR(__xludf.DUMMYFUNCTION("""COMPUTED_VALUE"""),"Self Paced Learning Portals of the Company, Instructor or Expert Learning Programs, Manager Teaching you")</f>
        <v>Self Paced Learning Portals of the Company, Instructor or Expert Learning Programs, Manager Teaching you</v>
      </c>
      <c r="N159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90" s="1" t="str">
        <f ca="1">IFERROR(__xludf.DUMMYFUNCTION("""COMPUTED_VALUE"""),"Manager who explains what is expected, sets a goal and helps achieve it")</f>
        <v>Manager who explains what is expected, sets a goal and helps achieve it</v>
      </c>
      <c r="P1590" s="1" t="str">
        <f ca="1">IFERROR(__xludf.DUMMYFUNCTION("""COMPUTED_VALUE"""),"Work with more than 10 people in my team")</f>
        <v>Work with more than 10 people in my team</v>
      </c>
      <c r="Q1590" s="1"/>
    </row>
    <row r="1591" spans="1:17" ht="13.2" x14ac:dyDescent="0.25">
      <c r="A1591" s="2">
        <f ca="1">IFERROR(__xludf.DUMMYFUNCTION("""COMPUTED_VALUE"""),45045.8900229398)</f>
        <v>45045.890022939799</v>
      </c>
      <c r="B1591" s="1" t="str">
        <f ca="1">IFERROR(__xludf.DUMMYFUNCTION("""COMPUTED_VALUE"""),"India")</f>
        <v>India</v>
      </c>
      <c r="C1591" s="1">
        <f ca="1">IFERROR(__xludf.DUMMYFUNCTION("""COMPUTED_VALUE"""),462042)</f>
        <v>462042</v>
      </c>
      <c r="D1591" s="3" t="str">
        <f ca="1">IFERROR(__xludf.DUMMYFUNCTION("""COMPUTED_VALUE"""),"Male")</f>
        <v>Male</v>
      </c>
      <c r="E1591" s="1" t="str">
        <f ca="1">IFERROR(__xludf.DUMMYFUNCTION("""COMPUTED_VALUE"""),"Influencers who had successful careers")</f>
        <v>Influencers who had successful careers</v>
      </c>
      <c r="F1591" s="1" t="str">
        <f ca="1">IFERROR(__xludf.DUMMYFUNCTION("""COMPUTED_VALUE"""),"Yes, I will earn and do that")</f>
        <v>Yes, I will earn and do that</v>
      </c>
      <c r="G1591" s="1" t="str">
        <f ca="1">IFERROR(__xludf.DUMMYFUNCTION("""COMPUTED_VALUE"""),"Will work for 3 years or more")</f>
        <v>Will work for 3 years or more</v>
      </c>
      <c r="H1591" s="1" t="str">
        <f ca="1">IFERROR(__xludf.DUMMYFUNCTION("""COMPUTED_VALUE"""),"No")</f>
        <v>No</v>
      </c>
      <c r="I1591" s="1" t="str">
        <f ca="1">IFERROR(__xludf.DUMMYFUNCTION("""COMPUTED_VALUE"""),"Will NOT work for them")</f>
        <v>Will NOT work for them</v>
      </c>
      <c r="J1591" s="1">
        <f ca="1">IFERROR(__xludf.DUMMYFUNCTION("""COMPUTED_VALUE"""),8)</f>
        <v>8</v>
      </c>
      <c r="K1591" s="1" t="str">
        <f ca="1">IFERROR(__xludf.DUMMYFUNCTION("""COMPUTED_VALUE"""),"Fully Remote with Options to travel as and when needed")</f>
        <v>Fully Remote with Options to travel as and when needed</v>
      </c>
      <c r="L1591" s="1" t="str">
        <f ca="1">IFERROR(__xludf.DUMMYFUNCTION("""COMPUTED_VALUE"""),"Employer who pushes your limits by enabling an learning environment, and rewards you at the end")</f>
        <v>Employer who pushes your limits by enabling an learning environment, and rewards you at the end</v>
      </c>
      <c r="M1591" s="1" t="str">
        <f ca="1">IFERROR(__xludf.DUMMYFUNCTION("""COMPUTED_VALUE"""),"Instructor or Expert Learning Programs, Learning by observing others, Manager Teaching you")</f>
        <v>Instructor or Expert Learning Programs, Learning by observing others, Manager Teaching you</v>
      </c>
      <c r="N1591"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591" s="1" t="str">
        <f ca="1">IFERROR(__xludf.DUMMYFUNCTION("""COMPUTED_VALUE"""),"Manager who explains what is expected, sets a goal and helps achieve it")</f>
        <v>Manager who explains what is expected, sets a goal and helps achieve it</v>
      </c>
      <c r="P1591" s="1" t="str">
        <f ca="1">IFERROR(__xludf.DUMMYFUNCTION("""COMPUTED_VALUE"""),"Work with 2 to 3 people in my team")</f>
        <v>Work with 2 to 3 people in my team</v>
      </c>
      <c r="Q1591" s="1"/>
    </row>
    <row r="1592" spans="1:17" ht="13.2" x14ac:dyDescent="0.25">
      <c r="A1592" s="2">
        <f ca="1">IFERROR(__xludf.DUMMYFUNCTION("""COMPUTED_VALUE"""),45045.8900604861)</f>
        <v>45045.890060486097</v>
      </c>
      <c r="B1592" s="1" t="str">
        <f ca="1">IFERROR(__xludf.DUMMYFUNCTION("""COMPUTED_VALUE"""),"India")</f>
        <v>India</v>
      </c>
      <c r="C1592" s="1">
        <f ca="1">IFERROR(__xludf.DUMMYFUNCTION("""COMPUTED_VALUE"""),110096)</f>
        <v>110096</v>
      </c>
      <c r="D1592" s="3" t="str">
        <f ca="1">IFERROR(__xludf.DUMMYFUNCTION("""COMPUTED_VALUE"""),"Female")</f>
        <v>Female</v>
      </c>
      <c r="E1592" s="1" t="str">
        <f ca="1">IFERROR(__xludf.DUMMYFUNCTION("""COMPUTED_VALUE"""),"People from my circle, but not family members")</f>
        <v>People from my circle, but not family members</v>
      </c>
      <c r="F1592" s="1" t="str">
        <f ca="1">IFERROR(__xludf.DUMMYFUNCTION("""COMPUTED_VALUE"""),"Yes, I will earn and do that")</f>
        <v>Yes, I will earn and do that</v>
      </c>
      <c r="G1592" s="1" t="str">
        <f ca="1">IFERROR(__xludf.DUMMYFUNCTION("""COMPUTED_VALUE"""),"Will work for 3 years or more")</f>
        <v>Will work for 3 years or more</v>
      </c>
      <c r="H1592" s="1" t="str">
        <f ca="1">IFERROR(__xludf.DUMMYFUNCTION("""COMPUTED_VALUE"""),"No")</f>
        <v>No</v>
      </c>
      <c r="I1592" s="1" t="str">
        <f ca="1">IFERROR(__xludf.DUMMYFUNCTION("""COMPUTED_VALUE"""),"Will NOT work for them")</f>
        <v>Will NOT work for them</v>
      </c>
      <c r="J1592" s="1">
        <f ca="1">IFERROR(__xludf.DUMMYFUNCTION("""COMPUTED_VALUE"""),2)</f>
        <v>2</v>
      </c>
      <c r="K1592" s="1" t="str">
        <f ca="1">IFERROR(__xludf.DUMMYFUNCTION("""COMPUTED_VALUE"""),"Hybrid Working Environment with more than 15 days a month at office")</f>
        <v>Hybrid Working Environment with more than 15 days a month at office</v>
      </c>
      <c r="L1592" s="1" t="str">
        <f ca="1">IFERROR(__xludf.DUMMYFUNCTION("""COMPUTED_VALUE"""),"Employer who appreciates learning and enables that environment")</f>
        <v>Employer who appreciates learning and enables that environment</v>
      </c>
      <c r="M159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9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592" s="1" t="str">
        <f ca="1">IFERROR(__xludf.DUMMYFUNCTION("""COMPUTED_VALUE"""),"Manager who explains what is expected, sets a goal and helps achieve it")</f>
        <v>Manager who explains what is expected, sets a goal and helps achieve it</v>
      </c>
      <c r="P1592" s="1" t="str">
        <f ca="1">IFERROR(__xludf.DUMMYFUNCTION("""COMPUTED_VALUE"""),"Work with 2 to 3 people in my team")</f>
        <v>Work with 2 to 3 people in my team</v>
      </c>
      <c r="Q1592" s="1"/>
    </row>
    <row r="1593" spans="1:17" ht="13.2" x14ac:dyDescent="0.25">
      <c r="A1593" s="2">
        <f ca="1">IFERROR(__xludf.DUMMYFUNCTION("""COMPUTED_VALUE"""),45045.8925893634)</f>
        <v>45045.8925893634</v>
      </c>
      <c r="B1593" s="1" t="str">
        <f ca="1">IFERROR(__xludf.DUMMYFUNCTION("""COMPUTED_VALUE"""),"India")</f>
        <v>India</v>
      </c>
      <c r="C1593" s="1">
        <f ca="1">IFERROR(__xludf.DUMMYFUNCTION("""COMPUTED_VALUE"""),110008)</f>
        <v>110008</v>
      </c>
      <c r="D1593" s="3" t="str">
        <f ca="1">IFERROR(__xludf.DUMMYFUNCTION("""COMPUTED_VALUE"""),"Female")</f>
        <v>Female</v>
      </c>
      <c r="E1593" s="1" t="str">
        <f ca="1">IFERROR(__xludf.DUMMYFUNCTION("""COMPUTED_VALUE"""),"My Parents")</f>
        <v>My Parents</v>
      </c>
      <c r="F1593" s="1" t="str">
        <f ca="1">IFERROR(__xludf.DUMMYFUNCTION("""COMPUTED_VALUE"""),"No I would not be pursuing Higher Education outside of India")</f>
        <v>No I would not be pursuing Higher Education outside of India</v>
      </c>
      <c r="G1593" s="1" t="str">
        <f ca="1">IFERROR(__xludf.DUMMYFUNCTION("""COMPUTED_VALUE"""),"This will be hard to do, but if it is the right company I would try")</f>
        <v>This will be hard to do, but if it is the right company I would try</v>
      </c>
      <c r="H1593" s="1" t="str">
        <f ca="1">IFERROR(__xludf.DUMMYFUNCTION("""COMPUTED_VALUE"""),"No")</f>
        <v>No</v>
      </c>
      <c r="I1593" s="1" t="str">
        <f ca="1">IFERROR(__xludf.DUMMYFUNCTION("""COMPUTED_VALUE"""),"Will NOT work for them")</f>
        <v>Will NOT work for them</v>
      </c>
      <c r="J1593" s="1">
        <f ca="1">IFERROR(__xludf.DUMMYFUNCTION("""COMPUTED_VALUE"""),5)</f>
        <v>5</v>
      </c>
      <c r="K1593" s="1" t="str">
        <f ca="1">IFERROR(__xludf.DUMMYFUNCTION("""COMPUTED_VALUE"""),"Hybrid Working Environment with more than 15 days a month at office")</f>
        <v>Hybrid Working Environment with more than 15 days a month at office</v>
      </c>
      <c r="L1593" s="1" t="str">
        <f ca="1">IFERROR(__xludf.DUMMYFUNCTION("""COMPUTED_VALUE"""),"Employer who pushes your limits by enabling an learning environment, and rewards you at the end")</f>
        <v>Employer who pushes your limits by enabling an learning environment, and rewards you at the end</v>
      </c>
      <c r="M15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93" s="1" t="str">
        <f ca="1">IFERROR(__xludf.DUMMYFUNCTION("""COMPUTED_VALUE"""),"Teaching in any of the institutes/colleges/online or offline, Business Operations in any organization, Manage and drive End-to-End Projects or Products, Manufacturing / Oil and Gas/ Construction / Hard Physical Work related")</f>
        <v>Teaching in any of the institutes/colleges/online or offline, Business Operations in any organization, Manage and drive End-to-End Projects or Products, Manufacturing / Oil and Gas/ Construction / Hard Physical Work related</v>
      </c>
      <c r="O1593" s="1" t="str">
        <f ca="1">IFERROR(__xludf.DUMMYFUNCTION("""COMPUTED_VALUE"""),"Manager who clearly describes what she/he needs")</f>
        <v>Manager who clearly describes what she/he needs</v>
      </c>
      <c r="P1593" s="1" t="str">
        <f ca="1">IFERROR(__xludf.DUMMYFUNCTION("""COMPUTED_VALUE"""),"Work with 2 to 3 people in my team, Work with 5 to 6 people in my team")</f>
        <v>Work with 2 to 3 people in my team, Work with 5 to 6 people in my team</v>
      </c>
      <c r="Q1593" s="1"/>
    </row>
    <row r="1594" spans="1:17" ht="13.2" x14ac:dyDescent="0.25">
      <c r="A1594" s="2">
        <f ca="1">IFERROR(__xludf.DUMMYFUNCTION("""COMPUTED_VALUE"""),45045.8929906597)</f>
        <v>45045.892990659697</v>
      </c>
      <c r="B1594" s="1" t="str">
        <f ca="1">IFERROR(__xludf.DUMMYFUNCTION("""COMPUTED_VALUE"""),"India")</f>
        <v>India</v>
      </c>
      <c r="C1594" s="1">
        <f ca="1">IFERROR(__xludf.DUMMYFUNCTION("""COMPUTED_VALUE"""),533005)</f>
        <v>533005</v>
      </c>
      <c r="D1594" s="3" t="str">
        <f ca="1">IFERROR(__xludf.DUMMYFUNCTION("""COMPUTED_VALUE"""),"Male")</f>
        <v>Male</v>
      </c>
      <c r="E1594" s="1" t="str">
        <f ca="1">IFERROR(__xludf.DUMMYFUNCTION("""COMPUTED_VALUE"""),"My Parents")</f>
        <v>My Parents</v>
      </c>
      <c r="F1594" s="1" t="str">
        <f ca="1">IFERROR(__xludf.DUMMYFUNCTION("""COMPUTED_VALUE"""),"No I would not be pursuing Higher Education outside of India")</f>
        <v>No I would not be pursuing Higher Education outside of India</v>
      </c>
      <c r="G1594" s="1" t="str">
        <f ca="1">IFERROR(__xludf.DUMMYFUNCTION("""COMPUTED_VALUE"""),"Will work for 3 years or more")</f>
        <v>Will work for 3 years or more</v>
      </c>
      <c r="H1594" s="1" t="str">
        <f ca="1">IFERROR(__xludf.DUMMYFUNCTION("""COMPUTED_VALUE"""),"Yes")</f>
        <v>Yes</v>
      </c>
      <c r="I1594" s="1" t="str">
        <f ca="1">IFERROR(__xludf.DUMMYFUNCTION("""COMPUTED_VALUE"""),"Will NOT work for them")</f>
        <v>Will NOT work for them</v>
      </c>
      <c r="J1594" s="1">
        <f ca="1">IFERROR(__xludf.DUMMYFUNCTION("""COMPUTED_VALUE"""),5)</f>
        <v>5</v>
      </c>
      <c r="K1594" s="1" t="str">
        <f ca="1">IFERROR(__xludf.DUMMYFUNCTION("""COMPUTED_VALUE"""),"Fully Remote with Options to travel as and when needed")</f>
        <v>Fully Remote with Options to travel as and when needed</v>
      </c>
      <c r="L1594" s="1" t="str">
        <f ca="1">IFERROR(__xludf.DUMMYFUNCTION("""COMPUTED_VALUE"""),"Employer who pushes your limits by enabling an learning environment, and rewards you at the end")</f>
        <v>Employer who pushes your limits by enabling an learning environment, and rewards you at the end</v>
      </c>
      <c r="M1594" s="1" t="str">
        <f ca="1">IFERROR(__xludf.DUMMYFUNCTION("""COMPUTED_VALUE"""),"Self Paced Learning Portals of the Company, Instructor or Expert Learning Programs, Manager Teaching you")</f>
        <v>Self Paced Learning Portals of the Company, Instructor or Expert Learning Programs, Manager Teaching you</v>
      </c>
      <c r="N1594"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594" s="1" t="str">
        <f ca="1">IFERROR(__xludf.DUMMYFUNCTION("""COMPUTED_VALUE"""),"Manager who explains what is expected, sets a goal and helps achieve it")</f>
        <v>Manager who explains what is expected, sets a goal and helps achieve it</v>
      </c>
      <c r="P1594" s="1" t="str">
        <f ca="1">IFERROR(__xludf.DUMMYFUNCTION("""COMPUTED_VALUE"""),"Work with 7 to 10 or more people in my team")</f>
        <v>Work with 7 to 10 or more people in my team</v>
      </c>
      <c r="Q1594" s="1"/>
    </row>
    <row r="1595" spans="1:17" ht="13.2" x14ac:dyDescent="0.25">
      <c r="A1595" s="2">
        <f ca="1">IFERROR(__xludf.DUMMYFUNCTION("""COMPUTED_VALUE"""),45045.8931932986)</f>
        <v>45045.893193298602</v>
      </c>
      <c r="B1595" s="1" t="str">
        <f ca="1">IFERROR(__xludf.DUMMYFUNCTION("""COMPUTED_VALUE"""),"Canada")</f>
        <v>Canada</v>
      </c>
      <c r="C1595" s="1" t="str">
        <f ca="1">IFERROR(__xludf.DUMMYFUNCTION("""COMPUTED_VALUE"""),"H3N1W9")</f>
        <v>H3N1W9</v>
      </c>
      <c r="D1595" s="3" t="str">
        <f ca="1">IFERROR(__xludf.DUMMYFUNCTION("""COMPUTED_VALUE"""),"Male")</f>
        <v>Male</v>
      </c>
      <c r="E1595" s="1" t="str">
        <f ca="1">IFERROR(__xludf.DUMMYFUNCTION("""COMPUTED_VALUE"""),"Influencers who had successful careers")</f>
        <v>Influencers who had successful careers</v>
      </c>
      <c r="F1595" s="1" t="str">
        <f ca="1">IFERROR(__xludf.DUMMYFUNCTION("""COMPUTED_VALUE"""),"Yes, I will earn and do that")</f>
        <v>Yes, I will earn and do that</v>
      </c>
      <c r="G1595" s="1" t="str">
        <f ca="1">IFERROR(__xludf.DUMMYFUNCTION("""COMPUTED_VALUE"""),"Will work for 3 years or more")</f>
        <v>Will work for 3 years or more</v>
      </c>
      <c r="H1595" s="1" t="str">
        <f ca="1">IFERROR(__xludf.DUMMYFUNCTION("""COMPUTED_VALUE"""),"No")</f>
        <v>No</v>
      </c>
      <c r="I1595" s="1" t="str">
        <f ca="1">IFERROR(__xludf.DUMMYFUNCTION("""COMPUTED_VALUE"""),"Will NOT work for them")</f>
        <v>Will NOT work for them</v>
      </c>
      <c r="J1595" s="1">
        <f ca="1">IFERROR(__xludf.DUMMYFUNCTION("""COMPUTED_VALUE"""),5)</f>
        <v>5</v>
      </c>
      <c r="K1595" s="1" t="str">
        <f ca="1">IFERROR(__xludf.DUMMYFUNCTION("""COMPUTED_VALUE"""),"Every Day Office Environment")</f>
        <v>Every Day Office Environment</v>
      </c>
      <c r="L1595" s="1" t="str">
        <f ca="1">IFERROR(__xludf.DUMMYFUNCTION("""COMPUTED_VALUE"""),"Employer who appreciates learning and enables that environment")</f>
        <v>Employer who appreciates learning and enables that environment</v>
      </c>
      <c r="M159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595"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595" s="1" t="str">
        <f ca="1">IFERROR(__xludf.DUMMYFUNCTION("""COMPUTED_VALUE"""),"Manager who sets targets and expects me to achieve it")</f>
        <v>Manager who sets targets and expects me to achieve it</v>
      </c>
      <c r="P1595" s="1" t="str">
        <f ca="1">IFERROR(__xludf.DUMMYFUNCTION("""COMPUTED_VALUE"""),"Work with 2 to 3 people in my team")</f>
        <v>Work with 2 to 3 people in my team</v>
      </c>
      <c r="Q1595" s="1"/>
    </row>
    <row r="1596" spans="1:17" ht="13.2" x14ac:dyDescent="0.25">
      <c r="A1596" s="2">
        <f ca="1">IFERROR(__xludf.DUMMYFUNCTION("""COMPUTED_VALUE"""),45045.8947499652)</f>
        <v>45045.894749965199</v>
      </c>
      <c r="B1596" s="1" t="str">
        <f ca="1">IFERROR(__xludf.DUMMYFUNCTION("""COMPUTED_VALUE"""),"UAE")</f>
        <v>UAE</v>
      </c>
      <c r="C1596" s="1">
        <f ca="1">IFERROR(__xludf.DUMMYFUNCTION("""COMPUTED_VALUE"""),78363)</f>
        <v>78363</v>
      </c>
      <c r="D1596" s="3" t="str">
        <f ca="1">IFERROR(__xludf.DUMMYFUNCTION("""COMPUTED_VALUE"""),"Male")</f>
        <v>Male</v>
      </c>
      <c r="E1596" s="1" t="str">
        <f ca="1">IFERROR(__xludf.DUMMYFUNCTION("""COMPUTED_VALUE"""),"My Parents")</f>
        <v>My Parents</v>
      </c>
      <c r="F1596" s="1" t="str">
        <f ca="1">IFERROR(__xludf.DUMMYFUNCTION("""COMPUTED_VALUE"""),"Yes, I will earn and do that")</f>
        <v>Yes, I will earn and do that</v>
      </c>
      <c r="G1596" s="1" t="str">
        <f ca="1">IFERROR(__xludf.DUMMYFUNCTION("""COMPUTED_VALUE"""),"This will be hard to do, but if it is the right company I would try")</f>
        <v>This will be hard to do, but if it is the right company I would try</v>
      </c>
      <c r="H1596" s="1" t="str">
        <f ca="1">IFERROR(__xludf.DUMMYFUNCTION("""COMPUTED_VALUE"""),"Yes")</f>
        <v>Yes</v>
      </c>
      <c r="I1596" s="1" t="str">
        <f ca="1">IFERROR(__xludf.DUMMYFUNCTION("""COMPUTED_VALUE"""),"Will work for them")</f>
        <v>Will work for them</v>
      </c>
      <c r="J1596" s="1">
        <f ca="1">IFERROR(__xludf.DUMMYFUNCTION("""COMPUTED_VALUE"""),10)</f>
        <v>10</v>
      </c>
      <c r="K1596" s="1" t="str">
        <f ca="1">IFERROR(__xludf.DUMMYFUNCTION("""COMPUTED_VALUE"""),"Every Day Office Environment")</f>
        <v>Every Day Office Environment</v>
      </c>
      <c r="L1596" s="1" t="str">
        <f ca="1">IFERROR(__xludf.DUMMYFUNCTION("""COMPUTED_VALUE"""),"Employer who pushes your limits by enabling an learning environment, and rewards you at the end")</f>
        <v>Employer who pushes your limits by enabling an learning environment, and rewards you at the end</v>
      </c>
      <c r="M1596" s="1" t="str">
        <f ca="1">IFERROR(__xludf.DUMMYFUNCTION("""COMPUTED_VALUE"""),"Learning by observing others, Self Purchased Course from External Platforms, Manager Teaching you")</f>
        <v>Learning by observing others, Self Purchased Course from External Platforms, Manager Teaching you</v>
      </c>
      <c r="N1596" s="1" t="str">
        <f ca="1">IFERROR(__xludf.DUMMYFUNCTION("""COMPUTED_VALUE"""),"Design and Creative strategy in any company, Business Operations in any organization, I Want to sell things/Sales, Manufacturing / Oil and Gas/ Construction / Hard Physical Work related")</f>
        <v>Design and Creative strategy in any company, Business Operations in any organization, I Want to sell things/Sales, Manufacturing / Oil and Gas/ Construction / Hard Physical Work related</v>
      </c>
      <c r="O1596" s="1" t="str">
        <f ca="1">IFERROR(__xludf.DUMMYFUNCTION("""COMPUTED_VALUE"""),"Manager who explains what is expected, sets a goal and helps achieve it")</f>
        <v>Manager who explains what is expected, sets a goal and helps achieve it</v>
      </c>
      <c r="P1596" s="1" t="str">
        <f ca="1">IFERROR(__xludf.DUMMYFUNCTION("""COMPUTED_VALUE"""),"Work with 5 to 6 people in my team")</f>
        <v>Work with 5 to 6 people in my team</v>
      </c>
      <c r="Q1596" s="1"/>
    </row>
    <row r="1597" spans="1:17" ht="13.2" x14ac:dyDescent="0.25">
      <c r="A1597" s="2">
        <f ca="1">IFERROR(__xludf.DUMMYFUNCTION("""COMPUTED_VALUE"""),45045.8955835879)</f>
        <v>45045.895583587902</v>
      </c>
      <c r="B1597" s="1" t="str">
        <f ca="1">IFERROR(__xludf.DUMMYFUNCTION("""COMPUTED_VALUE"""),"Canada")</f>
        <v>Canada</v>
      </c>
      <c r="C1597" s="1" t="str">
        <f ca="1">IFERROR(__xludf.DUMMYFUNCTION("""COMPUTED_VALUE"""),"H3S")</f>
        <v>H3S</v>
      </c>
      <c r="D1597" s="3" t="str">
        <f ca="1">IFERROR(__xludf.DUMMYFUNCTION("""COMPUTED_VALUE"""),"Male")</f>
        <v>Male</v>
      </c>
      <c r="E1597" s="1" t="str">
        <f ca="1">IFERROR(__xludf.DUMMYFUNCTION("""COMPUTED_VALUE"""),"People who have changed the world for better")</f>
        <v>People who have changed the world for better</v>
      </c>
      <c r="F1597" s="1" t="str">
        <f ca="1">IFERROR(__xludf.DUMMYFUNCTION("""COMPUTED_VALUE"""),"Yes, I will earn and do that")</f>
        <v>Yes, I will earn and do that</v>
      </c>
      <c r="G1597" s="1" t="str">
        <f ca="1">IFERROR(__xludf.DUMMYFUNCTION("""COMPUTED_VALUE"""),"This will be hard to do, but if it is the right company I would try")</f>
        <v>This will be hard to do, but if it is the right company I would try</v>
      </c>
      <c r="H1597" s="1" t="str">
        <f ca="1">IFERROR(__xludf.DUMMYFUNCTION("""COMPUTED_VALUE"""),"No")</f>
        <v>No</v>
      </c>
      <c r="I1597" s="1" t="str">
        <f ca="1">IFERROR(__xludf.DUMMYFUNCTION("""COMPUTED_VALUE"""),"Will NOT work for them")</f>
        <v>Will NOT work for them</v>
      </c>
      <c r="J1597" s="1">
        <f ca="1">IFERROR(__xludf.DUMMYFUNCTION("""COMPUTED_VALUE"""),1)</f>
        <v>1</v>
      </c>
      <c r="K1597" s="1" t="str">
        <f ca="1">IFERROR(__xludf.DUMMYFUNCTION("""COMPUTED_VALUE"""),"Every Day Office Environment")</f>
        <v>Every Day Office Environment</v>
      </c>
      <c r="L1597" s="1" t="str">
        <f ca="1">IFERROR(__xludf.DUMMYFUNCTION("""COMPUTED_VALUE"""),"Employer who appreciates learning and enables that environment")</f>
        <v>Employer who appreciates learning and enables that environment</v>
      </c>
      <c r="M1597" s="1" t="str">
        <f ca="1">IFERROR(__xludf.DUMMYFUNCTION("""COMPUTED_VALUE"""),"Self Paced Learning Portals of the Company, Learning by observing others, Manager Teaching you")</f>
        <v>Self Paced Learning Portals of the Company, Learning by observing others, Manager Teaching you</v>
      </c>
      <c r="N1597"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1597" s="1" t="str">
        <f ca="1">IFERROR(__xludf.DUMMYFUNCTION("""COMPUTED_VALUE"""),"Manager who sets goal and helps me achieve it")</f>
        <v>Manager who sets goal and helps me achieve it</v>
      </c>
      <c r="P1597" s="1" t="str">
        <f ca="1">IFERROR(__xludf.DUMMYFUNCTION("""COMPUTED_VALUE"""),"Work with more than 10 people in my team")</f>
        <v>Work with more than 10 people in my team</v>
      </c>
      <c r="Q1597" s="1"/>
    </row>
    <row r="1598" spans="1:17" ht="13.2" x14ac:dyDescent="0.25">
      <c r="A1598" s="2">
        <f ca="1">IFERROR(__xludf.DUMMYFUNCTION("""COMPUTED_VALUE"""),45045.8974549074)</f>
        <v>45045.897454907397</v>
      </c>
      <c r="B1598" s="1" t="str">
        <f ca="1">IFERROR(__xludf.DUMMYFUNCTION("""COMPUTED_VALUE"""),"India")</f>
        <v>India</v>
      </c>
      <c r="C1598" s="1">
        <f ca="1">IFERROR(__xludf.DUMMYFUNCTION("""COMPUTED_VALUE"""),509301)</f>
        <v>509301</v>
      </c>
      <c r="D1598" s="3" t="str">
        <f ca="1">IFERROR(__xludf.DUMMYFUNCTION("""COMPUTED_VALUE"""),"Female")</f>
        <v>Female</v>
      </c>
      <c r="E1598" s="1" t="str">
        <f ca="1">IFERROR(__xludf.DUMMYFUNCTION("""COMPUTED_VALUE"""),"My Parents")</f>
        <v>My Parents</v>
      </c>
      <c r="F1598" s="1" t="str">
        <f ca="1">IFERROR(__xludf.DUMMYFUNCTION("""COMPUTED_VALUE"""),"Yes, I will earn and do that")</f>
        <v>Yes, I will earn and do that</v>
      </c>
      <c r="G1598" s="1" t="str">
        <f ca="1">IFERROR(__xludf.DUMMYFUNCTION("""COMPUTED_VALUE"""),"This will be hard to do, but if it is the right company I would try")</f>
        <v>This will be hard to do, but if it is the right company I would try</v>
      </c>
      <c r="H1598" s="1" t="str">
        <f ca="1">IFERROR(__xludf.DUMMYFUNCTION("""COMPUTED_VALUE"""),"Yes")</f>
        <v>Yes</v>
      </c>
      <c r="I1598" s="1" t="str">
        <f ca="1">IFERROR(__xludf.DUMMYFUNCTION("""COMPUTED_VALUE"""),"Will work for them")</f>
        <v>Will work for them</v>
      </c>
      <c r="J1598" s="1">
        <f ca="1">IFERROR(__xludf.DUMMYFUNCTION("""COMPUTED_VALUE"""),9)</f>
        <v>9</v>
      </c>
      <c r="K1598" s="1" t="str">
        <f ca="1">IFERROR(__xludf.DUMMYFUNCTION("""COMPUTED_VALUE"""),"Hybrid Working Environment with more than 15 days a month at office")</f>
        <v>Hybrid Working Environment with more than 15 days a month at office</v>
      </c>
      <c r="L1598" s="1" t="str">
        <f ca="1">IFERROR(__xludf.DUMMYFUNCTION("""COMPUTED_VALUE"""),"Employer who pushes your limits by enabling an learning environment, and rewards you at the end")</f>
        <v>Employer who pushes your limits by enabling an learning environment, and rewards you at the end</v>
      </c>
      <c r="M15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9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98" s="1" t="str">
        <f ca="1">IFERROR(__xludf.DUMMYFUNCTION("""COMPUTED_VALUE"""),"Manager who explains what is expected, sets a goal and helps achieve it")</f>
        <v>Manager who explains what is expected, sets a goal and helps achieve it</v>
      </c>
      <c r="P1598" s="1" t="str">
        <f ca="1">IFERROR(__xludf.DUMMYFUNCTION("""COMPUTED_VALUE"""),"Work with 5 to 6 people in my team")</f>
        <v>Work with 5 to 6 people in my team</v>
      </c>
      <c r="Q1598" s="1"/>
    </row>
    <row r="1599" spans="1:17" ht="13.2" x14ac:dyDescent="0.25">
      <c r="A1599" s="2">
        <f ca="1">IFERROR(__xludf.DUMMYFUNCTION("""COMPUTED_VALUE"""),45045.8994663657)</f>
        <v>45045.899466365699</v>
      </c>
      <c r="B1599" s="1" t="str">
        <f ca="1">IFERROR(__xludf.DUMMYFUNCTION("""COMPUTED_VALUE"""),"India")</f>
        <v>India</v>
      </c>
      <c r="C1599" s="1">
        <f ca="1">IFERROR(__xludf.DUMMYFUNCTION("""COMPUTED_VALUE"""),110027)</f>
        <v>110027</v>
      </c>
      <c r="D1599" s="3" t="str">
        <f ca="1">IFERROR(__xludf.DUMMYFUNCTION("""COMPUTED_VALUE"""),"Female")</f>
        <v>Female</v>
      </c>
      <c r="E1599" s="1" t="str">
        <f ca="1">IFERROR(__xludf.DUMMYFUNCTION("""COMPUTED_VALUE"""),"People who have changed the world for better")</f>
        <v>People who have changed the world for better</v>
      </c>
      <c r="F1599" s="1" t="str">
        <f ca="1">IFERROR(__xludf.DUMMYFUNCTION("""COMPUTED_VALUE"""),"No, But if someone could bare the cost I will")</f>
        <v>No, But if someone could bare the cost I will</v>
      </c>
      <c r="G1599" s="1" t="str">
        <f ca="1">IFERROR(__xludf.DUMMYFUNCTION("""COMPUTED_VALUE"""),"This will be hard to do, but if it is the right company I would try")</f>
        <v>This will be hard to do, but if it is the right company I would try</v>
      </c>
      <c r="H1599" s="1" t="str">
        <f ca="1">IFERROR(__xludf.DUMMYFUNCTION("""COMPUTED_VALUE"""),"No")</f>
        <v>No</v>
      </c>
      <c r="I1599" s="1" t="str">
        <f ca="1">IFERROR(__xludf.DUMMYFUNCTION("""COMPUTED_VALUE"""),"Will NOT work for them")</f>
        <v>Will NOT work for them</v>
      </c>
      <c r="J1599" s="1">
        <f ca="1">IFERROR(__xludf.DUMMYFUNCTION("""COMPUTED_VALUE"""),7)</f>
        <v>7</v>
      </c>
      <c r="K1599" s="1" t="str">
        <f ca="1">IFERROR(__xludf.DUMMYFUNCTION("""COMPUTED_VALUE"""),"Hybrid Working Environment with less than 3 days a month at office")</f>
        <v>Hybrid Working Environment with less than 3 days a month at office</v>
      </c>
      <c r="L1599" s="1" t="str">
        <f ca="1">IFERROR(__xludf.DUMMYFUNCTION("""COMPUTED_VALUE"""),"Employer who appreciates learning and enables that environment")</f>
        <v>Employer who appreciates learning and enables that environment</v>
      </c>
      <c r="M1599" s="1" t="str">
        <f ca="1">IFERROR(__xludf.DUMMYFUNCTION("""COMPUTED_VALUE"""),"Self Paced Learning Portals of the Company, Learning by observing others, Manager Teaching you")</f>
        <v>Self Paced Learning Portals of the Company, Learning by observing others, Manager Teaching you</v>
      </c>
      <c r="N1599"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599" s="1" t="str">
        <f ca="1">IFERROR(__xludf.DUMMYFUNCTION("""COMPUTED_VALUE"""),"Manager who explains what is expected, sets a goal and helps achieve it")</f>
        <v>Manager who explains what is expected, sets a goal and helps achieve it</v>
      </c>
      <c r="P1599" s="1" t="str">
        <f ca="1">IFERROR(__xludf.DUMMYFUNCTION("""COMPUTED_VALUE"""),"Work with 2 to 3 people in my team")</f>
        <v>Work with 2 to 3 people in my team</v>
      </c>
      <c r="Q1599" s="1"/>
    </row>
    <row r="1600" spans="1:17" ht="13.2" x14ac:dyDescent="0.25">
      <c r="A1600" s="2">
        <f ca="1">IFERROR(__xludf.DUMMYFUNCTION("""COMPUTED_VALUE"""),45045.901446493)</f>
        <v>45045.901446493001</v>
      </c>
      <c r="B1600" s="1" t="str">
        <f ca="1">IFERROR(__xludf.DUMMYFUNCTION("""COMPUTED_VALUE"""),"India")</f>
        <v>India</v>
      </c>
      <c r="C1600" s="1">
        <f ca="1">IFERROR(__xludf.DUMMYFUNCTION("""COMPUTED_VALUE"""),581301)</f>
        <v>581301</v>
      </c>
      <c r="D1600" s="3" t="str">
        <f ca="1">IFERROR(__xludf.DUMMYFUNCTION("""COMPUTED_VALUE"""),"Male")</f>
        <v>Male</v>
      </c>
      <c r="E1600" s="1" t="str">
        <f ca="1">IFERROR(__xludf.DUMMYFUNCTION("""COMPUTED_VALUE"""),"Influencers who had successful careers")</f>
        <v>Influencers who had successful careers</v>
      </c>
      <c r="F1600" s="1" t="str">
        <f ca="1">IFERROR(__xludf.DUMMYFUNCTION("""COMPUTED_VALUE"""),"No I would not be pursuing Higher Education outside of India")</f>
        <v>No I would not be pursuing Higher Education outside of India</v>
      </c>
      <c r="G1600" s="1" t="str">
        <f ca="1">IFERROR(__xludf.DUMMYFUNCTION("""COMPUTED_VALUE"""),"This will be hard to do, but if it is the right company I would try")</f>
        <v>This will be hard to do, but if it is the right company I would try</v>
      </c>
      <c r="H1600" s="1" t="str">
        <f ca="1">IFERROR(__xludf.DUMMYFUNCTION("""COMPUTED_VALUE"""),"Yes")</f>
        <v>Yes</v>
      </c>
      <c r="I1600" s="1" t="str">
        <f ca="1">IFERROR(__xludf.DUMMYFUNCTION("""COMPUTED_VALUE"""),"Will NOT work for them")</f>
        <v>Will NOT work for them</v>
      </c>
      <c r="J1600" s="1">
        <f ca="1">IFERROR(__xludf.DUMMYFUNCTION("""COMPUTED_VALUE"""),5)</f>
        <v>5</v>
      </c>
      <c r="K1600" s="1" t="str">
        <f ca="1">IFERROR(__xludf.DUMMYFUNCTION("""COMPUTED_VALUE"""),"Fully Remote with Options to travel as and when needed")</f>
        <v>Fully Remote with Options to travel as and when needed</v>
      </c>
      <c r="L1600" s="1" t="str">
        <f ca="1">IFERROR(__xludf.DUMMYFUNCTION("""COMPUTED_VALUE"""),"Employer who rewards learning and enables that environment")</f>
        <v>Employer who rewards learning and enables that environment</v>
      </c>
      <c r="M160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600" s="1" t="str">
        <f ca="1">IFERROR(__xludf.DUMMYFUNCTION("""COMPUTED_VALUE"""),"Manager who explains what is expected, sets a goal and helps achieve it")</f>
        <v>Manager who explains what is expected, sets a goal and helps achieve it</v>
      </c>
      <c r="P1600" s="1" t="str">
        <f ca="1">IFERROR(__xludf.DUMMYFUNCTION("""COMPUTED_VALUE"""),"Work alone, Work with 2 to 3 people in my team")</f>
        <v>Work alone, Work with 2 to 3 people in my team</v>
      </c>
      <c r="Q1600" s="1"/>
    </row>
    <row r="1601" spans="1:17" ht="13.2" x14ac:dyDescent="0.25">
      <c r="A1601" s="2">
        <f ca="1">IFERROR(__xludf.DUMMYFUNCTION("""COMPUTED_VALUE"""),45045.9067729166)</f>
        <v>45045.906772916598</v>
      </c>
      <c r="B1601" s="1" t="str">
        <f ca="1">IFERROR(__xludf.DUMMYFUNCTION("""COMPUTED_VALUE"""),"India")</f>
        <v>India</v>
      </c>
      <c r="C1601" s="1">
        <f ca="1">IFERROR(__xludf.DUMMYFUNCTION("""COMPUTED_VALUE"""),110027)</f>
        <v>110027</v>
      </c>
      <c r="D1601" s="3" t="str">
        <f ca="1">IFERROR(__xludf.DUMMYFUNCTION("""COMPUTED_VALUE"""),"Female")</f>
        <v>Female</v>
      </c>
      <c r="E1601" s="1" t="str">
        <f ca="1">IFERROR(__xludf.DUMMYFUNCTION("""COMPUTED_VALUE"""),"People who have changed the world for better")</f>
        <v>People who have changed the world for better</v>
      </c>
      <c r="F1601" s="1" t="str">
        <f ca="1">IFERROR(__xludf.DUMMYFUNCTION("""COMPUTED_VALUE"""),"Yes, I will earn and do that")</f>
        <v>Yes, I will earn and do that</v>
      </c>
      <c r="G1601" s="1" t="str">
        <f ca="1">IFERROR(__xludf.DUMMYFUNCTION("""COMPUTED_VALUE"""),"This will be hard to do, but if it is the right company I would try")</f>
        <v>This will be hard to do, but if it is the right company I would try</v>
      </c>
      <c r="H1601" s="1" t="str">
        <f ca="1">IFERROR(__xludf.DUMMYFUNCTION("""COMPUTED_VALUE"""),"Yes")</f>
        <v>Yes</v>
      </c>
      <c r="I1601" s="1" t="str">
        <f ca="1">IFERROR(__xludf.DUMMYFUNCTION("""COMPUTED_VALUE"""),"Will NOT work for them")</f>
        <v>Will NOT work for them</v>
      </c>
      <c r="J1601" s="1">
        <f ca="1">IFERROR(__xludf.DUMMYFUNCTION("""COMPUTED_VALUE"""),5)</f>
        <v>5</v>
      </c>
      <c r="K1601" s="1" t="str">
        <f ca="1">IFERROR(__xludf.DUMMYFUNCTION("""COMPUTED_VALUE"""),"Hybrid Working Environment with more than 15 days a month at office")</f>
        <v>Hybrid Working Environment with more than 15 days a month at office</v>
      </c>
      <c r="L1601" s="1" t="str">
        <f ca="1">IFERROR(__xludf.DUMMYFUNCTION("""COMPUTED_VALUE"""),"Employer who pushes your limits by enabling an learning environment, and rewards you at the end")</f>
        <v>Employer who pushes your limits by enabling an learning environment, and rewards you at the end</v>
      </c>
      <c r="M160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01"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01" s="1" t="str">
        <f ca="1">IFERROR(__xludf.DUMMYFUNCTION("""COMPUTED_VALUE"""),"Manager who explains what is expected, sets a goal and helps achieve it")</f>
        <v>Manager who explains what is expected, sets a goal and helps achieve it</v>
      </c>
      <c r="P1601" s="1" t="str">
        <f ca="1">IFERROR(__xludf.DUMMYFUNCTION("""COMPUTED_VALUE"""),"Work with more than 10 people in my team")</f>
        <v>Work with more than 10 people in my team</v>
      </c>
      <c r="Q1601" s="1"/>
    </row>
    <row r="1602" spans="1:17" ht="13.2" x14ac:dyDescent="0.25">
      <c r="A1602" s="2">
        <f ca="1">IFERROR(__xludf.DUMMYFUNCTION("""COMPUTED_VALUE"""),45045.9123969907)</f>
        <v>45045.912396990701</v>
      </c>
      <c r="B1602" s="1" t="str">
        <f ca="1">IFERROR(__xludf.DUMMYFUNCTION("""COMPUTED_VALUE"""),"India")</f>
        <v>India</v>
      </c>
      <c r="C1602" s="1">
        <f ca="1">IFERROR(__xludf.DUMMYFUNCTION("""COMPUTED_VALUE"""),201002)</f>
        <v>201002</v>
      </c>
      <c r="D1602" s="3" t="str">
        <f ca="1">IFERROR(__xludf.DUMMYFUNCTION("""COMPUTED_VALUE"""),"Male")</f>
        <v>Male</v>
      </c>
      <c r="E1602" s="1" t="str">
        <f ca="1">IFERROR(__xludf.DUMMYFUNCTION("""COMPUTED_VALUE"""),"Influencers who had successful careers")</f>
        <v>Influencers who had successful careers</v>
      </c>
      <c r="F1602" s="1" t="str">
        <f ca="1">IFERROR(__xludf.DUMMYFUNCTION("""COMPUTED_VALUE"""),"Yes, I will earn and do that")</f>
        <v>Yes, I will earn and do that</v>
      </c>
      <c r="G1602" s="1" t="str">
        <f ca="1">IFERROR(__xludf.DUMMYFUNCTION("""COMPUTED_VALUE"""),"This will be hard to do, but if it is the right company I would try")</f>
        <v>This will be hard to do, but if it is the right company I would try</v>
      </c>
      <c r="H1602" s="1" t="str">
        <f ca="1">IFERROR(__xludf.DUMMYFUNCTION("""COMPUTED_VALUE"""),"No")</f>
        <v>No</v>
      </c>
      <c r="I1602" s="1" t="str">
        <f ca="1">IFERROR(__xludf.DUMMYFUNCTION("""COMPUTED_VALUE"""),"Will NOT work for them")</f>
        <v>Will NOT work for them</v>
      </c>
      <c r="J1602" s="1">
        <f ca="1">IFERROR(__xludf.DUMMYFUNCTION("""COMPUTED_VALUE"""),1)</f>
        <v>1</v>
      </c>
      <c r="K1602" s="1" t="str">
        <f ca="1">IFERROR(__xludf.DUMMYFUNCTION("""COMPUTED_VALUE"""),"Hybrid Working Environment with less than 3 days a month at office")</f>
        <v>Hybrid Working Environment with less than 3 days a month at office</v>
      </c>
      <c r="L1602" s="1" t="str">
        <f ca="1">IFERROR(__xludf.DUMMYFUNCTION("""COMPUTED_VALUE"""),"Employer who pushes your limits by enabling an learning environment, and rewards you at the end")</f>
        <v>Employer who pushes your limits by enabling an learning environment, and rewards you at the end</v>
      </c>
      <c r="M160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02"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602" s="1" t="str">
        <f ca="1">IFERROR(__xludf.DUMMYFUNCTION("""COMPUTED_VALUE"""),"Manager who explains what is expected, sets a goal and helps achieve it")</f>
        <v>Manager who explains what is expected, sets a goal and helps achieve it</v>
      </c>
      <c r="P1602" s="1" t="str">
        <f ca="1">IFERROR(__xludf.DUMMYFUNCTION("""COMPUTED_VALUE"""),"Work with 5 to 6 people in my team")</f>
        <v>Work with 5 to 6 people in my team</v>
      </c>
      <c r="Q1602" s="1"/>
    </row>
    <row r="1603" spans="1:17" ht="13.2" x14ac:dyDescent="0.25">
      <c r="A1603" s="2">
        <f ca="1">IFERROR(__xludf.DUMMYFUNCTION("""COMPUTED_VALUE"""),45045.9128753935)</f>
        <v>45045.9128753935</v>
      </c>
      <c r="B1603" s="1" t="str">
        <f ca="1">IFERROR(__xludf.DUMMYFUNCTION("""COMPUTED_VALUE"""),"India")</f>
        <v>India</v>
      </c>
      <c r="C1603" s="1">
        <f ca="1">IFERROR(__xludf.DUMMYFUNCTION("""COMPUTED_VALUE"""),43002)</f>
        <v>43002</v>
      </c>
      <c r="D1603" s="3" t="str">
        <f ca="1">IFERROR(__xludf.DUMMYFUNCTION("""COMPUTED_VALUE"""),"Female")</f>
        <v>Female</v>
      </c>
      <c r="E1603" s="1" t="str">
        <f ca="1">IFERROR(__xludf.DUMMYFUNCTION("""COMPUTED_VALUE"""),"My Parents")</f>
        <v>My Parents</v>
      </c>
      <c r="F1603" s="1" t="str">
        <f ca="1">IFERROR(__xludf.DUMMYFUNCTION("""COMPUTED_VALUE"""),"No I would not be pursuing Higher Education outside of India")</f>
        <v>No I would not be pursuing Higher Education outside of India</v>
      </c>
      <c r="G1603" s="1" t="str">
        <f ca="1">IFERROR(__xludf.DUMMYFUNCTION("""COMPUTED_VALUE"""),"This will be hard to do, but if it is the right company I would try")</f>
        <v>This will be hard to do, but if it is the right company I would try</v>
      </c>
      <c r="H1603" s="1" t="str">
        <f ca="1">IFERROR(__xludf.DUMMYFUNCTION("""COMPUTED_VALUE"""),"No")</f>
        <v>No</v>
      </c>
      <c r="I1603" s="1" t="str">
        <f ca="1">IFERROR(__xludf.DUMMYFUNCTION("""COMPUTED_VALUE"""),"Will NOT work for them")</f>
        <v>Will NOT work for them</v>
      </c>
      <c r="J1603" s="1">
        <f ca="1">IFERROR(__xludf.DUMMYFUNCTION("""COMPUTED_VALUE"""),8)</f>
        <v>8</v>
      </c>
      <c r="K1603" s="1" t="str">
        <f ca="1">IFERROR(__xludf.DUMMYFUNCTION("""COMPUTED_VALUE"""),"Every Day Office Environment")</f>
        <v>Every Day Office Environment</v>
      </c>
      <c r="L1603" s="1" t="str">
        <f ca="1">IFERROR(__xludf.DUMMYFUNCTION("""COMPUTED_VALUE"""),"Employer who pushes your limits by enabling an learning environment, and rewards you at the end")</f>
        <v>Employer who pushes your limits by enabling an learning environment, and rewards you at the end</v>
      </c>
      <c r="M16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3"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603" s="1" t="str">
        <f ca="1">IFERROR(__xludf.DUMMYFUNCTION("""COMPUTED_VALUE"""),"Manager who explains what is expected, sets a goal and helps achieve it")</f>
        <v>Manager who explains what is expected, sets a goal and helps achieve it</v>
      </c>
      <c r="P1603" s="1" t="str">
        <f ca="1">IFERROR(__xludf.DUMMYFUNCTION("""COMPUTED_VALUE"""),"Work with 2 to 3 people in my team")</f>
        <v>Work with 2 to 3 people in my team</v>
      </c>
      <c r="Q1603" s="1"/>
    </row>
    <row r="1604" spans="1:17" ht="13.2" x14ac:dyDescent="0.25">
      <c r="A1604" s="2">
        <f ca="1">IFERROR(__xludf.DUMMYFUNCTION("""COMPUTED_VALUE"""),45045.9152175347)</f>
        <v>45045.915217534697</v>
      </c>
      <c r="B1604" s="1" t="str">
        <f ca="1">IFERROR(__xludf.DUMMYFUNCTION("""COMPUTED_VALUE"""),"India")</f>
        <v>India</v>
      </c>
      <c r="C1604" s="1">
        <f ca="1">IFERROR(__xludf.DUMMYFUNCTION("""COMPUTED_VALUE"""),110003)</f>
        <v>110003</v>
      </c>
      <c r="D1604" s="3" t="str">
        <f ca="1">IFERROR(__xludf.DUMMYFUNCTION("""COMPUTED_VALUE"""),"Male")</f>
        <v>Male</v>
      </c>
      <c r="E1604" s="1" t="str">
        <f ca="1">IFERROR(__xludf.DUMMYFUNCTION("""COMPUTED_VALUE"""),"People who have changed the world for better")</f>
        <v>People who have changed the world for better</v>
      </c>
      <c r="F1604" s="1" t="str">
        <f ca="1">IFERROR(__xludf.DUMMYFUNCTION("""COMPUTED_VALUE"""),"Yes, I will earn and do that")</f>
        <v>Yes, I will earn and do that</v>
      </c>
      <c r="G1604" s="1" t="str">
        <f ca="1">IFERROR(__xludf.DUMMYFUNCTION("""COMPUTED_VALUE"""),"This will be hard to do, but if it is the right company I would try")</f>
        <v>This will be hard to do, but if it is the right company I would try</v>
      </c>
      <c r="H1604" s="1" t="str">
        <f ca="1">IFERROR(__xludf.DUMMYFUNCTION("""COMPUTED_VALUE"""),"No")</f>
        <v>No</v>
      </c>
      <c r="I1604" s="1" t="str">
        <f ca="1">IFERROR(__xludf.DUMMYFUNCTION("""COMPUTED_VALUE"""),"Will NOT work for them")</f>
        <v>Will NOT work for them</v>
      </c>
      <c r="J1604" s="1">
        <f ca="1">IFERROR(__xludf.DUMMYFUNCTION("""COMPUTED_VALUE"""),8)</f>
        <v>8</v>
      </c>
      <c r="K1604" s="1" t="str">
        <f ca="1">IFERROR(__xludf.DUMMYFUNCTION("""COMPUTED_VALUE"""),"Fully Remote with Options to travel as and when needed")</f>
        <v>Fully Remote with Options to travel as and when needed</v>
      </c>
      <c r="L1604" s="1" t="str">
        <f ca="1">IFERROR(__xludf.DUMMYFUNCTION("""COMPUTED_VALUE"""),"Employer who appreciates learning and enables that environment")</f>
        <v>Employer who appreciates learning and enables that environment</v>
      </c>
      <c r="M16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04" s="1" t="str">
        <f ca="1">IFERROR(__xludf.DUMMYFUNCTION("""COMPUTED_VALUE"""),"Manager who sets goal and helps me achieve it")</f>
        <v>Manager who sets goal and helps me achieve it</v>
      </c>
      <c r="P1604" s="1" t="str">
        <f ca="1">IFERROR(__xludf.DUMMYFUNCTION("""COMPUTED_VALUE"""),"Work with 2 to 3 people in my team")</f>
        <v>Work with 2 to 3 people in my team</v>
      </c>
      <c r="Q1604" s="1"/>
    </row>
    <row r="1605" spans="1:17" ht="13.2" x14ac:dyDescent="0.25">
      <c r="A1605" s="2">
        <f ca="1">IFERROR(__xludf.DUMMYFUNCTION("""COMPUTED_VALUE"""),45045.9216758333)</f>
        <v>45045.921675833299</v>
      </c>
      <c r="B1605" s="1" t="str">
        <f ca="1">IFERROR(__xludf.DUMMYFUNCTION("""COMPUTED_VALUE"""),"Canada")</f>
        <v>Canada</v>
      </c>
      <c r="C1605" s="1" t="str">
        <f ca="1">IFERROR(__xludf.DUMMYFUNCTION("""COMPUTED_VALUE"""),"H3X2V2")</f>
        <v>H3X2V2</v>
      </c>
      <c r="D1605" s="3" t="str">
        <f ca="1">IFERROR(__xludf.DUMMYFUNCTION("""COMPUTED_VALUE"""),"Male")</f>
        <v>Male</v>
      </c>
      <c r="E1605" s="1" t="str">
        <f ca="1">IFERROR(__xludf.DUMMYFUNCTION("""COMPUTED_VALUE"""),"People who have changed the world for better")</f>
        <v>People who have changed the world for better</v>
      </c>
      <c r="F1605" s="1" t="str">
        <f ca="1">IFERROR(__xludf.DUMMYFUNCTION("""COMPUTED_VALUE"""),"Yes, I will earn and do that")</f>
        <v>Yes, I will earn and do that</v>
      </c>
      <c r="G1605" s="1" t="str">
        <f ca="1">IFERROR(__xludf.DUMMYFUNCTION("""COMPUTED_VALUE"""),"This will be hard to do, but if it is the right company I would try")</f>
        <v>This will be hard to do, but if it is the right company I would try</v>
      </c>
      <c r="H1605" s="1" t="str">
        <f ca="1">IFERROR(__xludf.DUMMYFUNCTION("""COMPUTED_VALUE"""),"No")</f>
        <v>No</v>
      </c>
      <c r="I1605" s="1" t="str">
        <f ca="1">IFERROR(__xludf.DUMMYFUNCTION("""COMPUTED_VALUE"""),"Will NOT work for them")</f>
        <v>Will NOT work for them</v>
      </c>
      <c r="J1605" s="1">
        <f ca="1">IFERROR(__xludf.DUMMYFUNCTION("""COMPUTED_VALUE"""),1)</f>
        <v>1</v>
      </c>
      <c r="K1605" s="1" t="str">
        <f ca="1">IFERROR(__xludf.DUMMYFUNCTION("""COMPUTED_VALUE"""),"Hybrid Working Environment with more than 15 days a month at office")</f>
        <v>Hybrid Working Environment with more than 15 days a month at office</v>
      </c>
      <c r="L1605" s="1" t="str">
        <f ca="1">IFERROR(__xludf.DUMMYFUNCTION("""COMPUTED_VALUE"""),"Employer who pushes your limits by enabling an learning environment, and rewards you at the end")</f>
        <v>Employer who pushes your limits by enabling an learning environment, and rewards you at the end</v>
      </c>
      <c r="M160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05"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05" s="1" t="str">
        <f ca="1">IFERROR(__xludf.DUMMYFUNCTION("""COMPUTED_VALUE"""),"Manager who explains what is expected, sets a goal and helps achieve it")</f>
        <v>Manager who explains what is expected, sets a goal and helps achieve it</v>
      </c>
      <c r="P1605" s="1" t="str">
        <f ca="1">IFERROR(__xludf.DUMMYFUNCTION("""COMPUTED_VALUE"""),"Work with 5 to 6 people in my team, Work with 7 to 10 or more people in my team")</f>
        <v>Work with 5 to 6 people in my team, Work with 7 to 10 or more people in my team</v>
      </c>
      <c r="Q1605" s="1"/>
    </row>
    <row r="1606" spans="1:17" ht="13.2" x14ac:dyDescent="0.25">
      <c r="A1606" s="2">
        <f ca="1">IFERROR(__xludf.DUMMYFUNCTION("""COMPUTED_VALUE"""),45045.9227116898)</f>
        <v>45045.922711689796</v>
      </c>
      <c r="B1606" s="1" t="str">
        <f ca="1">IFERROR(__xludf.DUMMYFUNCTION("""COMPUTED_VALUE"""),"India")</f>
        <v>India</v>
      </c>
      <c r="C1606" s="1">
        <f ca="1">IFERROR(__xludf.DUMMYFUNCTION("""COMPUTED_VALUE"""),500072)</f>
        <v>500072</v>
      </c>
      <c r="D1606" s="3" t="str">
        <f ca="1">IFERROR(__xludf.DUMMYFUNCTION("""COMPUTED_VALUE"""),"Female")</f>
        <v>Female</v>
      </c>
      <c r="E1606" s="1" t="str">
        <f ca="1">IFERROR(__xludf.DUMMYFUNCTION("""COMPUTED_VALUE"""),"Influencers who had successful careers")</f>
        <v>Influencers who had successful careers</v>
      </c>
      <c r="F1606" s="1" t="str">
        <f ca="1">IFERROR(__xludf.DUMMYFUNCTION("""COMPUTED_VALUE"""),"Yes, I will earn and do that")</f>
        <v>Yes, I will earn and do that</v>
      </c>
      <c r="G1606" s="1" t="str">
        <f ca="1">IFERROR(__xludf.DUMMYFUNCTION("""COMPUTED_VALUE"""),"Will work for 3 years or more")</f>
        <v>Will work for 3 years or more</v>
      </c>
      <c r="H1606" s="1" t="str">
        <f ca="1">IFERROR(__xludf.DUMMYFUNCTION("""COMPUTED_VALUE"""),"No")</f>
        <v>No</v>
      </c>
      <c r="I1606" s="1" t="str">
        <f ca="1">IFERROR(__xludf.DUMMYFUNCTION("""COMPUTED_VALUE"""),"Will NOT work for them")</f>
        <v>Will NOT work for them</v>
      </c>
      <c r="J1606" s="1">
        <f ca="1">IFERROR(__xludf.DUMMYFUNCTION("""COMPUTED_VALUE"""),6)</f>
        <v>6</v>
      </c>
      <c r="K1606" s="1" t="str">
        <f ca="1">IFERROR(__xludf.DUMMYFUNCTION("""COMPUTED_VALUE"""),"Every Day Office Environment")</f>
        <v>Every Day Office Environment</v>
      </c>
      <c r="L1606" s="1" t="str">
        <f ca="1">IFERROR(__xludf.DUMMYFUNCTION("""COMPUTED_VALUE"""),"Employer who pushes your limits by enabling an learning environment, and rewards you at the end")</f>
        <v>Employer who pushes your limits by enabling an learning environment, and rewards you at the end</v>
      </c>
      <c r="M160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606" s="1" t="str">
        <f ca="1">IFERROR(__xludf.DUMMYFUNCTION("""COMPUTED_VALUE"""),"Manager who sets targets and expects me to achieve it")</f>
        <v>Manager who sets targets and expects me to achieve it</v>
      </c>
      <c r="P1606" s="1" t="str">
        <f ca="1">IFERROR(__xludf.DUMMYFUNCTION("""COMPUTED_VALUE"""),"Work alone, Work with 2 to 3 people in my team")</f>
        <v>Work alone, Work with 2 to 3 people in my team</v>
      </c>
      <c r="Q1606" s="1"/>
    </row>
    <row r="1607" spans="1:17" ht="13.2" x14ac:dyDescent="0.25">
      <c r="A1607" s="2">
        <f ca="1">IFERROR(__xludf.DUMMYFUNCTION("""COMPUTED_VALUE"""),45045.9233549537)</f>
        <v>45045.923354953702</v>
      </c>
      <c r="B1607" s="1" t="str">
        <f ca="1">IFERROR(__xludf.DUMMYFUNCTION("""COMPUTED_VALUE"""),"India")</f>
        <v>India</v>
      </c>
      <c r="C1607" s="1">
        <f ca="1">IFERROR(__xludf.DUMMYFUNCTION("""COMPUTED_VALUE"""),495001)</f>
        <v>495001</v>
      </c>
      <c r="D1607" s="3" t="str">
        <f ca="1">IFERROR(__xludf.DUMMYFUNCTION("""COMPUTED_VALUE"""),"Female")</f>
        <v>Female</v>
      </c>
      <c r="E1607" s="1" t="str">
        <f ca="1">IFERROR(__xludf.DUMMYFUNCTION("""COMPUTED_VALUE"""),"My Parents")</f>
        <v>My Parents</v>
      </c>
      <c r="F1607" s="1" t="str">
        <f ca="1">IFERROR(__xludf.DUMMYFUNCTION("""COMPUTED_VALUE"""),"Yes, I will earn and do that")</f>
        <v>Yes, I will earn and do that</v>
      </c>
      <c r="G1607" s="1" t="str">
        <f ca="1">IFERROR(__xludf.DUMMYFUNCTION("""COMPUTED_VALUE"""),"Will work for 3 years or more")</f>
        <v>Will work for 3 years or more</v>
      </c>
      <c r="H1607" s="1" t="str">
        <f ca="1">IFERROR(__xludf.DUMMYFUNCTION("""COMPUTED_VALUE"""),"No")</f>
        <v>No</v>
      </c>
      <c r="I1607" s="1" t="str">
        <f ca="1">IFERROR(__xludf.DUMMYFUNCTION("""COMPUTED_VALUE"""),"Will NOT work for them")</f>
        <v>Will NOT work for them</v>
      </c>
      <c r="J1607" s="1">
        <f ca="1">IFERROR(__xludf.DUMMYFUNCTION("""COMPUTED_VALUE"""),4)</f>
        <v>4</v>
      </c>
      <c r="K1607" s="1" t="str">
        <f ca="1">IFERROR(__xludf.DUMMYFUNCTION("""COMPUTED_VALUE"""),"Hybrid Working Environment with more than 15 days a month at office")</f>
        <v>Hybrid Working Environment with more than 15 days a month at office</v>
      </c>
      <c r="L1607" s="1" t="str">
        <f ca="1">IFERROR(__xludf.DUMMYFUNCTION("""COMPUTED_VALUE"""),"Employer who pushes your limits by enabling an learning environment, and rewards you at the end")</f>
        <v>Employer who pushes your limits by enabling an learning environment, and rewards you at the end</v>
      </c>
      <c r="M160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607" s="1" t="str">
        <f ca="1">IFERROR(__xludf.DUMMYFUNCTION("""COMPUTED_VALUE"""),"Manager who explains what is expected, sets a goal and helps achieve it")</f>
        <v>Manager who explains what is expected, sets a goal and helps achieve it</v>
      </c>
      <c r="P1607" s="1" t="str">
        <f ca="1">IFERROR(__xludf.DUMMYFUNCTION("""COMPUTED_VALUE"""),"Work with 2 to 3 people in my team, Work with 5 to 6 people in my team")</f>
        <v>Work with 2 to 3 people in my team, Work with 5 to 6 people in my team</v>
      </c>
      <c r="Q1607" s="1"/>
    </row>
    <row r="1608" spans="1:17" ht="13.2" x14ac:dyDescent="0.25">
      <c r="A1608" s="2">
        <f ca="1">IFERROR(__xludf.DUMMYFUNCTION("""COMPUTED_VALUE"""),45045.9249749884)</f>
        <v>45045.924974988397</v>
      </c>
      <c r="B1608" s="1" t="str">
        <f ca="1">IFERROR(__xludf.DUMMYFUNCTION("""COMPUTED_VALUE"""),"India")</f>
        <v>India</v>
      </c>
      <c r="C1608" s="1">
        <f ca="1">IFERROR(__xludf.DUMMYFUNCTION("""COMPUTED_VALUE"""),456006)</f>
        <v>456006</v>
      </c>
      <c r="D1608" s="3" t="str">
        <f ca="1">IFERROR(__xludf.DUMMYFUNCTION("""COMPUTED_VALUE"""),"Female")</f>
        <v>Female</v>
      </c>
      <c r="E1608" s="1" t="str">
        <f ca="1">IFERROR(__xludf.DUMMYFUNCTION("""COMPUTED_VALUE"""),"People from my circle, but not family members")</f>
        <v>People from my circle, but not family members</v>
      </c>
      <c r="F1608" s="1" t="str">
        <f ca="1">IFERROR(__xludf.DUMMYFUNCTION("""COMPUTED_VALUE"""),"No, But if someone could bare the cost I will")</f>
        <v>No, But if someone could bare the cost I will</v>
      </c>
      <c r="G1608" s="1" t="str">
        <f ca="1">IFERROR(__xludf.DUMMYFUNCTION("""COMPUTED_VALUE"""),"This will be hard to do, but if it is the right company I would try")</f>
        <v>This will be hard to do, but if it is the right company I would try</v>
      </c>
      <c r="H1608" s="1" t="str">
        <f ca="1">IFERROR(__xludf.DUMMYFUNCTION("""COMPUTED_VALUE"""),"No")</f>
        <v>No</v>
      </c>
      <c r="I1608" s="1" t="str">
        <f ca="1">IFERROR(__xludf.DUMMYFUNCTION("""COMPUTED_VALUE"""),"Will NOT work for them")</f>
        <v>Will NOT work for them</v>
      </c>
      <c r="J1608" s="1">
        <f ca="1">IFERROR(__xludf.DUMMYFUNCTION("""COMPUTED_VALUE"""),10)</f>
        <v>10</v>
      </c>
      <c r="K1608" s="1" t="str">
        <f ca="1">IFERROR(__xludf.DUMMYFUNCTION("""COMPUTED_VALUE"""),"Fully Remote with Options to travel as and when needed")</f>
        <v>Fully Remote with Options to travel as and when needed</v>
      </c>
      <c r="L1608" s="1" t="str">
        <f ca="1">IFERROR(__xludf.DUMMYFUNCTION("""COMPUTED_VALUE"""),"Employer who pushes your limits by enabling an learning environment, and rewards you at the end")</f>
        <v>Employer who pushes your limits by enabling an learning environment, and rewards you at the end</v>
      </c>
      <c r="M16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608" s="1" t="str">
        <f ca="1">IFERROR(__xludf.DUMMYFUNCTION("""COMPUTED_VALUE"""),"Manager who explains what is expected, sets a goal and helps achieve it")</f>
        <v>Manager who explains what is expected, sets a goal and helps achieve it</v>
      </c>
      <c r="P1608" s="1" t="str">
        <f ca="1">IFERROR(__xludf.DUMMYFUNCTION("""COMPUTED_VALUE"""),"Work with 7 to 10 or more people in my team")</f>
        <v>Work with 7 to 10 or more people in my team</v>
      </c>
      <c r="Q1608" s="1"/>
    </row>
    <row r="1609" spans="1:17" ht="13.2" x14ac:dyDescent="0.25">
      <c r="A1609" s="2">
        <f ca="1">IFERROR(__xludf.DUMMYFUNCTION("""COMPUTED_VALUE"""),45045.9260512384)</f>
        <v>45045.926051238399</v>
      </c>
      <c r="B1609" s="1" t="str">
        <f ca="1">IFERROR(__xludf.DUMMYFUNCTION("""COMPUTED_VALUE"""),"India")</f>
        <v>India</v>
      </c>
      <c r="C1609" s="1">
        <f ca="1">IFERROR(__xludf.DUMMYFUNCTION("""COMPUTED_VALUE"""),473001)</f>
        <v>473001</v>
      </c>
      <c r="D1609" s="3" t="str">
        <f ca="1">IFERROR(__xludf.DUMMYFUNCTION("""COMPUTED_VALUE"""),"Male")</f>
        <v>Male</v>
      </c>
      <c r="E1609" s="1" t="str">
        <f ca="1">IFERROR(__xludf.DUMMYFUNCTION("""COMPUTED_VALUE"""),"People from my circle, but not family members")</f>
        <v>People from my circle, but not family members</v>
      </c>
      <c r="F1609" s="1" t="str">
        <f ca="1">IFERROR(__xludf.DUMMYFUNCTION("""COMPUTED_VALUE"""),"No I would not be pursuing Higher Education outside of India")</f>
        <v>No I would not be pursuing Higher Education outside of India</v>
      </c>
      <c r="G1609" s="1" t="str">
        <f ca="1">IFERROR(__xludf.DUMMYFUNCTION("""COMPUTED_VALUE"""),"This will be hard to do, but if it is the right company I would try")</f>
        <v>This will be hard to do, but if it is the right company I would try</v>
      </c>
      <c r="H1609" s="1" t="str">
        <f ca="1">IFERROR(__xludf.DUMMYFUNCTION("""COMPUTED_VALUE"""),"No")</f>
        <v>No</v>
      </c>
      <c r="I1609" s="1" t="str">
        <f ca="1">IFERROR(__xludf.DUMMYFUNCTION("""COMPUTED_VALUE"""),"Will NOT work for them")</f>
        <v>Will NOT work for them</v>
      </c>
      <c r="J1609" s="1">
        <f ca="1">IFERROR(__xludf.DUMMYFUNCTION("""COMPUTED_VALUE"""),3)</f>
        <v>3</v>
      </c>
      <c r="K1609" s="1" t="str">
        <f ca="1">IFERROR(__xludf.DUMMYFUNCTION("""COMPUTED_VALUE"""),"Hybrid Working Environment with more than 15 days a month at office")</f>
        <v>Hybrid Working Environment with more than 15 days a month at office</v>
      </c>
      <c r="L1609" s="1" t="str">
        <f ca="1">IFERROR(__xludf.DUMMYFUNCTION("""COMPUTED_VALUE"""),"Employer who pushes your limits by enabling an learning environment, and rewards you at the end")</f>
        <v>Employer who pushes your limits by enabling an learning environment, and rewards you at the end</v>
      </c>
      <c r="M160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0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609" s="1" t="str">
        <f ca="1">IFERROR(__xludf.DUMMYFUNCTION("""COMPUTED_VALUE"""),"Manager who sets goal and helps me achieve it")</f>
        <v>Manager who sets goal and helps me achieve it</v>
      </c>
      <c r="P1609" s="1" t="str">
        <f ca="1">IFERROR(__xludf.DUMMYFUNCTION("""COMPUTED_VALUE"""),"Work with 5 to 6 people in my team")</f>
        <v>Work with 5 to 6 people in my team</v>
      </c>
      <c r="Q1609" s="1"/>
    </row>
    <row r="1610" spans="1:17" ht="13.2" x14ac:dyDescent="0.25">
      <c r="A1610" s="2">
        <f ca="1">IFERROR(__xludf.DUMMYFUNCTION("""COMPUTED_VALUE"""),45045.927445625)</f>
        <v>45045.927445624999</v>
      </c>
      <c r="B1610" s="1" t="str">
        <f ca="1">IFERROR(__xludf.DUMMYFUNCTION("""COMPUTED_VALUE"""),"India")</f>
        <v>India</v>
      </c>
      <c r="C1610" s="1">
        <f ca="1">IFERROR(__xludf.DUMMYFUNCTION("""COMPUTED_VALUE"""),110006)</f>
        <v>110006</v>
      </c>
      <c r="D1610" s="3" t="str">
        <f ca="1">IFERROR(__xludf.DUMMYFUNCTION("""COMPUTED_VALUE"""),"Female")</f>
        <v>Female</v>
      </c>
      <c r="E1610" s="1" t="str">
        <f ca="1">IFERROR(__xludf.DUMMYFUNCTION("""COMPUTED_VALUE"""),"People from my circle, but not family members")</f>
        <v>People from my circle, but not family members</v>
      </c>
      <c r="F1610" s="1" t="str">
        <f ca="1">IFERROR(__xludf.DUMMYFUNCTION("""COMPUTED_VALUE"""),"No, But if someone could bare the cost I will")</f>
        <v>No, But if someone could bare the cost I will</v>
      </c>
      <c r="G1610" s="1" t="str">
        <f ca="1">IFERROR(__xludf.DUMMYFUNCTION("""COMPUTED_VALUE"""),"This will be hard to do, but if it is the right company I would try")</f>
        <v>This will be hard to do, but if it is the right company I would try</v>
      </c>
      <c r="H1610" s="1" t="str">
        <f ca="1">IFERROR(__xludf.DUMMYFUNCTION("""COMPUTED_VALUE"""),"No")</f>
        <v>No</v>
      </c>
      <c r="I1610" s="1" t="str">
        <f ca="1">IFERROR(__xludf.DUMMYFUNCTION("""COMPUTED_VALUE"""),"Will NOT work for them")</f>
        <v>Will NOT work for them</v>
      </c>
      <c r="J1610" s="1">
        <f ca="1">IFERROR(__xludf.DUMMYFUNCTION("""COMPUTED_VALUE"""),4)</f>
        <v>4</v>
      </c>
      <c r="K1610" s="1" t="str">
        <f ca="1">IFERROR(__xludf.DUMMYFUNCTION("""COMPUTED_VALUE"""),"Hybrid Working Environment with less than 3 days a month at office")</f>
        <v>Hybrid Working Environment with less than 3 days a month at office</v>
      </c>
      <c r="L1610" s="1" t="str">
        <f ca="1">IFERROR(__xludf.DUMMYFUNCTION("""COMPUTED_VALUE"""),"Employer who pushes your limits by enabling an learning environment, and rewards you at the end")</f>
        <v>Employer who pushes your limits by enabling an learning environment, and rewards you at the end</v>
      </c>
      <c r="M161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0"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1610" s="1" t="str">
        <f ca="1">IFERROR(__xludf.DUMMYFUNCTION("""COMPUTED_VALUE"""),"Manager who explains what is expected, sets a goal and helps achieve it")</f>
        <v>Manager who explains what is expected, sets a goal and helps achieve it</v>
      </c>
      <c r="P1610" s="1" t="str">
        <f ca="1">IFERROR(__xludf.DUMMYFUNCTION("""COMPUTED_VALUE"""),"Work with 2 to 3 people in my team, Work with 5 to 6 people in my team")</f>
        <v>Work with 2 to 3 people in my team, Work with 5 to 6 people in my team</v>
      </c>
      <c r="Q1610" s="1"/>
    </row>
    <row r="1611" spans="1:17" ht="13.2" x14ac:dyDescent="0.25">
      <c r="A1611" s="2">
        <f ca="1">IFERROR(__xludf.DUMMYFUNCTION("""COMPUTED_VALUE"""),45045.9293493287)</f>
        <v>45045.929349328697</v>
      </c>
      <c r="B1611" s="1" t="str">
        <f ca="1">IFERROR(__xludf.DUMMYFUNCTION("""COMPUTED_VALUE"""),"UAE")</f>
        <v>UAE</v>
      </c>
      <c r="C1611" s="1">
        <f ca="1">IFERROR(__xludf.DUMMYFUNCTION("""COMPUTED_VALUE"""),27606)</f>
        <v>27606</v>
      </c>
      <c r="D1611" s="3" t="str">
        <f ca="1">IFERROR(__xludf.DUMMYFUNCTION("""COMPUTED_VALUE"""),"Female")</f>
        <v>Female</v>
      </c>
      <c r="E1611" s="1" t="str">
        <f ca="1">IFERROR(__xludf.DUMMYFUNCTION("""COMPUTED_VALUE"""),"People who have changed the world for better")</f>
        <v>People who have changed the world for better</v>
      </c>
      <c r="F1611" s="1" t="str">
        <f ca="1">IFERROR(__xludf.DUMMYFUNCTION("""COMPUTED_VALUE"""),"No, But if someone could bare the cost I will")</f>
        <v>No, But if someone could bare the cost I will</v>
      </c>
      <c r="G1611" s="1" t="str">
        <f ca="1">IFERROR(__xludf.DUMMYFUNCTION("""COMPUTED_VALUE"""),"Will work for 3 years or more")</f>
        <v>Will work for 3 years or more</v>
      </c>
      <c r="H1611" s="1" t="str">
        <f ca="1">IFERROR(__xludf.DUMMYFUNCTION("""COMPUTED_VALUE"""),"No")</f>
        <v>No</v>
      </c>
      <c r="I1611" s="1" t="str">
        <f ca="1">IFERROR(__xludf.DUMMYFUNCTION("""COMPUTED_VALUE"""),"Will NOT work for them")</f>
        <v>Will NOT work for them</v>
      </c>
      <c r="J1611" s="1">
        <f ca="1">IFERROR(__xludf.DUMMYFUNCTION("""COMPUTED_VALUE"""),5)</f>
        <v>5</v>
      </c>
      <c r="K1611" s="1" t="str">
        <f ca="1">IFERROR(__xludf.DUMMYFUNCTION("""COMPUTED_VALUE"""),"Hybrid Working Environment with more than 15 days a month at office")</f>
        <v>Hybrid Working Environment with more than 15 days a month at office</v>
      </c>
      <c r="L1611" s="1" t="str">
        <f ca="1">IFERROR(__xludf.DUMMYFUNCTION("""COMPUTED_VALUE"""),"Employer who pushes your limits by enabling an learning environment, and rewards you at the end")</f>
        <v>Employer who pushes your limits by enabling an learning environment, and rewards you at the end</v>
      </c>
      <c r="M16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611" s="1" t="str">
        <f ca="1">IFERROR(__xludf.DUMMYFUNCTION("""COMPUTED_VALUE"""),"Manager who explains what is expected, sets a goal and helps achieve it")</f>
        <v>Manager who explains what is expected, sets a goal and helps achieve it</v>
      </c>
      <c r="P1611" s="1" t="str">
        <f ca="1">IFERROR(__xludf.DUMMYFUNCTION("""COMPUTED_VALUE"""),"Work with 5 to 6 people in my team")</f>
        <v>Work with 5 to 6 people in my team</v>
      </c>
      <c r="Q1611" s="1"/>
    </row>
    <row r="1612" spans="1:17" ht="13.2" x14ac:dyDescent="0.25">
      <c r="A1612" s="2">
        <f ca="1">IFERROR(__xludf.DUMMYFUNCTION("""COMPUTED_VALUE"""),45045.9305853125)</f>
        <v>45045.930585312497</v>
      </c>
      <c r="B1612" s="1" t="str">
        <f ca="1">IFERROR(__xludf.DUMMYFUNCTION("""COMPUTED_VALUE"""),"India")</f>
        <v>India</v>
      </c>
      <c r="C1612" s="1">
        <f ca="1">IFERROR(__xludf.DUMMYFUNCTION("""COMPUTED_VALUE"""),721302)</f>
        <v>721302</v>
      </c>
      <c r="D1612" s="3" t="str">
        <f ca="1">IFERROR(__xludf.DUMMYFUNCTION("""COMPUTED_VALUE"""),"Male")</f>
        <v>Male</v>
      </c>
      <c r="E1612" s="1" t="str">
        <f ca="1">IFERROR(__xludf.DUMMYFUNCTION("""COMPUTED_VALUE"""),"Social Media like LinkedIn")</f>
        <v>Social Media like LinkedIn</v>
      </c>
      <c r="F1612" s="1" t="str">
        <f ca="1">IFERROR(__xludf.DUMMYFUNCTION("""COMPUTED_VALUE"""),"No I would not be pursuing Higher Education outside of India")</f>
        <v>No I would not be pursuing Higher Education outside of India</v>
      </c>
      <c r="G1612" s="1" t="str">
        <f ca="1">IFERROR(__xludf.DUMMYFUNCTION("""COMPUTED_VALUE"""),"This will be hard to do, but if it is the right company I would try")</f>
        <v>This will be hard to do, but if it is the right company I would try</v>
      </c>
      <c r="H1612" s="1" t="str">
        <f ca="1">IFERROR(__xludf.DUMMYFUNCTION("""COMPUTED_VALUE"""),"No")</f>
        <v>No</v>
      </c>
      <c r="I1612" s="1" t="str">
        <f ca="1">IFERROR(__xludf.DUMMYFUNCTION("""COMPUTED_VALUE"""),"Will NOT work for them")</f>
        <v>Will NOT work for them</v>
      </c>
      <c r="J1612" s="1">
        <f ca="1">IFERROR(__xludf.DUMMYFUNCTION("""COMPUTED_VALUE"""),6)</f>
        <v>6</v>
      </c>
      <c r="K1612" s="1" t="str">
        <f ca="1">IFERROR(__xludf.DUMMYFUNCTION("""COMPUTED_VALUE"""),"Every Day Office Environment")</f>
        <v>Every Day Office Environment</v>
      </c>
      <c r="L1612" s="1" t="str">
        <f ca="1">IFERROR(__xludf.DUMMYFUNCTION("""COMPUTED_VALUE"""),"Employer who pushes your limits by enabling an learning environment, and rewards you at the end")</f>
        <v>Employer who pushes your limits by enabling an learning environment, and rewards you at the end</v>
      </c>
      <c r="M1612" s="1" t="str">
        <f ca="1">IFERROR(__xludf.DUMMYFUNCTION("""COMPUTED_VALUE"""),"Self Paced Learning Portals of the Company, Learning by observing others, Manager Teaching you")</f>
        <v>Self Paced Learning Portals of the Company, Learning by observing others, Manager Teaching you</v>
      </c>
      <c r="N1612"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612" s="1" t="str">
        <f ca="1">IFERROR(__xludf.DUMMYFUNCTION("""COMPUTED_VALUE"""),"Manager who sets goal and helps me achieve it")</f>
        <v>Manager who sets goal and helps me achieve it</v>
      </c>
      <c r="P1612" s="1" t="str">
        <f ca="1">IFERROR(__xludf.DUMMYFUNCTION("""COMPUTED_VALUE"""),"Work with 5 to 6 people in my team")</f>
        <v>Work with 5 to 6 people in my team</v>
      </c>
      <c r="Q1612" s="1"/>
    </row>
    <row r="1613" spans="1:17" ht="13.2" x14ac:dyDescent="0.25">
      <c r="A1613" s="2">
        <f ca="1">IFERROR(__xludf.DUMMYFUNCTION("""COMPUTED_VALUE"""),45045.931969537)</f>
        <v>45045.931969537</v>
      </c>
      <c r="B1613" s="1" t="str">
        <f ca="1">IFERROR(__xludf.DUMMYFUNCTION("""COMPUTED_VALUE"""),"India")</f>
        <v>India</v>
      </c>
      <c r="C1613" s="1">
        <f ca="1">IFERROR(__xludf.DUMMYFUNCTION("""COMPUTED_VALUE"""),452001)</f>
        <v>452001</v>
      </c>
      <c r="D1613" s="3" t="str">
        <f ca="1">IFERROR(__xludf.DUMMYFUNCTION("""COMPUTED_VALUE"""),"Female")</f>
        <v>Female</v>
      </c>
      <c r="E1613" s="1" t="str">
        <f ca="1">IFERROR(__xludf.DUMMYFUNCTION("""COMPUTED_VALUE"""),"People who have changed the world for better")</f>
        <v>People who have changed the world for better</v>
      </c>
      <c r="F1613" s="1" t="str">
        <f ca="1">IFERROR(__xludf.DUMMYFUNCTION("""COMPUTED_VALUE"""),"No I would not be pursuing Higher Education outside of India")</f>
        <v>No I would not be pursuing Higher Education outside of India</v>
      </c>
      <c r="G1613" s="1" t="str">
        <f ca="1">IFERROR(__xludf.DUMMYFUNCTION("""COMPUTED_VALUE"""),"This will be hard to do, but if it is the right company I would try")</f>
        <v>This will be hard to do, but if it is the right company I would try</v>
      </c>
      <c r="H1613" s="1" t="str">
        <f ca="1">IFERROR(__xludf.DUMMYFUNCTION("""COMPUTED_VALUE"""),"No")</f>
        <v>No</v>
      </c>
      <c r="I1613" s="1" t="str">
        <f ca="1">IFERROR(__xludf.DUMMYFUNCTION("""COMPUTED_VALUE"""),"Will NOT work for them")</f>
        <v>Will NOT work for them</v>
      </c>
      <c r="J1613" s="1">
        <f ca="1">IFERROR(__xludf.DUMMYFUNCTION("""COMPUTED_VALUE"""),3)</f>
        <v>3</v>
      </c>
      <c r="K1613" s="1" t="str">
        <f ca="1">IFERROR(__xludf.DUMMYFUNCTION("""COMPUTED_VALUE"""),"Hybrid Working Environment with less than 3 days a month at office")</f>
        <v>Hybrid Working Environment with less than 3 days a month at office</v>
      </c>
      <c r="L1613" s="1" t="str">
        <f ca="1">IFERROR(__xludf.DUMMYFUNCTION("""COMPUTED_VALUE"""),"Employer who pushes your limits by enabling an learning environment, and rewards you at the end")</f>
        <v>Employer who pushes your limits by enabling an learning environment, and rewards you at the end</v>
      </c>
      <c r="M161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13" s="1" t="str">
        <f ca="1">IFERROR(__xludf.DUMMYFUNCTION("""COMPUTED_VALUE"""),"Business Operations in any organization, Build and develop a Team, Look deeply into Data and generate insights, Become a content Creator in some platform")</f>
        <v>Business Operations in any organization, Build and develop a Team, Look deeply into Data and generate insights, Become a content Creator in some platform</v>
      </c>
      <c r="O1613" s="1" t="str">
        <f ca="1">IFERROR(__xludf.DUMMYFUNCTION("""COMPUTED_VALUE"""),"Manager who explains what is expected, sets a goal and helps achieve it")</f>
        <v>Manager who explains what is expected, sets a goal and helps achieve it</v>
      </c>
      <c r="P1613" s="1" t="str">
        <f ca="1">IFERROR(__xludf.DUMMYFUNCTION("""COMPUTED_VALUE"""),"Work with 5 to 6 people in my team")</f>
        <v>Work with 5 to 6 people in my team</v>
      </c>
      <c r="Q1613" s="1"/>
    </row>
    <row r="1614" spans="1:17" ht="13.2" x14ac:dyDescent="0.25">
      <c r="A1614" s="2">
        <f ca="1">IFERROR(__xludf.DUMMYFUNCTION("""COMPUTED_VALUE"""),45045.9324794444)</f>
        <v>45045.932479444396</v>
      </c>
      <c r="B1614" s="1" t="str">
        <f ca="1">IFERROR(__xludf.DUMMYFUNCTION("""COMPUTED_VALUE"""),"India")</f>
        <v>India</v>
      </c>
      <c r="C1614" s="1">
        <f ca="1">IFERROR(__xludf.DUMMYFUNCTION("""COMPUTED_VALUE"""),828302)</f>
        <v>828302</v>
      </c>
      <c r="D1614" s="3" t="str">
        <f ca="1">IFERROR(__xludf.DUMMYFUNCTION("""COMPUTED_VALUE"""),"Male")</f>
        <v>Male</v>
      </c>
      <c r="E1614" s="1" t="str">
        <f ca="1">IFERROR(__xludf.DUMMYFUNCTION("""COMPUTED_VALUE"""),"Social Media like LinkedIn")</f>
        <v>Social Media like LinkedIn</v>
      </c>
      <c r="F1614" s="1" t="str">
        <f ca="1">IFERROR(__xludf.DUMMYFUNCTION("""COMPUTED_VALUE"""),"No I would not be pursuing Higher Education outside of India")</f>
        <v>No I would not be pursuing Higher Education outside of India</v>
      </c>
      <c r="G1614" s="1" t="str">
        <f ca="1">IFERROR(__xludf.DUMMYFUNCTION("""COMPUTED_VALUE"""),"This will be hard to do, but if it is the right company I would try")</f>
        <v>This will be hard to do, but if it is the right company I would try</v>
      </c>
      <c r="H1614" s="1" t="str">
        <f ca="1">IFERROR(__xludf.DUMMYFUNCTION("""COMPUTED_VALUE"""),"Yes")</f>
        <v>Yes</v>
      </c>
      <c r="I1614" s="1" t="str">
        <f ca="1">IFERROR(__xludf.DUMMYFUNCTION("""COMPUTED_VALUE"""),"Will NOT work for them")</f>
        <v>Will NOT work for them</v>
      </c>
      <c r="J1614" s="1">
        <f ca="1">IFERROR(__xludf.DUMMYFUNCTION("""COMPUTED_VALUE"""),6)</f>
        <v>6</v>
      </c>
      <c r="K1614" s="1" t="str">
        <f ca="1">IFERROR(__xludf.DUMMYFUNCTION("""COMPUTED_VALUE"""),"Fully Remote with Options to travel as and when needed")</f>
        <v>Fully Remote with Options to travel as and when needed</v>
      </c>
      <c r="L1614" s="1" t="str">
        <f ca="1">IFERROR(__xludf.DUMMYFUNCTION("""COMPUTED_VALUE"""),"Employer who appreciates learning and enables that environment")</f>
        <v>Employer who appreciates learning and enables that environment</v>
      </c>
      <c r="M161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14"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614" s="1" t="str">
        <f ca="1">IFERROR(__xludf.DUMMYFUNCTION("""COMPUTED_VALUE"""),"Manager who clearly describes what she/he needs")</f>
        <v>Manager who clearly describes what she/he needs</v>
      </c>
      <c r="P1614" s="1" t="str">
        <f ca="1">IFERROR(__xludf.DUMMYFUNCTION("""COMPUTED_VALUE"""),"Work with 5 to 6 people in my team")</f>
        <v>Work with 5 to 6 people in my team</v>
      </c>
      <c r="Q1614" s="1"/>
    </row>
    <row r="1615" spans="1:17" ht="13.2" x14ac:dyDescent="0.25">
      <c r="A1615" s="2">
        <f ca="1">IFERROR(__xludf.DUMMYFUNCTION("""COMPUTED_VALUE"""),45045.935455405)</f>
        <v>45045.935455405001</v>
      </c>
      <c r="B1615" s="1" t="str">
        <f ca="1">IFERROR(__xludf.DUMMYFUNCTION("""COMPUTED_VALUE"""),"India")</f>
        <v>India</v>
      </c>
      <c r="C1615" s="1">
        <f ca="1">IFERROR(__xludf.DUMMYFUNCTION("""COMPUTED_VALUE"""),505001)</f>
        <v>505001</v>
      </c>
      <c r="D1615" s="3" t="str">
        <f ca="1">IFERROR(__xludf.DUMMYFUNCTION("""COMPUTED_VALUE"""),"Male")</f>
        <v>Male</v>
      </c>
      <c r="E1615" s="1" t="str">
        <f ca="1">IFERROR(__xludf.DUMMYFUNCTION("""COMPUTED_VALUE"""),"My Parents")</f>
        <v>My Parents</v>
      </c>
      <c r="F1615" s="1" t="str">
        <f ca="1">IFERROR(__xludf.DUMMYFUNCTION("""COMPUTED_VALUE"""),"Yes, I will earn and do that")</f>
        <v>Yes, I will earn and do that</v>
      </c>
      <c r="G1615" s="1" t="str">
        <f ca="1">IFERROR(__xludf.DUMMYFUNCTION("""COMPUTED_VALUE"""),"Will work for 3 years or more")</f>
        <v>Will work for 3 years or more</v>
      </c>
      <c r="H1615" s="1" t="str">
        <f ca="1">IFERROR(__xludf.DUMMYFUNCTION("""COMPUTED_VALUE"""),"Yes")</f>
        <v>Yes</v>
      </c>
      <c r="I1615" s="1" t="str">
        <f ca="1">IFERROR(__xludf.DUMMYFUNCTION("""COMPUTED_VALUE"""),"Will NOT work for them")</f>
        <v>Will NOT work for them</v>
      </c>
      <c r="J1615" s="1">
        <f ca="1">IFERROR(__xludf.DUMMYFUNCTION("""COMPUTED_VALUE"""),7)</f>
        <v>7</v>
      </c>
      <c r="K1615" s="1" t="str">
        <f ca="1">IFERROR(__xludf.DUMMYFUNCTION("""COMPUTED_VALUE"""),"Every Day Office Environment")</f>
        <v>Every Day Office Environment</v>
      </c>
      <c r="L1615" s="1" t="str">
        <f ca="1">IFERROR(__xludf.DUMMYFUNCTION("""COMPUTED_VALUE"""),"Employer who pushes your limits by enabling an learning environment, and rewards you at the end")</f>
        <v>Employer who pushes your limits by enabling an learning environment, and rewards you at the end</v>
      </c>
      <c r="M16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15" s="1" t="str">
        <f ca="1">IFERROR(__xludf.DUMMYFUNCTION("""COMPUTED_VALUE"""),"Design and Develop amazing software, Work as a freelancer and do my thing my way, Become a content Creator in some platform, I Want to sell things/Sales")</f>
        <v>Design and Develop amazing software, Work as a freelancer and do my thing my way, Become a content Creator in some platform, I Want to sell things/Sales</v>
      </c>
      <c r="O1615" s="1" t="str">
        <f ca="1">IFERROR(__xludf.DUMMYFUNCTION("""COMPUTED_VALUE"""),"Manager who sets unrealistic targets")</f>
        <v>Manager who sets unrealistic targets</v>
      </c>
      <c r="P1615" s="1" t="str">
        <f ca="1">IFERROR(__xludf.DUMMYFUNCTION("""COMPUTED_VALUE"""),"Work with 7 to 10 or more people in my team")</f>
        <v>Work with 7 to 10 or more people in my team</v>
      </c>
      <c r="Q1615" s="1"/>
    </row>
    <row r="1616" spans="1:17" ht="13.2" x14ac:dyDescent="0.25">
      <c r="A1616" s="2">
        <f ca="1">IFERROR(__xludf.DUMMYFUNCTION("""COMPUTED_VALUE"""),45045.942665625)</f>
        <v>45045.942665625</v>
      </c>
      <c r="B1616" s="1" t="str">
        <f ca="1">IFERROR(__xludf.DUMMYFUNCTION("""COMPUTED_VALUE"""),"India")</f>
        <v>India</v>
      </c>
      <c r="C1616" s="1">
        <f ca="1">IFERROR(__xludf.DUMMYFUNCTION("""COMPUTED_VALUE"""),576101)</f>
        <v>576101</v>
      </c>
      <c r="D1616" s="3" t="str">
        <f ca="1">IFERROR(__xludf.DUMMYFUNCTION("""COMPUTED_VALUE"""),"Female")</f>
        <v>Female</v>
      </c>
      <c r="E1616" s="1" t="str">
        <f ca="1">IFERROR(__xludf.DUMMYFUNCTION("""COMPUTED_VALUE"""),"People from my circle, but not family members")</f>
        <v>People from my circle, but not family members</v>
      </c>
      <c r="F1616" s="1" t="str">
        <f ca="1">IFERROR(__xludf.DUMMYFUNCTION("""COMPUTED_VALUE"""),"Yes, I will earn and do that")</f>
        <v>Yes, I will earn and do that</v>
      </c>
      <c r="G1616" s="1" t="str">
        <f ca="1">IFERROR(__xludf.DUMMYFUNCTION("""COMPUTED_VALUE"""),"Will work for 3 years or more")</f>
        <v>Will work for 3 years or more</v>
      </c>
      <c r="H1616" s="1" t="str">
        <f ca="1">IFERROR(__xludf.DUMMYFUNCTION("""COMPUTED_VALUE"""),"No")</f>
        <v>No</v>
      </c>
      <c r="I1616" s="1" t="str">
        <f ca="1">IFERROR(__xludf.DUMMYFUNCTION("""COMPUTED_VALUE"""),"Will NOT work for them")</f>
        <v>Will NOT work for them</v>
      </c>
      <c r="J1616" s="1">
        <f ca="1">IFERROR(__xludf.DUMMYFUNCTION("""COMPUTED_VALUE"""),2)</f>
        <v>2</v>
      </c>
      <c r="K1616" s="1" t="str">
        <f ca="1">IFERROR(__xludf.DUMMYFUNCTION("""COMPUTED_VALUE"""),"Hybrid Working Environment with more than 15 days a month at office")</f>
        <v>Hybrid Working Environment with more than 15 days a month at office</v>
      </c>
      <c r="L1616" s="1" t="str">
        <f ca="1">IFERROR(__xludf.DUMMYFUNCTION("""COMPUTED_VALUE"""),"Employer who rewards learning and enables that environment")</f>
        <v>Employer who rewards learning and enables that environment</v>
      </c>
      <c r="M16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16" s="1" t="str">
        <f ca="1">IFERROR(__xludf.DUMMYFUNCTION("""COMPUTED_VALUE"""),"Manager who explains what is expected, sets a goal and helps achieve it")</f>
        <v>Manager who explains what is expected, sets a goal and helps achieve it</v>
      </c>
      <c r="P1616" s="1" t="str">
        <f ca="1">IFERROR(__xludf.DUMMYFUNCTION("""COMPUTED_VALUE"""),"Work with 5 to 6 people in my team")</f>
        <v>Work with 5 to 6 people in my team</v>
      </c>
      <c r="Q1616" s="1"/>
    </row>
    <row r="1617" spans="1:17" ht="13.2" x14ac:dyDescent="0.25">
      <c r="A1617" s="2">
        <f ca="1">IFERROR(__xludf.DUMMYFUNCTION("""COMPUTED_VALUE"""),45045.9480668865)</f>
        <v>45045.9480668865</v>
      </c>
      <c r="B1617" s="1" t="str">
        <f ca="1">IFERROR(__xludf.DUMMYFUNCTION("""COMPUTED_VALUE"""),"India")</f>
        <v>India</v>
      </c>
      <c r="C1617" s="1">
        <f ca="1">IFERROR(__xludf.DUMMYFUNCTION("""COMPUTED_VALUE"""),515002)</f>
        <v>515002</v>
      </c>
      <c r="D1617" s="3" t="str">
        <f ca="1">IFERROR(__xludf.DUMMYFUNCTION("""COMPUTED_VALUE"""),"Female")</f>
        <v>Female</v>
      </c>
      <c r="E1617" s="1" t="str">
        <f ca="1">IFERROR(__xludf.DUMMYFUNCTION("""COMPUTED_VALUE"""),"My Parents")</f>
        <v>My Parents</v>
      </c>
      <c r="F1617" s="1" t="str">
        <f ca="1">IFERROR(__xludf.DUMMYFUNCTION("""COMPUTED_VALUE"""),"Yes, I will earn and do that")</f>
        <v>Yes, I will earn and do that</v>
      </c>
      <c r="G1617" s="1" t="str">
        <f ca="1">IFERROR(__xludf.DUMMYFUNCTION("""COMPUTED_VALUE"""),"Will work for 3 years or more")</f>
        <v>Will work for 3 years or more</v>
      </c>
      <c r="H1617" s="1" t="str">
        <f ca="1">IFERROR(__xludf.DUMMYFUNCTION("""COMPUTED_VALUE"""),"No")</f>
        <v>No</v>
      </c>
      <c r="I1617" s="1" t="str">
        <f ca="1">IFERROR(__xludf.DUMMYFUNCTION("""COMPUTED_VALUE"""),"Will work for them")</f>
        <v>Will work for them</v>
      </c>
      <c r="J1617" s="1">
        <f ca="1">IFERROR(__xludf.DUMMYFUNCTION("""COMPUTED_VALUE"""),5)</f>
        <v>5</v>
      </c>
      <c r="K1617" s="1" t="str">
        <f ca="1">IFERROR(__xludf.DUMMYFUNCTION("""COMPUTED_VALUE"""),"Hybrid Working Environment with less than 3 days a month at office")</f>
        <v>Hybrid Working Environment with less than 3 days a month at office</v>
      </c>
      <c r="L1617" s="1" t="str">
        <f ca="1">IFERROR(__xludf.DUMMYFUNCTION("""COMPUTED_VALUE"""),"Employer who appreciates learning and enables that environment")</f>
        <v>Employer who appreciates learning and enables that environment</v>
      </c>
      <c r="M161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17"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617" s="1" t="str">
        <f ca="1">IFERROR(__xludf.DUMMYFUNCTION("""COMPUTED_VALUE"""),"Manager who explains what is expected, sets a goal and helps achieve it")</f>
        <v>Manager who explains what is expected, sets a goal and helps achieve it</v>
      </c>
      <c r="P1617" s="1" t="str">
        <f ca="1">IFERROR(__xludf.DUMMYFUNCTION("""COMPUTED_VALUE"""),"Work with 7 to 10 or more people in my team")</f>
        <v>Work with 7 to 10 or more people in my team</v>
      </c>
      <c r="Q1617" s="1"/>
    </row>
    <row r="1618" spans="1:17" ht="13.2" x14ac:dyDescent="0.25">
      <c r="A1618" s="2">
        <f ca="1">IFERROR(__xludf.DUMMYFUNCTION("""COMPUTED_VALUE"""),45045.9493373611)</f>
        <v>45045.949337361097</v>
      </c>
      <c r="B1618" s="1" t="str">
        <f ca="1">IFERROR(__xludf.DUMMYFUNCTION("""COMPUTED_VALUE"""),"India")</f>
        <v>India</v>
      </c>
      <c r="C1618" s="1">
        <f ca="1">IFERROR(__xludf.DUMMYFUNCTION("""COMPUTED_VALUE"""),518003)</f>
        <v>518003</v>
      </c>
      <c r="D1618" s="3" t="str">
        <f ca="1">IFERROR(__xludf.DUMMYFUNCTION("""COMPUTED_VALUE"""),"Female")</f>
        <v>Female</v>
      </c>
      <c r="E1618" s="1" t="str">
        <f ca="1">IFERROR(__xludf.DUMMYFUNCTION("""COMPUTED_VALUE"""),"My Parents")</f>
        <v>My Parents</v>
      </c>
      <c r="F1618" s="1" t="str">
        <f ca="1">IFERROR(__xludf.DUMMYFUNCTION("""COMPUTED_VALUE"""),"No I would not be pursuing Higher Education outside of India")</f>
        <v>No I would not be pursuing Higher Education outside of India</v>
      </c>
      <c r="G1618" s="1" t="str">
        <f ca="1">IFERROR(__xludf.DUMMYFUNCTION("""COMPUTED_VALUE"""),"This will be hard to do, but if it is the right company I would try")</f>
        <v>This will be hard to do, but if it is the right company I would try</v>
      </c>
      <c r="H1618" s="1" t="str">
        <f ca="1">IFERROR(__xludf.DUMMYFUNCTION("""COMPUTED_VALUE"""),"No")</f>
        <v>No</v>
      </c>
      <c r="I1618" s="1" t="str">
        <f ca="1">IFERROR(__xludf.DUMMYFUNCTION("""COMPUTED_VALUE"""),"Will work for them")</f>
        <v>Will work for them</v>
      </c>
      <c r="J1618" s="1">
        <f ca="1">IFERROR(__xludf.DUMMYFUNCTION("""COMPUTED_VALUE"""),7)</f>
        <v>7</v>
      </c>
      <c r="K1618" s="1" t="str">
        <f ca="1">IFERROR(__xludf.DUMMYFUNCTION("""COMPUTED_VALUE"""),"Fully Remote with Options to travel as and when needed")</f>
        <v>Fully Remote with Options to travel as and when needed</v>
      </c>
      <c r="L1618" s="1" t="str">
        <f ca="1">IFERROR(__xludf.DUMMYFUNCTION("""COMPUTED_VALUE"""),"Employer who pushes your limits by enabling an learning environment, and rewards you at the end")</f>
        <v>Employer who pushes your limits by enabling an learning environment, and rewards you at the end</v>
      </c>
      <c r="M16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618" s="1" t="str">
        <f ca="1">IFERROR(__xludf.DUMMYFUNCTION("""COMPUTED_VALUE"""),"Manager who sets goal and helps me achieve it")</f>
        <v>Manager who sets goal and helps me achieve it</v>
      </c>
      <c r="P1618" s="1" t="str">
        <f ca="1">IFERROR(__xludf.DUMMYFUNCTION("""COMPUTED_VALUE"""),"Work with 5 to 6 people in my team")</f>
        <v>Work with 5 to 6 people in my team</v>
      </c>
      <c r="Q1618" s="1"/>
    </row>
    <row r="1619" spans="1:17" ht="13.2" x14ac:dyDescent="0.25">
      <c r="A1619" s="2">
        <f ca="1">IFERROR(__xludf.DUMMYFUNCTION("""COMPUTED_VALUE"""),45045.9535823032)</f>
        <v>45045.953582303198</v>
      </c>
      <c r="B1619" s="1" t="str">
        <f ca="1">IFERROR(__xludf.DUMMYFUNCTION("""COMPUTED_VALUE"""),"India")</f>
        <v>India</v>
      </c>
      <c r="C1619" s="1">
        <f ca="1">IFERROR(__xludf.DUMMYFUNCTION("""COMPUTED_VALUE"""),524004)</f>
        <v>524004</v>
      </c>
      <c r="D1619" s="3" t="str">
        <f ca="1">IFERROR(__xludf.DUMMYFUNCTION("""COMPUTED_VALUE"""),"Female")</f>
        <v>Female</v>
      </c>
      <c r="E1619" s="1" t="str">
        <f ca="1">IFERROR(__xludf.DUMMYFUNCTION("""COMPUTED_VALUE"""),"My Parents")</f>
        <v>My Parents</v>
      </c>
      <c r="F1619" s="1" t="str">
        <f ca="1">IFERROR(__xludf.DUMMYFUNCTION("""COMPUTED_VALUE"""),"Yes, I will earn and do that")</f>
        <v>Yes, I will earn and do that</v>
      </c>
      <c r="G1619" s="1" t="str">
        <f ca="1">IFERROR(__xludf.DUMMYFUNCTION("""COMPUTED_VALUE"""),"This will be hard to do, but if it is the right company I would try")</f>
        <v>This will be hard to do, but if it is the right company I would try</v>
      </c>
      <c r="H1619" s="1" t="str">
        <f ca="1">IFERROR(__xludf.DUMMYFUNCTION("""COMPUTED_VALUE"""),"No")</f>
        <v>No</v>
      </c>
      <c r="I1619" s="1" t="str">
        <f ca="1">IFERROR(__xludf.DUMMYFUNCTION("""COMPUTED_VALUE"""),"Will work for them")</f>
        <v>Will work for them</v>
      </c>
      <c r="J1619" s="1">
        <f ca="1">IFERROR(__xludf.DUMMYFUNCTION("""COMPUTED_VALUE"""),10)</f>
        <v>10</v>
      </c>
      <c r="K1619" s="1" t="str">
        <f ca="1">IFERROR(__xludf.DUMMYFUNCTION("""COMPUTED_VALUE"""),"Every Day Office Environment")</f>
        <v>Every Day Office Environment</v>
      </c>
      <c r="L1619" s="1" t="str">
        <f ca="1">IFERROR(__xludf.DUMMYFUNCTION("""COMPUTED_VALUE"""),"Employer who appreciates learning and enables that environment")</f>
        <v>Employer who appreciates learning and enables that environment</v>
      </c>
      <c r="M16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9"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619" s="1" t="str">
        <f ca="1">IFERROR(__xludf.DUMMYFUNCTION("""COMPUTED_VALUE"""),"Manager who clearly describes what she/he needs")</f>
        <v>Manager who clearly describes what she/he needs</v>
      </c>
      <c r="P1619" s="1" t="str">
        <f ca="1">IFERROR(__xludf.DUMMYFUNCTION("""COMPUTED_VALUE"""),"Work with 5 to 6 people in my team")</f>
        <v>Work with 5 to 6 people in my team</v>
      </c>
      <c r="Q1619" s="1"/>
    </row>
    <row r="1620" spans="1:17" ht="13.2" x14ac:dyDescent="0.25">
      <c r="A1620" s="2">
        <f ca="1">IFERROR(__xludf.DUMMYFUNCTION("""COMPUTED_VALUE"""),45045.9546655208)</f>
        <v>45045.954665520803</v>
      </c>
      <c r="B1620" s="1" t="str">
        <f ca="1">IFERROR(__xludf.DUMMYFUNCTION("""COMPUTED_VALUE"""),"India")</f>
        <v>India</v>
      </c>
      <c r="C1620" s="1">
        <f ca="1">IFERROR(__xludf.DUMMYFUNCTION("""COMPUTED_VALUE"""),516434)</f>
        <v>516434</v>
      </c>
      <c r="D1620" s="3" t="str">
        <f ca="1">IFERROR(__xludf.DUMMYFUNCTION("""COMPUTED_VALUE"""),"Female")</f>
        <v>Female</v>
      </c>
      <c r="E1620" s="1" t="str">
        <f ca="1">IFERROR(__xludf.DUMMYFUNCTION("""COMPUTED_VALUE"""),"My Parents")</f>
        <v>My Parents</v>
      </c>
      <c r="F1620" s="1" t="str">
        <f ca="1">IFERROR(__xludf.DUMMYFUNCTION("""COMPUTED_VALUE"""),"No I would not be pursuing Higher Education outside of India")</f>
        <v>No I would not be pursuing Higher Education outside of India</v>
      </c>
      <c r="G1620" s="1" t="str">
        <f ca="1">IFERROR(__xludf.DUMMYFUNCTION("""COMPUTED_VALUE"""),"Will work for 3 years or more")</f>
        <v>Will work for 3 years or more</v>
      </c>
      <c r="H1620" s="1" t="str">
        <f ca="1">IFERROR(__xludf.DUMMYFUNCTION("""COMPUTED_VALUE"""),"No")</f>
        <v>No</v>
      </c>
      <c r="I1620" s="1" t="str">
        <f ca="1">IFERROR(__xludf.DUMMYFUNCTION("""COMPUTED_VALUE"""),"Will NOT work for them")</f>
        <v>Will NOT work for them</v>
      </c>
      <c r="J1620" s="1">
        <f ca="1">IFERROR(__xludf.DUMMYFUNCTION("""COMPUTED_VALUE"""),2)</f>
        <v>2</v>
      </c>
      <c r="K1620" s="1" t="str">
        <f ca="1">IFERROR(__xludf.DUMMYFUNCTION("""COMPUTED_VALUE"""),"Every Day Office Environment")</f>
        <v>Every Day Office Environment</v>
      </c>
      <c r="L1620" s="1" t="str">
        <f ca="1">IFERROR(__xludf.DUMMYFUNCTION("""COMPUTED_VALUE"""),"Employer who appreciates learning and enables that environment")</f>
        <v>Employer who appreciates learning and enables that environment</v>
      </c>
      <c r="M162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2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620" s="1" t="str">
        <f ca="1">IFERROR(__xludf.DUMMYFUNCTION("""COMPUTED_VALUE"""),"Manager who explains what is expected, sets a goal and helps achieve it")</f>
        <v>Manager who explains what is expected, sets a goal and helps achieve it</v>
      </c>
      <c r="P1620" s="1" t="str">
        <f ca="1">IFERROR(__xludf.DUMMYFUNCTION("""COMPUTED_VALUE"""),"Work with 5 to 6 people in my team")</f>
        <v>Work with 5 to 6 people in my team</v>
      </c>
      <c r="Q1620" s="1"/>
    </row>
    <row r="1621" spans="1:17" ht="13.2" x14ac:dyDescent="0.25">
      <c r="A1621" s="2">
        <f ca="1">IFERROR(__xludf.DUMMYFUNCTION("""COMPUTED_VALUE"""),45045.9579409143)</f>
        <v>45045.957940914297</v>
      </c>
      <c r="B1621" s="1" t="str">
        <f ca="1">IFERROR(__xludf.DUMMYFUNCTION("""COMPUTED_VALUE"""),"Others")</f>
        <v>Others</v>
      </c>
      <c r="C1621" s="1" t="str">
        <f ca="1">IFERROR(__xludf.DUMMYFUNCTION("""COMPUTED_VALUE"""),"0000")</f>
        <v>0000</v>
      </c>
      <c r="D1621" s="3" t="str">
        <f ca="1">IFERROR(__xludf.DUMMYFUNCTION("""COMPUTED_VALUE"""),"Female")</f>
        <v>Female</v>
      </c>
      <c r="E1621" s="1" t="str">
        <f ca="1">IFERROR(__xludf.DUMMYFUNCTION("""COMPUTED_VALUE"""),"People who have changed the world for better")</f>
        <v>People who have changed the world for better</v>
      </c>
      <c r="F1621" s="1" t="str">
        <f ca="1">IFERROR(__xludf.DUMMYFUNCTION("""COMPUTED_VALUE"""),"No I would not be pursuing Higher Education outside of India")</f>
        <v>No I would not be pursuing Higher Education outside of India</v>
      </c>
      <c r="G1621" s="1" t="str">
        <f ca="1">IFERROR(__xludf.DUMMYFUNCTION("""COMPUTED_VALUE"""),"This will be hard to do, but if it is the right company I would try")</f>
        <v>This will be hard to do, but if it is the right company I would try</v>
      </c>
      <c r="H1621" s="1" t="str">
        <f ca="1">IFERROR(__xludf.DUMMYFUNCTION("""COMPUTED_VALUE"""),"No")</f>
        <v>No</v>
      </c>
      <c r="I1621" s="1" t="str">
        <f ca="1">IFERROR(__xludf.DUMMYFUNCTION("""COMPUTED_VALUE"""),"Will NOT work for them")</f>
        <v>Will NOT work for them</v>
      </c>
      <c r="J1621" s="1">
        <f ca="1">IFERROR(__xludf.DUMMYFUNCTION("""COMPUTED_VALUE"""),4)</f>
        <v>4</v>
      </c>
      <c r="K1621" s="1" t="str">
        <f ca="1">IFERROR(__xludf.DUMMYFUNCTION("""COMPUTED_VALUE"""),"Hybrid Working Environment with more than 15 days a month at office")</f>
        <v>Hybrid Working Environment with more than 15 days a month at office</v>
      </c>
      <c r="L1621" s="1" t="str">
        <f ca="1">IFERROR(__xludf.DUMMYFUNCTION("""COMPUTED_VALUE"""),"Employer who appreciates learning and enables that environment")</f>
        <v>Employer who appreciates learning and enables that environment</v>
      </c>
      <c r="M162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21"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621" s="1" t="str">
        <f ca="1">IFERROR(__xludf.DUMMYFUNCTION("""COMPUTED_VALUE"""),"Manager who clearly describes what she/he needs")</f>
        <v>Manager who clearly describes what she/he needs</v>
      </c>
      <c r="P1621" s="1" t="str">
        <f ca="1">IFERROR(__xludf.DUMMYFUNCTION("""COMPUTED_VALUE"""),"Work with 5 to 6 people in my team")</f>
        <v>Work with 5 to 6 people in my team</v>
      </c>
      <c r="Q1621" s="1"/>
    </row>
    <row r="1622" spans="1:17" ht="13.2" x14ac:dyDescent="0.25">
      <c r="A1622" s="2">
        <f ca="1">IFERROR(__xludf.DUMMYFUNCTION("""COMPUTED_VALUE"""),45045.9598627313)</f>
        <v>45045.959862731303</v>
      </c>
      <c r="B1622" s="1" t="str">
        <f ca="1">IFERROR(__xludf.DUMMYFUNCTION("""COMPUTED_VALUE"""),"India")</f>
        <v>India</v>
      </c>
      <c r="C1622" s="1">
        <f ca="1">IFERROR(__xludf.DUMMYFUNCTION("""COMPUTED_VALUE"""),500045)</f>
        <v>500045</v>
      </c>
      <c r="D1622" s="3" t="str">
        <f ca="1">IFERROR(__xludf.DUMMYFUNCTION("""COMPUTED_VALUE"""),"Male")</f>
        <v>Male</v>
      </c>
      <c r="E1622" s="1" t="str">
        <f ca="1">IFERROR(__xludf.DUMMYFUNCTION("""COMPUTED_VALUE"""),"Social Media like LinkedIn")</f>
        <v>Social Media like LinkedIn</v>
      </c>
      <c r="F1622" s="1" t="str">
        <f ca="1">IFERROR(__xludf.DUMMYFUNCTION("""COMPUTED_VALUE"""),"Yes, I will earn and do that")</f>
        <v>Yes, I will earn and do that</v>
      </c>
      <c r="G1622" s="1" t="str">
        <f ca="1">IFERROR(__xludf.DUMMYFUNCTION("""COMPUTED_VALUE"""),"This will be hard to do, but if it is the right company I would try")</f>
        <v>This will be hard to do, but if it is the right company I would try</v>
      </c>
      <c r="H1622" s="1" t="str">
        <f ca="1">IFERROR(__xludf.DUMMYFUNCTION("""COMPUTED_VALUE"""),"No")</f>
        <v>No</v>
      </c>
      <c r="I1622" s="1" t="str">
        <f ca="1">IFERROR(__xludf.DUMMYFUNCTION("""COMPUTED_VALUE"""),"Will work for them")</f>
        <v>Will work for them</v>
      </c>
      <c r="J1622" s="1">
        <f ca="1">IFERROR(__xludf.DUMMYFUNCTION("""COMPUTED_VALUE"""),2)</f>
        <v>2</v>
      </c>
      <c r="K1622" s="1" t="str">
        <f ca="1">IFERROR(__xludf.DUMMYFUNCTION("""COMPUTED_VALUE"""),"Hybrid Working Environment with more than 15 days a month at office")</f>
        <v>Hybrid Working Environment with more than 15 days a month at office</v>
      </c>
      <c r="L1622" s="1" t="str">
        <f ca="1">IFERROR(__xludf.DUMMYFUNCTION("""COMPUTED_VALUE"""),"Employer who appreciates learning and enables that environment")</f>
        <v>Employer who appreciates learning and enables that environment</v>
      </c>
      <c r="M162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22"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22" s="1" t="str">
        <f ca="1">IFERROR(__xludf.DUMMYFUNCTION("""COMPUTED_VALUE"""),"Manager who clearly describes what she/he needs")</f>
        <v>Manager who clearly describes what she/he needs</v>
      </c>
      <c r="P1622" s="1" t="str">
        <f ca="1">IFERROR(__xludf.DUMMYFUNCTION("""COMPUTED_VALUE"""),"Work with 5 to 6 people in my team")</f>
        <v>Work with 5 to 6 people in my team</v>
      </c>
      <c r="Q1622" s="1"/>
    </row>
    <row r="1623" spans="1:17" ht="13.2" x14ac:dyDescent="0.25">
      <c r="A1623" s="2">
        <f ca="1">IFERROR(__xludf.DUMMYFUNCTION("""COMPUTED_VALUE"""),45045.964420081)</f>
        <v>45045.964420081</v>
      </c>
      <c r="B1623" s="1" t="str">
        <f ca="1">IFERROR(__xludf.DUMMYFUNCTION("""COMPUTED_VALUE"""),"India")</f>
        <v>India</v>
      </c>
      <c r="C1623" s="1">
        <f ca="1">IFERROR(__xludf.DUMMYFUNCTION("""COMPUTED_VALUE"""),751002)</f>
        <v>751002</v>
      </c>
      <c r="D1623" s="3" t="str">
        <f ca="1">IFERROR(__xludf.DUMMYFUNCTION("""COMPUTED_VALUE"""),"Female")</f>
        <v>Female</v>
      </c>
      <c r="E1623" s="1" t="str">
        <f ca="1">IFERROR(__xludf.DUMMYFUNCTION("""COMPUTED_VALUE"""),"Influencers who had successful careers")</f>
        <v>Influencers who had successful careers</v>
      </c>
      <c r="F1623" s="1" t="str">
        <f ca="1">IFERROR(__xludf.DUMMYFUNCTION("""COMPUTED_VALUE"""),"No, But if someone could bare the cost I will")</f>
        <v>No, But if someone could bare the cost I will</v>
      </c>
      <c r="G1623" s="1" t="str">
        <f ca="1">IFERROR(__xludf.DUMMYFUNCTION("""COMPUTED_VALUE"""),"This will be hard to do, but if it is the right company I would try")</f>
        <v>This will be hard to do, but if it is the right company I would try</v>
      </c>
      <c r="H1623" s="1" t="str">
        <f ca="1">IFERROR(__xludf.DUMMYFUNCTION("""COMPUTED_VALUE"""),"No")</f>
        <v>No</v>
      </c>
      <c r="I1623" s="1" t="str">
        <f ca="1">IFERROR(__xludf.DUMMYFUNCTION("""COMPUTED_VALUE"""),"Will NOT work for them")</f>
        <v>Will NOT work for them</v>
      </c>
      <c r="J1623" s="1">
        <f ca="1">IFERROR(__xludf.DUMMYFUNCTION("""COMPUTED_VALUE"""),1)</f>
        <v>1</v>
      </c>
      <c r="K1623" s="1" t="str">
        <f ca="1">IFERROR(__xludf.DUMMYFUNCTION("""COMPUTED_VALUE"""),"Hybrid Working Environment with less than 3 days a month at office")</f>
        <v>Hybrid Working Environment with less than 3 days a month at office</v>
      </c>
      <c r="L1623" s="1" t="str">
        <f ca="1">IFERROR(__xludf.DUMMYFUNCTION("""COMPUTED_VALUE"""),"Employer who pushes your limits by enabling an learning environment, and rewards you at the end")</f>
        <v>Employer who pushes your limits by enabling an learning environment, and rewards you at the end</v>
      </c>
      <c r="M16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623" s="1" t="str">
        <f ca="1">IFERROR(__xludf.DUMMYFUNCTION("""COMPUTED_VALUE"""),"Manager who explains what is expected, sets a goal and helps achieve it")</f>
        <v>Manager who explains what is expected, sets a goal and helps achieve it</v>
      </c>
      <c r="P1623" s="1" t="str">
        <f ca="1">IFERROR(__xludf.DUMMYFUNCTION("""COMPUTED_VALUE"""),"Work with 5 to 6 people in my team")</f>
        <v>Work with 5 to 6 people in my team</v>
      </c>
      <c r="Q1623" s="1"/>
    </row>
    <row r="1624" spans="1:17" ht="13.2" x14ac:dyDescent="0.25">
      <c r="A1624" s="2">
        <f ca="1">IFERROR(__xludf.DUMMYFUNCTION("""COMPUTED_VALUE"""),45045.9700188773)</f>
        <v>45045.970018877299</v>
      </c>
      <c r="B1624" s="1" t="str">
        <f ca="1">IFERROR(__xludf.DUMMYFUNCTION("""COMPUTED_VALUE"""),"India")</f>
        <v>India</v>
      </c>
      <c r="C1624" s="1">
        <f ca="1">IFERROR(__xludf.DUMMYFUNCTION("""COMPUTED_VALUE"""),505001)</f>
        <v>505001</v>
      </c>
      <c r="D1624" s="3" t="str">
        <f ca="1">IFERROR(__xludf.DUMMYFUNCTION("""COMPUTED_VALUE"""),"Male")</f>
        <v>Male</v>
      </c>
      <c r="E1624" s="1" t="str">
        <f ca="1">IFERROR(__xludf.DUMMYFUNCTION("""COMPUTED_VALUE"""),"People who have changed the world for better")</f>
        <v>People who have changed the world for better</v>
      </c>
      <c r="F1624" s="1" t="str">
        <f ca="1">IFERROR(__xludf.DUMMYFUNCTION("""COMPUTED_VALUE"""),"Yes, I will earn and do that")</f>
        <v>Yes, I will earn and do that</v>
      </c>
      <c r="G1624" s="1" t="str">
        <f ca="1">IFERROR(__xludf.DUMMYFUNCTION("""COMPUTED_VALUE"""),"Will work for 3 years or more")</f>
        <v>Will work for 3 years or more</v>
      </c>
      <c r="H1624" s="1" t="str">
        <f ca="1">IFERROR(__xludf.DUMMYFUNCTION("""COMPUTED_VALUE"""),"No")</f>
        <v>No</v>
      </c>
      <c r="I1624" s="1" t="str">
        <f ca="1">IFERROR(__xludf.DUMMYFUNCTION("""COMPUTED_VALUE"""),"Will NOT work for them")</f>
        <v>Will NOT work for them</v>
      </c>
      <c r="J1624" s="1">
        <f ca="1">IFERROR(__xludf.DUMMYFUNCTION("""COMPUTED_VALUE"""),4)</f>
        <v>4</v>
      </c>
      <c r="K1624" s="1" t="str">
        <f ca="1">IFERROR(__xludf.DUMMYFUNCTION("""COMPUTED_VALUE"""),"Fully Remote with Options to travel as and when needed")</f>
        <v>Fully Remote with Options to travel as and when needed</v>
      </c>
      <c r="L1624" s="1" t="str">
        <f ca="1">IFERROR(__xludf.DUMMYFUNCTION("""COMPUTED_VALUE"""),"Employer who appreciates learning and enables that environment")</f>
        <v>Employer who appreciates learning and enables that environment</v>
      </c>
      <c r="M16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4" s="1" t="str">
        <f ca="1">IFERROR(__xludf.DUMMYFUNCTION("""COMPUTED_VALUE"""),"Manager who sets goal and helps me achieve it")</f>
        <v>Manager who sets goal and helps me achieve it</v>
      </c>
      <c r="P1624" s="1" t="str">
        <f ca="1">IFERROR(__xludf.DUMMYFUNCTION("""COMPUTED_VALUE"""),"Work with more than 10 people in my team")</f>
        <v>Work with more than 10 people in my team</v>
      </c>
      <c r="Q1624" s="1"/>
    </row>
    <row r="1625" spans="1:17" ht="13.2" x14ac:dyDescent="0.25">
      <c r="A1625" s="2">
        <f ca="1">IFERROR(__xludf.DUMMYFUNCTION("""COMPUTED_VALUE"""),45046.000606875)</f>
        <v>45046.000606875001</v>
      </c>
      <c r="B1625" s="1" t="str">
        <f ca="1">IFERROR(__xludf.DUMMYFUNCTION("""COMPUTED_VALUE"""),"India")</f>
        <v>India</v>
      </c>
      <c r="C1625" s="1">
        <f ca="1">IFERROR(__xludf.DUMMYFUNCTION("""COMPUTED_VALUE"""),600089)</f>
        <v>600089</v>
      </c>
      <c r="D1625" s="3" t="str">
        <f ca="1">IFERROR(__xludf.DUMMYFUNCTION("""COMPUTED_VALUE"""),"Male")</f>
        <v>Male</v>
      </c>
      <c r="E1625" s="1" t="str">
        <f ca="1">IFERROR(__xludf.DUMMYFUNCTION("""COMPUTED_VALUE"""),"My Parents")</f>
        <v>My Parents</v>
      </c>
      <c r="F1625" s="1" t="str">
        <f ca="1">IFERROR(__xludf.DUMMYFUNCTION("""COMPUTED_VALUE"""),"Yes, I will earn and do that")</f>
        <v>Yes, I will earn and do that</v>
      </c>
      <c r="G1625" s="1" t="str">
        <f ca="1">IFERROR(__xludf.DUMMYFUNCTION("""COMPUTED_VALUE"""),"This will be hard to do, but if it is the right company I would try")</f>
        <v>This will be hard to do, but if it is the right company I would try</v>
      </c>
      <c r="H1625" s="1" t="str">
        <f ca="1">IFERROR(__xludf.DUMMYFUNCTION("""COMPUTED_VALUE"""),"No")</f>
        <v>No</v>
      </c>
      <c r="I1625" s="1" t="str">
        <f ca="1">IFERROR(__xludf.DUMMYFUNCTION("""COMPUTED_VALUE"""),"Will NOT work for them")</f>
        <v>Will NOT work for them</v>
      </c>
      <c r="J1625" s="1">
        <f ca="1">IFERROR(__xludf.DUMMYFUNCTION("""COMPUTED_VALUE"""),3)</f>
        <v>3</v>
      </c>
      <c r="K1625" s="1" t="str">
        <f ca="1">IFERROR(__xludf.DUMMYFUNCTION("""COMPUTED_VALUE"""),"Hybrid Working Environment with more than 15 days a month at office")</f>
        <v>Hybrid Working Environment with more than 15 days a month at office</v>
      </c>
      <c r="L1625" s="1" t="str">
        <f ca="1">IFERROR(__xludf.DUMMYFUNCTION("""COMPUTED_VALUE"""),"Employer who pushes your limits by enabling an learning environment, and rewards you at the end")</f>
        <v>Employer who pushes your limits by enabling an learning environment, and rewards you at the end</v>
      </c>
      <c r="M16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625" s="1" t="str">
        <f ca="1">IFERROR(__xludf.DUMMYFUNCTION("""COMPUTED_VALUE"""),"Manager who sets goal and helps me achieve it")</f>
        <v>Manager who sets goal and helps me achieve it</v>
      </c>
      <c r="P1625" s="1" t="str">
        <f ca="1">IFERROR(__xludf.DUMMYFUNCTION("""COMPUTED_VALUE"""),"Work with 5 to 6 people in my team")</f>
        <v>Work with 5 to 6 people in my team</v>
      </c>
      <c r="Q1625" s="1"/>
    </row>
    <row r="1626" spans="1:17" ht="13.2" x14ac:dyDescent="0.25">
      <c r="A1626" s="2">
        <f ca="1">IFERROR(__xludf.DUMMYFUNCTION("""COMPUTED_VALUE"""),45046.0270081481)</f>
        <v>45046.027008148099</v>
      </c>
      <c r="B1626" s="1" t="str">
        <f ca="1">IFERROR(__xludf.DUMMYFUNCTION("""COMPUTED_VALUE"""),"India")</f>
        <v>India</v>
      </c>
      <c r="C1626" s="1">
        <f ca="1">IFERROR(__xludf.DUMMYFUNCTION("""COMPUTED_VALUE"""),470001)</f>
        <v>470001</v>
      </c>
      <c r="D1626" s="3" t="str">
        <f ca="1">IFERROR(__xludf.DUMMYFUNCTION("""COMPUTED_VALUE"""),"Female")</f>
        <v>Female</v>
      </c>
      <c r="E1626" s="1" t="str">
        <f ca="1">IFERROR(__xludf.DUMMYFUNCTION("""COMPUTED_VALUE"""),"Influencers who had successful careers")</f>
        <v>Influencers who had successful careers</v>
      </c>
      <c r="F1626" s="1" t="str">
        <f ca="1">IFERROR(__xludf.DUMMYFUNCTION("""COMPUTED_VALUE"""),"Yes, I will earn and do that")</f>
        <v>Yes, I will earn and do that</v>
      </c>
      <c r="G1626" s="1" t="str">
        <f ca="1">IFERROR(__xludf.DUMMYFUNCTION("""COMPUTED_VALUE"""),"This will be hard to do, but if it is the right company I would try")</f>
        <v>This will be hard to do, but if it is the right company I would try</v>
      </c>
      <c r="H1626" s="1" t="str">
        <f ca="1">IFERROR(__xludf.DUMMYFUNCTION("""COMPUTED_VALUE"""),"No")</f>
        <v>No</v>
      </c>
      <c r="I1626" s="1" t="str">
        <f ca="1">IFERROR(__xludf.DUMMYFUNCTION("""COMPUTED_VALUE"""),"Will NOT work for them")</f>
        <v>Will NOT work for them</v>
      </c>
      <c r="J1626" s="1">
        <f ca="1">IFERROR(__xludf.DUMMYFUNCTION("""COMPUTED_VALUE"""),6)</f>
        <v>6</v>
      </c>
      <c r="K1626" s="1" t="str">
        <f ca="1">IFERROR(__xludf.DUMMYFUNCTION("""COMPUTED_VALUE"""),"Fully Remote with Options to travel as and when needed")</f>
        <v>Fully Remote with Options to travel as and when needed</v>
      </c>
      <c r="L1626" s="1" t="str">
        <f ca="1">IFERROR(__xludf.DUMMYFUNCTION("""COMPUTED_VALUE"""),"Employer who pushes your limits by enabling an learning environment, and rewards you at the end")</f>
        <v>Employer who pushes your limits by enabling an learning environment, and rewards you at the end</v>
      </c>
      <c r="M16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2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6" s="1" t="str">
        <f ca="1">IFERROR(__xludf.DUMMYFUNCTION("""COMPUTED_VALUE"""),"Manager who explains what is expected, sets a goal and helps achieve it")</f>
        <v>Manager who explains what is expected, sets a goal and helps achieve it</v>
      </c>
      <c r="P1626" s="1" t="str">
        <f ca="1">IFERROR(__xludf.DUMMYFUNCTION("""COMPUTED_VALUE"""),"Work alone")</f>
        <v>Work alone</v>
      </c>
      <c r="Q1626" s="1"/>
    </row>
    <row r="1627" spans="1:17" ht="13.2" x14ac:dyDescent="0.25">
      <c r="A1627" s="2">
        <f ca="1">IFERROR(__xludf.DUMMYFUNCTION("""COMPUTED_VALUE"""),45046.0278942939)</f>
        <v>45046.027894293897</v>
      </c>
      <c r="B1627" s="1" t="str">
        <f ca="1">IFERROR(__xludf.DUMMYFUNCTION("""COMPUTED_VALUE"""),"India")</f>
        <v>India</v>
      </c>
      <c r="C1627" s="1">
        <f ca="1">IFERROR(__xludf.DUMMYFUNCTION("""COMPUTED_VALUE"""),18)</f>
        <v>18</v>
      </c>
      <c r="D1627" s="3" t="str">
        <f ca="1">IFERROR(__xludf.DUMMYFUNCTION("""COMPUTED_VALUE"""),"Male")</f>
        <v>Male</v>
      </c>
      <c r="E1627" s="1" t="str">
        <f ca="1">IFERROR(__xludf.DUMMYFUNCTION("""COMPUTED_VALUE"""),"My Parents")</f>
        <v>My Parents</v>
      </c>
      <c r="F1627" s="1" t="str">
        <f ca="1">IFERROR(__xludf.DUMMYFUNCTION("""COMPUTED_VALUE"""),"Yes, I will earn and do that")</f>
        <v>Yes, I will earn and do that</v>
      </c>
      <c r="G1627" s="1" t="str">
        <f ca="1">IFERROR(__xludf.DUMMYFUNCTION("""COMPUTED_VALUE"""),"This will be hard to do, but if it is the right company I would try")</f>
        <v>This will be hard to do, but if it is the right company I would try</v>
      </c>
      <c r="H1627" s="1" t="str">
        <f ca="1">IFERROR(__xludf.DUMMYFUNCTION("""COMPUTED_VALUE"""),"No")</f>
        <v>No</v>
      </c>
      <c r="I1627" s="1" t="str">
        <f ca="1">IFERROR(__xludf.DUMMYFUNCTION("""COMPUTED_VALUE"""),"Will NOT work for them")</f>
        <v>Will NOT work for them</v>
      </c>
      <c r="J1627" s="1">
        <f ca="1">IFERROR(__xludf.DUMMYFUNCTION("""COMPUTED_VALUE"""),5)</f>
        <v>5</v>
      </c>
      <c r="K1627" s="1" t="str">
        <f ca="1">IFERROR(__xludf.DUMMYFUNCTION("""COMPUTED_VALUE"""),"Hybrid Working Environment with more than 15 days a month at office")</f>
        <v>Hybrid Working Environment with more than 15 days a month at office</v>
      </c>
      <c r="L1627" s="1" t="str">
        <f ca="1">IFERROR(__xludf.DUMMYFUNCTION("""COMPUTED_VALUE"""),"Employer who appreciates learning and enables that environment")</f>
        <v>Employer who appreciates learning and enables that environment</v>
      </c>
      <c r="M1627" s="1" t="str">
        <f ca="1">IFERROR(__xludf.DUMMYFUNCTION("""COMPUTED_VALUE"""),"Instructor or Expert Learning Programs, Learning by observing others, Manager Teaching you")</f>
        <v>Instructor or Expert Learning Programs, Learning by observing others, Manager Teaching you</v>
      </c>
      <c r="N162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27" s="1" t="str">
        <f ca="1">IFERROR(__xludf.DUMMYFUNCTION("""COMPUTED_VALUE"""),"Manager who explains what is expected, sets a goal and helps achieve it")</f>
        <v>Manager who explains what is expected, sets a goal and helps achieve it</v>
      </c>
      <c r="P1627" s="1" t="str">
        <f ca="1">IFERROR(__xludf.DUMMYFUNCTION("""COMPUTED_VALUE"""),"Work with 5 to 6 people in my team")</f>
        <v>Work with 5 to 6 people in my team</v>
      </c>
      <c r="Q1627" s="1"/>
    </row>
    <row r="1628" spans="1:17" ht="13.2" x14ac:dyDescent="0.25">
      <c r="A1628" s="2">
        <f ca="1">IFERROR(__xludf.DUMMYFUNCTION("""COMPUTED_VALUE"""),45046.035219537)</f>
        <v>45046.035219537</v>
      </c>
      <c r="B1628" s="1" t="str">
        <f ca="1">IFERROR(__xludf.DUMMYFUNCTION("""COMPUTED_VALUE"""),"India")</f>
        <v>India</v>
      </c>
      <c r="C1628" s="1">
        <f ca="1">IFERROR(__xludf.DUMMYFUNCTION("""COMPUTED_VALUE"""),500091)</f>
        <v>500091</v>
      </c>
      <c r="D1628" s="3" t="str">
        <f ca="1">IFERROR(__xludf.DUMMYFUNCTION("""COMPUTED_VALUE"""),"Male")</f>
        <v>Male</v>
      </c>
      <c r="E1628" s="1" t="str">
        <f ca="1">IFERROR(__xludf.DUMMYFUNCTION("""COMPUTED_VALUE"""),"People from my circle, but not family members")</f>
        <v>People from my circle, but not family members</v>
      </c>
      <c r="F1628" s="1" t="str">
        <f ca="1">IFERROR(__xludf.DUMMYFUNCTION("""COMPUTED_VALUE"""),"Yes, I will earn and do that")</f>
        <v>Yes, I will earn and do that</v>
      </c>
      <c r="G1628" s="1" t="str">
        <f ca="1">IFERROR(__xludf.DUMMYFUNCTION("""COMPUTED_VALUE"""),"This will be hard to do, but if it is the right company I would try")</f>
        <v>This will be hard to do, but if it is the right company I would try</v>
      </c>
      <c r="H1628" s="1" t="str">
        <f ca="1">IFERROR(__xludf.DUMMYFUNCTION("""COMPUTED_VALUE"""),"No")</f>
        <v>No</v>
      </c>
      <c r="I1628" s="1" t="str">
        <f ca="1">IFERROR(__xludf.DUMMYFUNCTION("""COMPUTED_VALUE"""),"Will NOT work for them")</f>
        <v>Will NOT work for them</v>
      </c>
      <c r="J1628" s="1">
        <f ca="1">IFERROR(__xludf.DUMMYFUNCTION("""COMPUTED_VALUE"""),5)</f>
        <v>5</v>
      </c>
      <c r="K1628" s="1" t="str">
        <f ca="1">IFERROR(__xludf.DUMMYFUNCTION("""COMPUTED_VALUE"""),"Hybrid Working Environment with less than 3 days a month at office")</f>
        <v>Hybrid Working Environment with less than 3 days a month at office</v>
      </c>
      <c r="L1628" s="1" t="str">
        <f ca="1">IFERROR(__xludf.DUMMYFUNCTION("""COMPUTED_VALUE"""),"Employer who rewards learning and enables that environment")</f>
        <v>Employer who rewards learning and enables that environment</v>
      </c>
      <c r="M162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28"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628" s="1" t="str">
        <f ca="1">IFERROR(__xludf.DUMMYFUNCTION("""COMPUTED_VALUE"""),"Manager who explains what is expected, sets a goal and helps achieve it")</f>
        <v>Manager who explains what is expected, sets a goal and helps achieve it</v>
      </c>
      <c r="P1628" s="1" t="str">
        <f ca="1">IFERROR(__xludf.DUMMYFUNCTION("""COMPUTED_VALUE"""),"Work alone, Work with 2 to 3 people in my team")</f>
        <v>Work alone, Work with 2 to 3 people in my team</v>
      </c>
      <c r="Q1628" s="1"/>
    </row>
    <row r="1629" spans="1:17" ht="13.2" x14ac:dyDescent="0.25">
      <c r="A1629" s="2">
        <f ca="1">IFERROR(__xludf.DUMMYFUNCTION("""COMPUTED_VALUE"""),45046.0428527777)</f>
        <v>45046.042852777697</v>
      </c>
      <c r="B1629" s="1" t="str">
        <f ca="1">IFERROR(__xludf.DUMMYFUNCTION("""COMPUTED_VALUE"""),"India")</f>
        <v>India</v>
      </c>
      <c r="C1629" s="1">
        <f ca="1">IFERROR(__xludf.DUMMYFUNCTION("""COMPUTED_VALUE"""),605003)</f>
        <v>605003</v>
      </c>
      <c r="D1629" s="3" t="str">
        <f ca="1">IFERROR(__xludf.DUMMYFUNCTION("""COMPUTED_VALUE"""),"Female")</f>
        <v>Female</v>
      </c>
      <c r="E1629" s="1" t="str">
        <f ca="1">IFERROR(__xludf.DUMMYFUNCTION("""COMPUTED_VALUE"""),"People who have changed the world for better")</f>
        <v>People who have changed the world for better</v>
      </c>
      <c r="F1629" s="1" t="str">
        <f ca="1">IFERROR(__xludf.DUMMYFUNCTION("""COMPUTED_VALUE"""),"No I would not be pursuing Higher Education outside of India")</f>
        <v>No I would not be pursuing Higher Education outside of India</v>
      </c>
      <c r="G1629" s="1" t="str">
        <f ca="1">IFERROR(__xludf.DUMMYFUNCTION("""COMPUTED_VALUE"""),"Will work for 3 years or more")</f>
        <v>Will work for 3 years or more</v>
      </c>
      <c r="H1629" s="1" t="str">
        <f ca="1">IFERROR(__xludf.DUMMYFUNCTION("""COMPUTED_VALUE"""),"No")</f>
        <v>No</v>
      </c>
      <c r="I1629" s="1" t="str">
        <f ca="1">IFERROR(__xludf.DUMMYFUNCTION("""COMPUTED_VALUE"""),"Will NOT work for them")</f>
        <v>Will NOT work for them</v>
      </c>
      <c r="J1629" s="1">
        <f ca="1">IFERROR(__xludf.DUMMYFUNCTION("""COMPUTED_VALUE"""),7)</f>
        <v>7</v>
      </c>
      <c r="K1629" s="1" t="str">
        <f ca="1">IFERROR(__xludf.DUMMYFUNCTION("""COMPUTED_VALUE"""),"Hybrid Working Environment with less than 3 days a month at office")</f>
        <v>Hybrid Working Environment with less than 3 days a month at office</v>
      </c>
      <c r="L1629" s="1" t="str">
        <f ca="1">IFERROR(__xludf.DUMMYFUNCTION("""COMPUTED_VALUE"""),"Employer who pushes your limits by enabling an learning environment, and rewards you at the end")</f>
        <v>Employer who pushes your limits by enabling an learning environment, and rewards you at the end</v>
      </c>
      <c r="M162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2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629" s="1" t="str">
        <f ca="1">IFERROR(__xludf.DUMMYFUNCTION("""COMPUTED_VALUE"""),"Manager who sets targets and expects me to achieve it")</f>
        <v>Manager who sets targets and expects me to achieve it</v>
      </c>
      <c r="P1629" s="1" t="str">
        <f ca="1">IFERROR(__xludf.DUMMYFUNCTION("""COMPUTED_VALUE"""),"Work with more than 10 people in my team")</f>
        <v>Work with more than 10 people in my team</v>
      </c>
      <c r="Q1629" s="1"/>
    </row>
    <row r="1630" spans="1:17" ht="13.2" x14ac:dyDescent="0.25">
      <c r="A1630" s="2">
        <f ca="1">IFERROR(__xludf.DUMMYFUNCTION("""COMPUTED_VALUE"""),45046.0476713078)</f>
        <v>45046.047671307802</v>
      </c>
      <c r="B1630" s="1" t="str">
        <f ca="1">IFERROR(__xludf.DUMMYFUNCTION("""COMPUTED_VALUE"""),"Canada")</f>
        <v>Canada</v>
      </c>
      <c r="C1630" s="1" t="str">
        <f ca="1">IFERROR(__xludf.DUMMYFUNCTION("""COMPUTED_VALUE"""),"V4C4G1")</f>
        <v>V4C4G1</v>
      </c>
      <c r="D1630" s="3" t="str">
        <f ca="1">IFERROR(__xludf.DUMMYFUNCTION("""COMPUTED_VALUE"""),"Female")</f>
        <v>Female</v>
      </c>
      <c r="E1630" s="1" t="str">
        <f ca="1">IFERROR(__xludf.DUMMYFUNCTION("""COMPUTED_VALUE"""),"Social Media like LinkedIn")</f>
        <v>Social Media like LinkedIn</v>
      </c>
      <c r="F1630" s="1" t="str">
        <f ca="1">IFERROR(__xludf.DUMMYFUNCTION("""COMPUTED_VALUE"""),"Yes, I will earn and do that")</f>
        <v>Yes, I will earn and do that</v>
      </c>
      <c r="G1630" s="1" t="str">
        <f ca="1">IFERROR(__xludf.DUMMYFUNCTION("""COMPUTED_VALUE"""),"This will be hard to do, but if it is the right company I would try")</f>
        <v>This will be hard to do, but if it is the right company I would try</v>
      </c>
      <c r="H1630" s="1" t="str">
        <f ca="1">IFERROR(__xludf.DUMMYFUNCTION("""COMPUTED_VALUE"""),"No")</f>
        <v>No</v>
      </c>
      <c r="I1630" s="1" t="str">
        <f ca="1">IFERROR(__xludf.DUMMYFUNCTION("""COMPUTED_VALUE"""),"Will NOT work for them")</f>
        <v>Will NOT work for them</v>
      </c>
      <c r="J1630" s="1">
        <f ca="1">IFERROR(__xludf.DUMMYFUNCTION("""COMPUTED_VALUE"""),5)</f>
        <v>5</v>
      </c>
      <c r="K1630" s="1" t="str">
        <f ca="1">IFERROR(__xludf.DUMMYFUNCTION("""COMPUTED_VALUE"""),"Hybrid Working Environment with less than 3 days a month at office")</f>
        <v>Hybrid Working Environment with less than 3 days a month at office</v>
      </c>
      <c r="L1630" s="1" t="str">
        <f ca="1">IFERROR(__xludf.DUMMYFUNCTION("""COMPUTED_VALUE"""),"Employer who pushes your limits by enabling an learning environment, and rewards you at the end")</f>
        <v>Employer who pushes your limits by enabling an learning environment, and rewards you at the end</v>
      </c>
      <c r="M163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3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30" s="1" t="str">
        <f ca="1">IFERROR(__xludf.DUMMYFUNCTION("""COMPUTED_VALUE"""),"Manager who sets targets and expects me to achieve it")</f>
        <v>Manager who sets targets and expects me to achieve it</v>
      </c>
      <c r="P1630" s="1" t="str">
        <f ca="1">IFERROR(__xludf.DUMMYFUNCTION("""COMPUTED_VALUE"""),"Work with 5 to 6 people in my team")</f>
        <v>Work with 5 to 6 people in my team</v>
      </c>
      <c r="Q1630" s="1"/>
    </row>
    <row r="1631" spans="1:17" ht="13.2" x14ac:dyDescent="0.25">
      <c r="A1631" s="2">
        <f ca="1">IFERROR(__xludf.DUMMYFUNCTION("""COMPUTED_VALUE"""),45046.154862037)</f>
        <v>45046.154862037001</v>
      </c>
      <c r="B1631" s="1" t="str">
        <f ca="1">IFERROR(__xludf.DUMMYFUNCTION("""COMPUTED_VALUE"""),"India")</f>
        <v>India</v>
      </c>
      <c r="C1631" s="1">
        <f ca="1">IFERROR(__xludf.DUMMYFUNCTION("""COMPUTED_VALUE"""),110007)</f>
        <v>110007</v>
      </c>
      <c r="D1631" s="3" t="str">
        <f ca="1">IFERROR(__xludf.DUMMYFUNCTION("""COMPUTED_VALUE"""),"Male")</f>
        <v>Male</v>
      </c>
      <c r="E1631" s="1" t="str">
        <f ca="1">IFERROR(__xludf.DUMMYFUNCTION("""COMPUTED_VALUE"""),"Influencers who had successful careers")</f>
        <v>Influencers who had successful careers</v>
      </c>
      <c r="F1631" s="1" t="str">
        <f ca="1">IFERROR(__xludf.DUMMYFUNCTION("""COMPUTED_VALUE"""),"Yes, I will earn and do that")</f>
        <v>Yes, I will earn and do that</v>
      </c>
      <c r="G1631" s="1" t="str">
        <f ca="1">IFERROR(__xludf.DUMMYFUNCTION("""COMPUTED_VALUE"""),"Will work for 3 years or more")</f>
        <v>Will work for 3 years or more</v>
      </c>
      <c r="H1631" s="1" t="str">
        <f ca="1">IFERROR(__xludf.DUMMYFUNCTION("""COMPUTED_VALUE"""),"No")</f>
        <v>No</v>
      </c>
      <c r="I1631" s="1" t="str">
        <f ca="1">IFERROR(__xludf.DUMMYFUNCTION("""COMPUTED_VALUE"""),"Will NOT work for them")</f>
        <v>Will NOT work for them</v>
      </c>
      <c r="J1631" s="1">
        <f ca="1">IFERROR(__xludf.DUMMYFUNCTION("""COMPUTED_VALUE"""),4)</f>
        <v>4</v>
      </c>
      <c r="K1631" s="1" t="str">
        <f ca="1">IFERROR(__xludf.DUMMYFUNCTION("""COMPUTED_VALUE"""),"Hybrid Working Environment with more than 15 days a month at office")</f>
        <v>Hybrid Working Environment with more than 15 days a month at office</v>
      </c>
      <c r="L1631" s="1" t="str">
        <f ca="1">IFERROR(__xludf.DUMMYFUNCTION("""COMPUTED_VALUE"""),"Employer who pushes your limits by enabling an learning environment, and rewards you at the end")</f>
        <v>Employer who pushes your limits by enabling an learning environment, and rewards you at the end</v>
      </c>
      <c r="M1631" s="1" t="str">
        <f ca="1">IFERROR(__xludf.DUMMYFUNCTION("""COMPUTED_VALUE"""),"Learning by observing others, Self Purchased Course from External Platforms, Manager Teaching you")</f>
        <v>Learning by observing others, Self Purchased Course from External Platforms, Manager Teaching you</v>
      </c>
      <c r="N1631" s="1" t="str">
        <f ca="1">IFERROR(__xludf.DUMMYFUNCTION("""COMPUTED_VALUE"""),"Build and develop a Team, Work in a BPO setup for some well known client, Work as a freelancer and do my thing my way, I Want to sell things/Sales")</f>
        <v>Build and develop a Team, Work in a BPO setup for some well known client, Work as a freelancer and do my thing my way, I Want to sell things/Sales</v>
      </c>
      <c r="O1631" s="1" t="str">
        <f ca="1">IFERROR(__xludf.DUMMYFUNCTION("""COMPUTED_VALUE"""),"Manager who sets targets and expects me to achieve it")</f>
        <v>Manager who sets targets and expects me to achieve it</v>
      </c>
      <c r="P1631" s="1" t="str">
        <f ca="1">IFERROR(__xludf.DUMMYFUNCTION("""COMPUTED_VALUE"""),"Work with 5 to 6 people in my team")</f>
        <v>Work with 5 to 6 people in my team</v>
      </c>
      <c r="Q1631" s="1"/>
    </row>
    <row r="1632" spans="1:17" ht="13.2" x14ac:dyDescent="0.25">
      <c r="A1632" s="2">
        <f ca="1">IFERROR(__xludf.DUMMYFUNCTION("""COMPUTED_VALUE"""),45046.183475081)</f>
        <v>45046.183475081001</v>
      </c>
      <c r="B1632" s="1" t="str">
        <f ca="1">IFERROR(__xludf.DUMMYFUNCTION("""COMPUTED_VALUE"""),"India")</f>
        <v>India</v>
      </c>
      <c r="C1632" s="1">
        <f ca="1">IFERROR(__xludf.DUMMYFUNCTION("""COMPUTED_VALUE"""),110062)</f>
        <v>110062</v>
      </c>
      <c r="D1632" s="3" t="str">
        <f ca="1">IFERROR(__xludf.DUMMYFUNCTION("""COMPUTED_VALUE"""),"Male")</f>
        <v>Male</v>
      </c>
      <c r="E1632" s="1" t="str">
        <f ca="1">IFERROR(__xludf.DUMMYFUNCTION("""COMPUTED_VALUE"""),"Influencers who had successful careers")</f>
        <v>Influencers who had successful careers</v>
      </c>
      <c r="F1632" s="1" t="str">
        <f ca="1">IFERROR(__xludf.DUMMYFUNCTION("""COMPUTED_VALUE"""),"No I would not be pursuing Higher Education outside of India")</f>
        <v>No I would not be pursuing Higher Education outside of India</v>
      </c>
      <c r="G1632" s="1" t="str">
        <f ca="1">IFERROR(__xludf.DUMMYFUNCTION("""COMPUTED_VALUE"""),"No way")</f>
        <v>No way</v>
      </c>
      <c r="H1632" s="1" t="str">
        <f ca="1">IFERROR(__xludf.DUMMYFUNCTION("""COMPUTED_VALUE"""),"No")</f>
        <v>No</v>
      </c>
      <c r="I1632" s="1" t="str">
        <f ca="1">IFERROR(__xludf.DUMMYFUNCTION("""COMPUTED_VALUE"""),"Will NOT work for them")</f>
        <v>Will NOT work for them</v>
      </c>
      <c r="J1632" s="1">
        <f ca="1">IFERROR(__xludf.DUMMYFUNCTION("""COMPUTED_VALUE"""),5)</f>
        <v>5</v>
      </c>
      <c r="K1632" s="1" t="str">
        <f ca="1">IFERROR(__xludf.DUMMYFUNCTION("""COMPUTED_VALUE"""),"Fully Remote with Options to travel as and when needed")</f>
        <v>Fully Remote with Options to travel as and when needed</v>
      </c>
      <c r="L1632" s="1" t="str">
        <f ca="1">IFERROR(__xludf.DUMMYFUNCTION("""COMPUTED_VALUE"""),"Employer who rewards learning and enables that environment")</f>
        <v>Employer who rewards learning and enables that environment</v>
      </c>
      <c r="M16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32" s="1" t="str">
        <f ca="1">IFERROR(__xludf.DUMMYFUNCTION("""COMPUTED_VALUE"""),"Manager who explains what is expected, sets a goal and helps achieve it")</f>
        <v>Manager who explains what is expected, sets a goal and helps achieve it</v>
      </c>
      <c r="P1632" s="1" t="str">
        <f ca="1">IFERROR(__xludf.DUMMYFUNCTION("""COMPUTED_VALUE"""),"Work with more than 10 people in my team")</f>
        <v>Work with more than 10 people in my team</v>
      </c>
      <c r="Q1632" s="1"/>
    </row>
    <row r="1633" spans="1:17" ht="13.2" x14ac:dyDescent="0.25">
      <c r="A1633" s="2">
        <f ca="1">IFERROR(__xludf.DUMMYFUNCTION("""COMPUTED_VALUE"""),45046.3000362384)</f>
        <v>45046.300036238397</v>
      </c>
      <c r="B1633" s="1" t="str">
        <f ca="1">IFERROR(__xludf.DUMMYFUNCTION("""COMPUTED_VALUE"""),"India")</f>
        <v>India</v>
      </c>
      <c r="C1633" s="1">
        <f ca="1">IFERROR(__xludf.DUMMYFUNCTION("""COMPUTED_VALUE"""),473001)</f>
        <v>473001</v>
      </c>
      <c r="D1633" s="3" t="str">
        <f ca="1">IFERROR(__xludf.DUMMYFUNCTION("""COMPUTED_VALUE"""),"Male")</f>
        <v>Male</v>
      </c>
      <c r="E1633" s="1" t="str">
        <f ca="1">IFERROR(__xludf.DUMMYFUNCTION("""COMPUTED_VALUE"""),"My Parents")</f>
        <v>My Parents</v>
      </c>
      <c r="F1633" s="1" t="str">
        <f ca="1">IFERROR(__xludf.DUMMYFUNCTION("""COMPUTED_VALUE"""),"No, But if someone could bare the cost I will")</f>
        <v>No, But if someone could bare the cost I will</v>
      </c>
      <c r="G1633" s="1" t="str">
        <f ca="1">IFERROR(__xludf.DUMMYFUNCTION("""COMPUTED_VALUE"""),"No way")</f>
        <v>No way</v>
      </c>
      <c r="H1633" s="1" t="str">
        <f ca="1">IFERROR(__xludf.DUMMYFUNCTION("""COMPUTED_VALUE"""),"No")</f>
        <v>No</v>
      </c>
      <c r="I1633" s="1" t="str">
        <f ca="1">IFERROR(__xludf.DUMMYFUNCTION("""COMPUTED_VALUE"""),"Will NOT work for them")</f>
        <v>Will NOT work for them</v>
      </c>
      <c r="J1633" s="1">
        <f ca="1">IFERROR(__xludf.DUMMYFUNCTION("""COMPUTED_VALUE"""),4)</f>
        <v>4</v>
      </c>
      <c r="K1633" s="1" t="str">
        <f ca="1">IFERROR(__xludf.DUMMYFUNCTION("""COMPUTED_VALUE"""),"Every Day Office Environment")</f>
        <v>Every Day Office Environment</v>
      </c>
      <c r="L1633" s="1" t="str">
        <f ca="1">IFERROR(__xludf.DUMMYFUNCTION("""COMPUTED_VALUE"""),"Employer who pushes your limits by enabling an learning environment, and rewards you at the end")</f>
        <v>Employer who pushes your limits by enabling an learning environment, and rewards you at the end</v>
      </c>
      <c r="M163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33"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633" s="1" t="str">
        <f ca="1">IFERROR(__xludf.DUMMYFUNCTION("""COMPUTED_VALUE"""),"Manager who explains what is expected, sets a goal and helps achieve it")</f>
        <v>Manager who explains what is expected, sets a goal and helps achieve it</v>
      </c>
      <c r="P1633" s="1" t="str">
        <f ca="1">IFERROR(__xludf.DUMMYFUNCTION("""COMPUTED_VALUE"""),"Work with 2 to 3 people in my team")</f>
        <v>Work with 2 to 3 people in my team</v>
      </c>
      <c r="Q1633" s="1"/>
    </row>
    <row r="1634" spans="1:17" ht="13.2" x14ac:dyDescent="0.25">
      <c r="A1634" s="2">
        <f ca="1">IFERROR(__xludf.DUMMYFUNCTION("""COMPUTED_VALUE"""),45046.3079862384)</f>
        <v>45046.307986238397</v>
      </c>
      <c r="B1634" s="1" t="str">
        <f ca="1">IFERROR(__xludf.DUMMYFUNCTION("""COMPUTED_VALUE"""),"India")</f>
        <v>India</v>
      </c>
      <c r="C1634" s="1">
        <f ca="1">IFERROR(__xludf.DUMMYFUNCTION("""COMPUTED_VALUE"""),505460)</f>
        <v>505460</v>
      </c>
      <c r="D1634" s="3" t="str">
        <f ca="1">IFERROR(__xludf.DUMMYFUNCTION("""COMPUTED_VALUE"""),"Female")</f>
        <v>Female</v>
      </c>
      <c r="E1634" s="1" t="str">
        <f ca="1">IFERROR(__xludf.DUMMYFUNCTION("""COMPUTED_VALUE"""),"My Parents")</f>
        <v>My Parents</v>
      </c>
      <c r="F1634" s="1" t="str">
        <f ca="1">IFERROR(__xludf.DUMMYFUNCTION("""COMPUTED_VALUE"""),"No, But if someone could bare the cost I will")</f>
        <v>No, But if someone could bare the cost I will</v>
      </c>
      <c r="G1634" s="1" t="str">
        <f ca="1">IFERROR(__xludf.DUMMYFUNCTION("""COMPUTED_VALUE"""),"No way")</f>
        <v>No way</v>
      </c>
      <c r="H1634" s="1" t="str">
        <f ca="1">IFERROR(__xludf.DUMMYFUNCTION("""COMPUTED_VALUE"""),"Yes")</f>
        <v>Yes</v>
      </c>
      <c r="I1634" s="1" t="str">
        <f ca="1">IFERROR(__xludf.DUMMYFUNCTION("""COMPUTED_VALUE"""),"Will NOT work for them")</f>
        <v>Will NOT work for them</v>
      </c>
      <c r="J1634" s="1">
        <f ca="1">IFERROR(__xludf.DUMMYFUNCTION("""COMPUTED_VALUE"""),5)</f>
        <v>5</v>
      </c>
      <c r="K1634" s="1" t="str">
        <f ca="1">IFERROR(__xludf.DUMMYFUNCTION("""COMPUTED_VALUE"""),"Hybrid Working Environment with less than 3 days a month at office")</f>
        <v>Hybrid Working Environment with less than 3 days a month at office</v>
      </c>
      <c r="L1634" s="1" t="str">
        <f ca="1">IFERROR(__xludf.DUMMYFUNCTION("""COMPUTED_VALUE"""),"Employer who appreciates learning and enables that environment")</f>
        <v>Employer who appreciates learning and enables that environment</v>
      </c>
      <c r="M16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34"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634" s="1" t="str">
        <f ca="1">IFERROR(__xludf.DUMMYFUNCTION("""COMPUTED_VALUE"""),"Manager who sets goal and helps me achieve it")</f>
        <v>Manager who sets goal and helps me achieve it</v>
      </c>
      <c r="P1634" s="1" t="str">
        <f ca="1">IFERROR(__xludf.DUMMYFUNCTION("""COMPUTED_VALUE"""),"Work with 5 to 6 people in my team")</f>
        <v>Work with 5 to 6 people in my team</v>
      </c>
      <c r="Q1634" s="1"/>
    </row>
    <row r="1635" spans="1:17" ht="13.2" x14ac:dyDescent="0.25">
      <c r="A1635" s="2">
        <f ca="1">IFERROR(__xludf.DUMMYFUNCTION("""COMPUTED_VALUE"""),45046.3230974768)</f>
        <v>45046.323097476801</v>
      </c>
      <c r="B1635" s="1" t="str">
        <f ca="1">IFERROR(__xludf.DUMMYFUNCTION("""COMPUTED_VALUE"""),"India")</f>
        <v>India</v>
      </c>
      <c r="C1635" s="1">
        <f ca="1">IFERROR(__xludf.DUMMYFUNCTION("""COMPUTED_VALUE"""),110006)</f>
        <v>110006</v>
      </c>
      <c r="D1635" s="3" t="str">
        <f ca="1">IFERROR(__xludf.DUMMYFUNCTION("""COMPUTED_VALUE"""),"Female")</f>
        <v>Female</v>
      </c>
      <c r="E1635" s="1" t="str">
        <f ca="1">IFERROR(__xludf.DUMMYFUNCTION("""COMPUTED_VALUE"""),"My Parents")</f>
        <v>My Parents</v>
      </c>
      <c r="F1635" s="1" t="str">
        <f ca="1">IFERROR(__xludf.DUMMYFUNCTION("""COMPUTED_VALUE"""),"Yes, I will earn and do that")</f>
        <v>Yes, I will earn and do that</v>
      </c>
      <c r="G1635" s="1" t="str">
        <f ca="1">IFERROR(__xludf.DUMMYFUNCTION("""COMPUTED_VALUE"""),"This will be hard to do, but if it is the right company I would try")</f>
        <v>This will be hard to do, but if it is the right company I would try</v>
      </c>
      <c r="H1635" s="1" t="str">
        <f ca="1">IFERROR(__xludf.DUMMYFUNCTION("""COMPUTED_VALUE"""),"No")</f>
        <v>No</v>
      </c>
      <c r="I1635" s="1" t="str">
        <f ca="1">IFERROR(__xludf.DUMMYFUNCTION("""COMPUTED_VALUE"""),"Will NOT work for them")</f>
        <v>Will NOT work for them</v>
      </c>
      <c r="J1635" s="1">
        <f ca="1">IFERROR(__xludf.DUMMYFUNCTION("""COMPUTED_VALUE"""),1)</f>
        <v>1</v>
      </c>
      <c r="K1635" s="1" t="str">
        <f ca="1">IFERROR(__xludf.DUMMYFUNCTION("""COMPUTED_VALUE"""),"Hybrid Working Environment with more than 15 days a month at office")</f>
        <v>Hybrid Working Environment with more than 15 days a month at office</v>
      </c>
      <c r="L1635" s="1" t="str">
        <f ca="1">IFERROR(__xludf.DUMMYFUNCTION("""COMPUTED_VALUE"""),"Employer who pushes your limits by enabling an learning environment, and rewards you at the end")</f>
        <v>Employer who pushes your limits by enabling an learning environment, and rewards you at the end</v>
      </c>
      <c r="M163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35"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635" s="1" t="str">
        <f ca="1">IFERROR(__xludf.DUMMYFUNCTION("""COMPUTED_VALUE"""),"Manager who explains what is expected, sets a goal and helps achieve it")</f>
        <v>Manager who explains what is expected, sets a goal and helps achieve it</v>
      </c>
      <c r="P1635" s="1" t="str">
        <f ca="1">IFERROR(__xludf.DUMMYFUNCTION("""COMPUTED_VALUE"""),"Work with 7 to 10 or more people in my team")</f>
        <v>Work with 7 to 10 or more people in my team</v>
      </c>
      <c r="Q1635" s="1"/>
    </row>
    <row r="1636" spans="1:17" ht="13.2" x14ac:dyDescent="0.25">
      <c r="A1636" s="2">
        <f ca="1">IFERROR(__xludf.DUMMYFUNCTION("""COMPUTED_VALUE"""),45046.3310814467)</f>
        <v>45046.331081446697</v>
      </c>
      <c r="B1636" s="1" t="str">
        <f ca="1">IFERROR(__xludf.DUMMYFUNCTION("""COMPUTED_VALUE"""),"India")</f>
        <v>India</v>
      </c>
      <c r="C1636" s="1">
        <f ca="1">IFERROR(__xludf.DUMMYFUNCTION("""COMPUTED_VALUE"""),560066)</f>
        <v>560066</v>
      </c>
      <c r="D1636" s="3" t="str">
        <f ca="1">IFERROR(__xludf.DUMMYFUNCTION("""COMPUTED_VALUE"""),"Female")</f>
        <v>Female</v>
      </c>
      <c r="E1636" s="1" t="str">
        <f ca="1">IFERROR(__xludf.DUMMYFUNCTION("""COMPUTED_VALUE"""),"People from my circle, but not family members")</f>
        <v>People from my circle, but not family members</v>
      </c>
      <c r="F1636" s="1" t="str">
        <f ca="1">IFERROR(__xludf.DUMMYFUNCTION("""COMPUTED_VALUE"""),"No, But if someone could bare the cost I will")</f>
        <v>No, But if someone could bare the cost I will</v>
      </c>
      <c r="G1636" s="1" t="str">
        <f ca="1">IFERROR(__xludf.DUMMYFUNCTION("""COMPUTED_VALUE"""),"This will be hard to do, but if it is the right company I would try")</f>
        <v>This will be hard to do, but if it is the right company I would try</v>
      </c>
      <c r="H1636" s="1" t="str">
        <f ca="1">IFERROR(__xludf.DUMMYFUNCTION("""COMPUTED_VALUE"""),"No")</f>
        <v>No</v>
      </c>
      <c r="I1636" s="1" t="str">
        <f ca="1">IFERROR(__xludf.DUMMYFUNCTION("""COMPUTED_VALUE"""),"Will NOT work for them")</f>
        <v>Will NOT work for them</v>
      </c>
      <c r="J1636" s="1">
        <f ca="1">IFERROR(__xludf.DUMMYFUNCTION("""COMPUTED_VALUE"""),6)</f>
        <v>6</v>
      </c>
      <c r="K1636" s="1" t="str">
        <f ca="1">IFERROR(__xludf.DUMMYFUNCTION("""COMPUTED_VALUE"""),"Hybrid Working Environment with more than 15 days a month at office")</f>
        <v>Hybrid Working Environment with more than 15 days a month at office</v>
      </c>
      <c r="L1636" s="1" t="str">
        <f ca="1">IFERROR(__xludf.DUMMYFUNCTION("""COMPUTED_VALUE"""),"Employer who pushes your limits by enabling an learning environment, and rewards you at the end")</f>
        <v>Employer who pushes your limits by enabling an learning environment, and rewards you at the end</v>
      </c>
      <c r="M16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6" s="1" t="str">
        <f ca="1">IFERROR(__xludf.DUMMYFUNCTION("""COMPUTED_VALUE"""),"Design and Creative strategy in any company, Teaching in any of the institutes/colleges/online or offline, Work in a BPO setup for some well known client, Entrepreneur or Start Up")</f>
        <v>Design and Creative strategy in any company, Teaching in any of the institutes/colleges/online or offline, Work in a BPO setup for some well known client, Entrepreneur or Start Up</v>
      </c>
      <c r="O1636" s="1" t="str">
        <f ca="1">IFERROR(__xludf.DUMMYFUNCTION("""COMPUTED_VALUE"""),"Manager who explains what is expected, sets a goal and helps achieve it")</f>
        <v>Manager who explains what is expected, sets a goal and helps achieve it</v>
      </c>
      <c r="P1636" s="1" t="str">
        <f ca="1">IFERROR(__xludf.DUMMYFUNCTION("""COMPUTED_VALUE"""),"Work with 7 to 10 or more people in my team")</f>
        <v>Work with 7 to 10 or more people in my team</v>
      </c>
      <c r="Q1636" s="1"/>
    </row>
    <row r="1637" spans="1:17" ht="13.2" x14ac:dyDescent="0.25">
      <c r="A1637" s="2">
        <f ca="1">IFERROR(__xludf.DUMMYFUNCTION("""COMPUTED_VALUE"""),45046.3585796527)</f>
        <v>45046.358579652697</v>
      </c>
      <c r="B1637" s="1" t="str">
        <f ca="1">IFERROR(__xludf.DUMMYFUNCTION("""COMPUTED_VALUE"""),"India")</f>
        <v>India</v>
      </c>
      <c r="C1637" s="1">
        <f ca="1">IFERROR(__xludf.DUMMYFUNCTION("""COMPUTED_VALUE"""),160002)</f>
        <v>160002</v>
      </c>
      <c r="D1637" s="3" t="str">
        <f ca="1">IFERROR(__xludf.DUMMYFUNCTION("""COMPUTED_VALUE"""),"Female")</f>
        <v>Female</v>
      </c>
      <c r="E1637" s="1" t="str">
        <f ca="1">IFERROR(__xludf.DUMMYFUNCTION("""COMPUTED_VALUE"""),"My Parents")</f>
        <v>My Parents</v>
      </c>
      <c r="F1637" s="1" t="str">
        <f ca="1">IFERROR(__xludf.DUMMYFUNCTION("""COMPUTED_VALUE"""),"No I would not be pursuing Higher Education outside of India")</f>
        <v>No I would not be pursuing Higher Education outside of India</v>
      </c>
      <c r="G1637" s="1" t="str">
        <f ca="1">IFERROR(__xludf.DUMMYFUNCTION("""COMPUTED_VALUE"""),"This will be hard to do, but if it is the right company I would try")</f>
        <v>This will be hard to do, but if it is the right company I would try</v>
      </c>
      <c r="H1637" s="1" t="str">
        <f ca="1">IFERROR(__xludf.DUMMYFUNCTION("""COMPUTED_VALUE"""),"No")</f>
        <v>No</v>
      </c>
      <c r="I1637" s="1" t="str">
        <f ca="1">IFERROR(__xludf.DUMMYFUNCTION("""COMPUTED_VALUE"""),"Will NOT work for them")</f>
        <v>Will NOT work for them</v>
      </c>
      <c r="J1637" s="1">
        <f ca="1">IFERROR(__xludf.DUMMYFUNCTION("""COMPUTED_VALUE"""),1)</f>
        <v>1</v>
      </c>
      <c r="K1637" s="1" t="str">
        <f ca="1">IFERROR(__xludf.DUMMYFUNCTION("""COMPUTED_VALUE"""),"Fully Remote with No option to visit offices")</f>
        <v>Fully Remote with No option to visit offices</v>
      </c>
      <c r="L1637" s="1" t="str">
        <f ca="1">IFERROR(__xludf.DUMMYFUNCTION("""COMPUTED_VALUE"""),"Employer who appreciates learning and enables that environment")</f>
        <v>Employer who appreciates learning and enables that environment</v>
      </c>
      <c r="M16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637" s="1" t="str">
        <f ca="1">IFERROR(__xludf.DUMMYFUNCTION("""COMPUTED_VALUE"""),"Manager who clearly describes what she/he needs")</f>
        <v>Manager who clearly describes what she/he needs</v>
      </c>
      <c r="P1637" s="1" t="str">
        <f ca="1">IFERROR(__xludf.DUMMYFUNCTION("""COMPUTED_VALUE"""),"Work with 2 to 3 people in my team")</f>
        <v>Work with 2 to 3 people in my team</v>
      </c>
      <c r="Q1637" s="1"/>
    </row>
    <row r="1638" spans="1:17" ht="13.2" x14ac:dyDescent="0.25">
      <c r="A1638" s="2">
        <f ca="1">IFERROR(__xludf.DUMMYFUNCTION("""COMPUTED_VALUE"""),45046.4178829976)</f>
        <v>45046.417882997601</v>
      </c>
      <c r="B1638" s="1" t="str">
        <f ca="1">IFERROR(__xludf.DUMMYFUNCTION("""COMPUTED_VALUE"""),"India")</f>
        <v>India</v>
      </c>
      <c r="C1638" s="1">
        <f ca="1">IFERROR(__xludf.DUMMYFUNCTION("""COMPUTED_VALUE"""),605010)</f>
        <v>605010</v>
      </c>
      <c r="D1638" s="3" t="str">
        <f ca="1">IFERROR(__xludf.DUMMYFUNCTION("""COMPUTED_VALUE"""),"Female")</f>
        <v>Female</v>
      </c>
      <c r="E1638" s="1" t="str">
        <f ca="1">IFERROR(__xludf.DUMMYFUNCTION("""COMPUTED_VALUE"""),"People from my circle, but not family members")</f>
        <v>People from my circle, but not family members</v>
      </c>
      <c r="F1638" s="1" t="str">
        <f ca="1">IFERROR(__xludf.DUMMYFUNCTION("""COMPUTED_VALUE"""),"No, But if someone could bare the cost I will")</f>
        <v>No, But if someone could bare the cost I will</v>
      </c>
      <c r="G1638" s="1" t="str">
        <f ca="1">IFERROR(__xludf.DUMMYFUNCTION("""COMPUTED_VALUE"""),"Will work for 3 years or more")</f>
        <v>Will work for 3 years or more</v>
      </c>
      <c r="H1638" s="1" t="str">
        <f ca="1">IFERROR(__xludf.DUMMYFUNCTION("""COMPUTED_VALUE"""),"No")</f>
        <v>No</v>
      </c>
      <c r="I1638" s="1" t="str">
        <f ca="1">IFERROR(__xludf.DUMMYFUNCTION("""COMPUTED_VALUE"""),"Will NOT work for them")</f>
        <v>Will NOT work for them</v>
      </c>
      <c r="J1638" s="1">
        <f ca="1">IFERROR(__xludf.DUMMYFUNCTION("""COMPUTED_VALUE"""),6)</f>
        <v>6</v>
      </c>
      <c r="K1638" s="1" t="str">
        <f ca="1">IFERROR(__xludf.DUMMYFUNCTION("""COMPUTED_VALUE"""),"Fully Remote with Options to travel as and when needed")</f>
        <v>Fully Remote with Options to travel as and when needed</v>
      </c>
      <c r="L1638" s="1" t="str">
        <f ca="1">IFERROR(__xludf.DUMMYFUNCTION("""COMPUTED_VALUE"""),"Employer who rewards learning and enables that environment")</f>
        <v>Employer who rewards learning and enables that environment</v>
      </c>
      <c r="M163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38"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638" s="1" t="str">
        <f ca="1">IFERROR(__xludf.DUMMYFUNCTION("""COMPUTED_VALUE"""),"Manager who sets goal and helps me achieve it")</f>
        <v>Manager who sets goal and helps me achieve it</v>
      </c>
      <c r="P1638" s="1" t="str">
        <f ca="1">IFERROR(__xludf.DUMMYFUNCTION("""COMPUTED_VALUE"""),"Work with 2 to 3 people in my team")</f>
        <v>Work with 2 to 3 people in my team</v>
      </c>
      <c r="Q1638" s="1"/>
    </row>
    <row r="1639" spans="1:17" ht="13.2" x14ac:dyDescent="0.25">
      <c r="A1639" s="2">
        <f ca="1">IFERROR(__xludf.DUMMYFUNCTION("""COMPUTED_VALUE"""),45046.4212645949)</f>
        <v>45046.421264594901</v>
      </c>
      <c r="B1639" s="1" t="str">
        <f ca="1">IFERROR(__xludf.DUMMYFUNCTION("""COMPUTED_VALUE"""),"India")</f>
        <v>India</v>
      </c>
      <c r="C1639" s="1">
        <f ca="1">IFERROR(__xludf.DUMMYFUNCTION("""COMPUTED_VALUE"""),571301)</f>
        <v>571301</v>
      </c>
      <c r="D1639" s="3" t="str">
        <f ca="1">IFERROR(__xludf.DUMMYFUNCTION("""COMPUTED_VALUE"""),"Male")</f>
        <v>Male</v>
      </c>
      <c r="E1639" s="1" t="str">
        <f ca="1">IFERROR(__xludf.DUMMYFUNCTION("""COMPUTED_VALUE"""),"My Parents")</f>
        <v>My Parents</v>
      </c>
      <c r="F1639" s="1" t="str">
        <f ca="1">IFERROR(__xludf.DUMMYFUNCTION("""COMPUTED_VALUE"""),"No I would not be pursuing Higher Education outside of India")</f>
        <v>No I would not be pursuing Higher Education outside of India</v>
      </c>
      <c r="G1639" s="1" t="str">
        <f ca="1">IFERROR(__xludf.DUMMYFUNCTION("""COMPUTED_VALUE"""),"This will be hard to do, but if it is the right company I would try")</f>
        <v>This will be hard to do, but if it is the right company I would try</v>
      </c>
      <c r="H1639" s="1" t="str">
        <f ca="1">IFERROR(__xludf.DUMMYFUNCTION("""COMPUTED_VALUE"""),"No")</f>
        <v>No</v>
      </c>
      <c r="I1639" s="1" t="str">
        <f ca="1">IFERROR(__xludf.DUMMYFUNCTION("""COMPUTED_VALUE"""),"Will NOT work for them")</f>
        <v>Will NOT work for them</v>
      </c>
      <c r="J1639" s="1">
        <f ca="1">IFERROR(__xludf.DUMMYFUNCTION("""COMPUTED_VALUE"""),5)</f>
        <v>5</v>
      </c>
      <c r="K1639" s="1" t="str">
        <f ca="1">IFERROR(__xludf.DUMMYFUNCTION("""COMPUTED_VALUE"""),"Hybrid Working Environment with more than 15 days a month at office")</f>
        <v>Hybrid Working Environment with more than 15 days a month at office</v>
      </c>
      <c r="L1639" s="1" t="str">
        <f ca="1">IFERROR(__xludf.DUMMYFUNCTION("""COMPUTED_VALUE"""),"Employer who appreciates learning and enables that environment")</f>
        <v>Employer who appreciates learning and enables that environment</v>
      </c>
      <c r="M163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39"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639" s="1" t="str">
        <f ca="1">IFERROR(__xludf.DUMMYFUNCTION("""COMPUTED_VALUE"""),"Manager who clearly describes what she/he needs")</f>
        <v>Manager who clearly describes what she/he needs</v>
      </c>
      <c r="P1639" s="1" t="str">
        <f ca="1">IFERROR(__xludf.DUMMYFUNCTION("""COMPUTED_VALUE"""),"Work with more than 10 people in my team")</f>
        <v>Work with more than 10 people in my team</v>
      </c>
      <c r="Q1639" s="1"/>
    </row>
    <row r="1640" spans="1:17" ht="13.2" x14ac:dyDescent="0.25">
      <c r="A1640" s="2">
        <f ca="1">IFERROR(__xludf.DUMMYFUNCTION("""COMPUTED_VALUE"""),45046.4299020486)</f>
        <v>45046.4299020486</v>
      </c>
      <c r="B1640" s="1" t="str">
        <f ca="1">IFERROR(__xludf.DUMMYFUNCTION("""COMPUTED_VALUE"""),"Canada")</f>
        <v>Canada</v>
      </c>
      <c r="C1640" s="1" t="str">
        <f ca="1">IFERROR(__xludf.DUMMYFUNCTION("""COMPUTED_VALUE"""),"M3J0E5")</f>
        <v>M3J0E5</v>
      </c>
      <c r="D1640" s="3" t="str">
        <f ca="1">IFERROR(__xludf.DUMMYFUNCTION("""COMPUTED_VALUE"""),"Female")</f>
        <v>Female</v>
      </c>
      <c r="E1640" s="1" t="str">
        <f ca="1">IFERROR(__xludf.DUMMYFUNCTION("""COMPUTED_VALUE"""),"People from my circle, but not family members")</f>
        <v>People from my circle, but not family members</v>
      </c>
      <c r="F1640" s="1" t="str">
        <f ca="1">IFERROR(__xludf.DUMMYFUNCTION("""COMPUTED_VALUE"""),"Yes, I will earn and do that")</f>
        <v>Yes, I will earn and do that</v>
      </c>
      <c r="G1640" s="1" t="str">
        <f ca="1">IFERROR(__xludf.DUMMYFUNCTION("""COMPUTED_VALUE"""),"No way")</f>
        <v>No way</v>
      </c>
      <c r="H1640" s="1" t="str">
        <f ca="1">IFERROR(__xludf.DUMMYFUNCTION("""COMPUTED_VALUE"""),"No")</f>
        <v>No</v>
      </c>
      <c r="I1640" s="1" t="str">
        <f ca="1">IFERROR(__xludf.DUMMYFUNCTION("""COMPUTED_VALUE"""),"Will work for them")</f>
        <v>Will work for them</v>
      </c>
      <c r="J1640" s="1">
        <f ca="1">IFERROR(__xludf.DUMMYFUNCTION("""COMPUTED_VALUE"""),8)</f>
        <v>8</v>
      </c>
      <c r="K1640" s="1" t="str">
        <f ca="1">IFERROR(__xludf.DUMMYFUNCTION("""COMPUTED_VALUE"""),"Fully Remote with Options to travel as and when needed")</f>
        <v>Fully Remote with Options to travel as and when needed</v>
      </c>
      <c r="L1640" s="1" t="str">
        <f ca="1">IFERROR(__xludf.DUMMYFUNCTION("""COMPUTED_VALUE"""),"Employer who pushes your limits by enabling an learning environment, and rewards you at the end")</f>
        <v>Employer who pushes your limits by enabling an learning environment, and rewards you at the end</v>
      </c>
      <c r="M1640"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640"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1640" s="1" t="str">
        <f ca="1">IFERROR(__xludf.DUMMYFUNCTION("""COMPUTED_VALUE"""),"Manager who sets goal and helps me achieve it")</f>
        <v>Manager who sets goal and helps me achieve it</v>
      </c>
      <c r="P1640" s="1" t="str">
        <f ca="1">IFERROR(__xludf.DUMMYFUNCTION("""COMPUTED_VALUE"""),"Work with more than 10 people in my team")</f>
        <v>Work with more than 10 people in my team</v>
      </c>
      <c r="Q1640" s="1"/>
    </row>
    <row r="1641" spans="1:17" ht="13.2" x14ac:dyDescent="0.25">
      <c r="A1641" s="2">
        <f ca="1">IFERROR(__xludf.DUMMYFUNCTION("""COMPUTED_VALUE"""),45046.4421729861)</f>
        <v>45046.442172986099</v>
      </c>
      <c r="B1641" s="1" t="str">
        <f ca="1">IFERROR(__xludf.DUMMYFUNCTION("""COMPUTED_VALUE"""),"India")</f>
        <v>India</v>
      </c>
      <c r="C1641" s="1">
        <f ca="1">IFERROR(__xludf.DUMMYFUNCTION("""COMPUTED_VALUE"""),243006)</f>
        <v>243006</v>
      </c>
      <c r="D1641" s="3" t="str">
        <f ca="1">IFERROR(__xludf.DUMMYFUNCTION("""COMPUTED_VALUE"""),"Male")</f>
        <v>Male</v>
      </c>
      <c r="E1641" s="1" t="str">
        <f ca="1">IFERROR(__xludf.DUMMYFUNCTION("""COMPUTED_VALUE"""),"Influencers who had successful careers")</f>
        <v>Influencers who had successful careers</v>
      </c>
      <c r="F1641" s="1" t="str">
        <f ca="1">IFERROR(__xludf.DUMMYFUNCTION("""COMPUTED_VALUE"""),"No I would not be pursuing Higher Education outside of India")</f>
        <v>No I would not be pursuing Higher Education outside of India</v>
      </c>
      <c r="G1641" s="1" t="str">
        <f ca="1">IFERROR(__xludf.DUMMYFUNCTION("""COMPUTED_VALUE"""),"This will be hard to do, but if it is the right company I would try")</f>
        <v>This will be hard to do, but if it is the right company I would try</v>
      </c>
      <c r="H1641" s="1" t="str">
        <f ca="1">IFERROR(__xludf.DUMMYFUNCTION("""COMPUTED_VALUE"""),"Yes")</f>
        <v>Yes</v>
      </c>
      <c r="I1641" s="1" t="str">
        <f ca="1">IFERROR(__xludf.DUMMYFUNCTION("""COMPUTED_VALUE"""),"Will NOT work for them")</f>
        <v>Will NOT work for them</v>
      </c>
      <c r="J1641" s="1">
        <f ca="1">IFERROR(__xludf.DUMMYFUNCTION("""COMPUTED_VALUE"""),5)</f>
        <v>5</v>
      </c>
      <c r="K1641" s="1" t="str">
        <f ca="1">IFERROR(__xludf.DUMMYFUNCTION("""COMPUTED_VALUE"""),"Hybrid Working Environment with less than 3 days a month at office")</f>
        <v>Hybrid Working Environment with less than 3 days a month at office</v>
      </c>
      <c r="L1641" s="1" t="str">
        <f ca="1">IFERROR(__xludf.DUMMYFUNCTION("""COMPUTED_VALUE"""),"Employer who pushes your limits by enabling an learning environment, and rewards you at the end")</f>
        <v>Employer who pushes your limits by enabling an learning environment, and rewards you at the end</v>
      </c>
      <c r="M164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41"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641" s="1" t="str">
        <f ca="1">IFERROR(__xludf.DUMMYFUNCTION("""COMPUTED_VALUE"""),"Manager who explains what is expected, sets a goal and helps achieve it")</f>
        <v>Manager who explains what is expected, sets a goal and helps achieve it</v>
      </c>
      <c r="P1641" s="1" t="str">
        <f ca="1">IFERROR(__xludf.DUMMYFUNCTION("""COMPUTED_VALUE"""),"Work with 5 to 6 people in my team")</f>
        <v>Work with 5 to 6 people in my team</v>
      </c>
      <c r="Q1641" s="1"/>
    </row>
    <row r="1642" spans="1:17" ht="13.2" x14ac:dyDescent="0.25">
      <c r="A1642" s="2">
        <f ca="1">IFERROR(__xludf.DUMMYFUNCTION("""COMPUTED_VALUE"""),45046.4502612384)</f>
        <v>45046.450261238402</v>
      </c>
      <c r="B1642" s="1" t="str">
        <f ca="1">IFERROR(__xludf.DUMMYFUNCTION("""COMPUTED_VALUE"""),"India")</f>
        <v>India</v>
      </c>
      <c r="C1642" s="1">
        <f ca="1">IFERROR(__xludf.DUMMYFUNCTION("""COMPUTED_VALUE"""),142026)</f>
        <v>142026</v>
      </c>
      <c r="D1642" s="3" t="str">
        <f ca="1">IFERROR(__xludf.DUMMYFUNCTION("""COMPUTED_VALUE"""),"Female")</f>
        <v>Female</v>
      </c>
      <c r="E1642" s="1" t="str">
        <f ca="1">IFERROR(__xludf.DUMMYFUNCTION("""COMPUTED_VALUE"""),"My Parents")</f>
        <v>My Parents</v>
      </c>
      <c r="F1642" s="1" t="str">
        <f ca="1">IFERROR(__xludf.DUMMYFUNCTION("""COMPUTED_VALUE"""),"Yes, I will earn and do that")</f>
        <v>Yes, I will earn and do that</v>
      </c>
      <c r="G1642" s="1" t="str">
        <f ca="1">IFERROR(__xludf.DUMMYFUNCTION("""COMPUTED_VALUE"""),"Will work for 3 years or more")</f>
        <v>Will work for 3 years or more</v>
      </c>
      <c r="H1642" s="1" t="str">
        <f ca="1">IFERROR(__xludf.DUMMYFUNCTION("""COMPUTED_VALUE"""),"No")</f>
        <v>No</v>
      </c>
      <c r="I1642" s="1" t="str">
        <f ca="1">IFERROR(__xludf.DUMMYFUNCTION("""COMPUTED_VALUE"""),"Will NOT work for them")</f>
        <v>Will NOT work for them</v>
      </c>
      <c r="J1642" s="1">
        <f ca="1">IFERROR(__xludf.DUMMYFUNCTION("""COMPUTED_VALUE"""),8)</f>
        <v>8</v>
      </c>
      <c r="K1642" s="1" t="str">
        <f ca="1">IFERROR(__xludf.DUMMYFUNCTION("""COMPUTED_VALUE"""),"Fully Remote with Options to travel as and when needed")</f>
        <v>Fully Remote with Options to travel as and when needed</v>
      </c>
      <c r="L1642" s="1" t="str">
        <f ca="1">IFERROR(__xludf.DUMMYFUNCTION("""COMPUTED_VALUE"""),"Employer who pushes your limits by enabling an learning environment, and rewards you at the end")</f>
        <v>Employer who pushes your limits by enabling an learning environment, and rewards you at the end</v>
      </c>
      <c r="M1642" s="1" t="str">
        <f ca="1">IFERROR(__xludf.DUMMYFUNCTION("""COMPUTED_VALUE"""),"Self Paced Learning Portals of the Company, Instructor or Expert Learning Programs, Manager Teaching you")</f>
        <v>Self Paced Learning Portals of the Company, Instructor or Expert Learning Programs, Manager Teaching you</v>
      </c>
      <c r="N164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642" s="1" t="str">
        <f ca="1">IFERROR(__xludf.DUMMYFUNCTION("""COMPUTED_VALUE"""),"Manager who sets goal and helps me achieve it")</f>
        <v>Manager who sets goal and helps me achieve it</v>
      </c>
      <c r="P1642" s="1" t="str">
        <f ca="1">IFERROR(__xludf.DUMMYFUNCTION("""COMPUTED_VALUE"""),"Work alone")</f>
        <v>Work alone</v>
      </c>
      <c r="Q1642" s="1"/>
    </row>
    <row r="1643" spans="1:17" ht="13.2" x14ac:dyDescent="0.25">
      <c r="A1643" s="2">
        <f ca="1">IFERROR(__xludf.DUMMYFUNCTION("""COMPUTED_VALUE"""),45046.465264699)</f>
        <v>45046.465264699</v>
      </c>
      <c r="B1643" s="1" t="str">
        <f ca="1">IFERROR(__xludf.DUMMYFUNCTION("""COMPUTED_VALUE"""),"India")</f>
        <v>India</v>
      </c>
      <c r="C1643" s="1">
        <f ca="1">IFERROR(__xludf.DUMMYFUNCTION("""COMPUTED_VALUE"""),605013)</f>
        <v>605013</v>
      </c>
      <c r="D1643" s="3" t="str">
        <f ca="1">IFERROR(__xludf.DUMMYFUNCTION("""COMPUTED_VALUE"""),"Female")</f>
        <v>Female</v>
      </c>
      <c r="E1643" s="1" t="str">
        <f ca="1">IFERROR(__xludf.DUMMYFUNCTION("""COMPUTED_VALUE"""),"My Parents")</f>
        <v>My Parents</v>
      </c>
      <c r="F1643" s="1" t="str">
        <f ca="1">IFERROR(__xludf.DUMMYFUNCTION("""COMPUTED_VALUE"""),"Yes, I will earn and do that")</f>
        <v>Yes, I will earn and do that</v>
      </c>
      <c r="G1643" s="1" t="str">
        <f ca="1">IFERROR(__xludf.DUMMYFUNCTION("""COMPUTED_VALUE"""),"Will work for 3 years or more")</f>
        <v>Will work for 3 years or more</v>
      </c>
      <c r="H1643" s="1" t="str">
        <f ca="1">IFERROR(__xludf.DUMMYFUNCTION("""COMPUTED_VALUE"""),"No")</f>
        <v>No</v>
      </c>
      <c r="I1643" s="1" t="str">
        <f ca="1">IFERROR(__xludf.DUMMYFUNCTION("""COMPUTED_VALUE"""),"Will NOT work for them")</f>
        <v>Will NOT work for them</v>
      </c>
      <c r="J1643" s="1">
        <f ca="1">IFERROR(__xludf.DUMMYFUNCTION("""COMPUTED_VALUE"""),9)</f>
        <v>9</v>
      </c>
      <c r="K1643" s="1" t="str">
        <f ca="1">IFERROR(__xludf.DUMMYFUNCTION("""COMPUTED_VALUE"""),"Hybrid Working Environment with more than 15 days a month at office")</f>
        <v>Hybrid Working Environment with more than 15 days a month at office</v>
      </c>
      <c r="L1643" s="1" t="str">
        <f ca="1">IFERROR(__xludf.DUMMYFUNCTION("""COMPUTED_VALUE"""),"Employer who appreciates learning and enables that environment")</f>
        <v>Employer who appreciates learning and enables that environment</v>
      </c>
      <c r="M164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4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43" s="1" t="str">
        <f ca="1">IFERROR(__xludf.DUMMYFUNCTION("""COMPUTED_VALUE"""),"Manager who explains what is expected, sets a goal and helps achieve it")</f>
        <v>Manager who explains what is expected, sets a goal and helps achieve it</v>
      </c>
      <c r="P1643"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43" s="1"/>
    </row>
    <row r="1644" spans="1:17" ht="13.2" x14ac:dyDescent="0.25">
      <c r="A1644" s="2">
        <f ca="1">IFERROR(__xludf.DUMMYFUNCTION("""COMPUTED_VALUE"""),45046.4777301504)</f>
        <v>45046.4777301504</v>
      </c>
      <c r="B1644" s="1" t="str">
        <f ca="1">IFERROR(__xludf.DUMMYFUNCTION("""COMPUTED_VALUE"""),"India")</f>
        <v>India</v>
      </c>
      <c r="C1644" s="1">
        <f ca="1">IFERROR(__xludf.DUMMYFUNCTION("""COMPUTED_VALUE"""),201010)</f>
        <v>201010</v>
      </c>
      <c r="D1644" s="3" t="str">
        <f ca="1">IFERROR(__xludf.DUMMYFUNCTION("""COMPUTED_VALUE"""),"Male")</f>
        <v>Male</v>
      </c>
      <c r="E1644" s="1" t="str">
        <f ca="1">IFERROR(__xludf.DUMMYFUNCTION("""COMPUTED_VALUE"""),"People from my circle, but not family members")</f>
        <v>People from my circle, but not family members</v>
      </c>
      <c r="F1644" s="1" t="str">
        <f ca="1">IFERROR(__xludf.DUMMYFUNCTION("""COMPUTED_VALUE"""),"No I would not be pursuing Higher Education outside of India")</f>
        <v>No I would not be pursuing Higher Education outside of India</v>
      </c>
      <c r="G1644" s="1" t="str">
        <f ca="1">IFERROR(__xludf.DUMMYFUNCTION("""COMPUTED_VALUE"""),"Will work for 3 years or more")</f>
        <v>Will work for 3 years or more</v>
      </c>
      <c r="H1644" s="1" t="str">
        <f ca="1">IFERROR(__xludf.DUMMYFUNCTION("""COMPUTED_VALUE"""),"No")</f>
        <v>No</v>
      </c>
      <c r="I1644" s="1" t="str">
        <f ca="1">IFERROR(__xludf.DUMMYFUNCTION("""COMPUTED_VALUE"""),"Will work for them")</f>
        <v>Will work for them</v>
      </c>
      <c r="J1644" s="1">
        <f ca="1">IFERROR(__xludf.DUMMYFUNCTION("""COMPUTED_VALUE"""),10)</f>
        <v>10</v>
      </c>
      <c r="K1644" s="1" t="str">
        <f ca="1">IFERROR(__xludf.DUMMYFUNCTION("""COMPUTED_VALUE"""),"Every Day Office Environment")</f>
        <v>Every Day Office Environment</v>
      </c>
      <c r="L1644" s="1" t="str">
        <f ca="1">IFERROR(__xludf.DUMMYFUNCTION("""COMPUTED_VALUE"""),"Employer who pushes your limits by enabling an learning environment, and rewards you at the end")</f>
        <v>Employer who pushes your limits by enabling an learning environment, and rewards you at the end</v>
      </c>
      <c r="M164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644"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1644" s="1" t="str">
        <f ca="1">IFERROR(__xludf.DUMMYFUNCTION("""COMPUTED_VALUE"""),"Manager who explains what is expected, sets a goal and helps achieve it")</f>
        <v>Manager who explains what is expected, sets a goal and helps achieve it</v>
      </c>
      <c r="P1644" s="1" t="str">
        <f ca="1">IFERROR(__xludf.DUMMYFUNCTION("""COMPUTED_VALUE"""),"Work with 7 to 10 or more people in my team")</f>
        <v>Work with 7 to 10 or more people in my team</v>
      </c>
      <c r="Q1644" s="1"/>
    </row>
    <row r="1645" spans="1:17" ht="13.2" x14ac:dyDescent="0.25">
      <c r="A1645" s="2">
        <f ca="1">IFERROR(__xludf.DUMMYFUNCTION("""COMPUTED_VALUE"""),45046.5172536111)</f>
        <v>45046.517253611099</v>
      </c>
      <c r="B1645" s="1" t="str">
        <f ca="1">IFERROR(__xludf.DUMMYFUNCTION("""COMPUTED_VALUE"""),"India")</f>
        <v>India</v>
      </c>
      <c r="C1645" s="1">
        <f ca="1">IFERROR(__xludf.DUMMYFUNCTION("""COMPUTED_VALUE"""),518395)</f>
        <v>518395</v>
      </c>
      <c r="D1645" s="3" t="str">
        <f ca="1">IFERROR(__xludf.DUMMYFUNCTION("""COMPUTED_VALUE"""),"Male")</f>
        <v>Male</v>
      </c>
      <c r="E1645" s="1" t="str">
        <f ca="1">IFERROR(__xludf.DUMMYFUNCTION("""COMPUTED_VALUE"""),"People who have changed the world for better")</f>
        <v>People who have changed the world for better</v>
      </c>
      <c r="F1645" s="1" t="str">
        <f ca="1">IFERROR(__xludf.DUMMYFUNCTION("""COMPUTED_VALUE"""),"No I would not be pursuing Higher Education outside of India")</f>
        <v>No I would not be pursuing Higher Education outside of India</v>
      </c>
      <c r="G1645" s="1" t="str">
        <f ca="1">IFERROR(__xludf.DUMMYFUNCTION("""COMPUTED_VALUE"""),"Will work for 3 years or more")</f>
        <v>Will work for 3 years or more</v>
      </c>
      <c r="H1645" s="1" t="str">
        <f ca="1">IFERROR(__xludf.DUMMYFUNCTION("""COMPUTED_VALUE"""),"No")</f>
        <v>No</v>
      </c>
      <c r="I1645" s="1" t="str">
        <f ca="1">IFERROR(__xludf.DUMMYFUNCTION("""COMPUTED_VALUE"""),"Will NOT work for them")</f>
        <v>Will NOT work for them</v>
      </c>
      <c r="J1645" s="1">
        <f ca="1">IFERROR(__xludf.DUMMYFUNCTION("""COMPUTED_VALUE"""),8)</f>
        <v>8</v>
      </c>
      <c r="K1645" s="1" t="str">
        <f ca="1">IFERROR(__xludf.DUMMYFUNCTION("""COMPUTED_VALUE"""),"Fully Remote with Options to travel as and when needed")</f>
        <v>Fully Remote with Options to travel as and when needed</v>
      </c>
      <c r="L1645" s="1" t="str">
        <f ca="1">IFERROR(__xludf.DUMMYFUNCTION("""COMPUTED_VALUE"""),"Employer who appreciates learning and enables that environment")</f>
        <v>Employer who appreciates learning and enables that environment</v>
      </c>
      <c r="M1645" s="1" t="str">
        <f ca="1">IFERROR(__xludf.DUMMYFUNCTION("""COMPUTED_VALUE"""),"Self Paced Learning Portals of the Company, Instructor or Expert Learning Programs, Manager Teaching you")</f>
        <v>Self Paced Learning Portals of the Company, Instructor or Expert Learning Programs, Manager Teaching you</v>
      </c>
      <c r="N1645"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645" s="1" t="str">
        <f ca="1">IFERROR(__xludf.DUMMYFUNCTION("""COMPUTED_VALUE"""),"Manager who clearly describes what she/he needs")</f>
        <v>Manager who clearly describes what she/he needs</v>
      </c>
      <c r="P1645" s="1" t="str">
        <f ca="1">IFERROR(__xludf.DUMMYFUNCTION("""COMPUTED_VALUE"""),"Work with more than 10 people in my team")</f>
        <v>Work with more than 10 people in my team</v>
      </c>
      <c r="Q1645" s="1"/>
    </row>
    <row r="1646" spans="1:17" ht="13.2" x14ac:dyDescent="0.25">
      <c r="A1646" s="2">
        <f ca="1">IFERROR(__xludf.DUMMYFUNCTION("""COMPUTED_VALUE"""),45046.5203216319)</f>
        <v>45046.520321631899</v>
      </c>
      <c r="B1646" s="1" t="str">
        <f ca="1">IFERROR(__xludf.DUMMYFUNCTION("""COMPUTED_VALUE"""),"India")</f>
        <v>India</v>
      </c>
      <c r="C1646" s="1">
        <f ca="1">IFERROR(__xludf.DUMMYFUNCTION("""COMPUTED_VALUE"""),700032)</f>
        <v>700032</v>
      </c>
      <c r="D1646" s="3" t="str">
        <f ca="1">IFERROR(__xludf.DUMMYFUNCTION("""COMPUTED_VALUE"""),"Female")</f>
        <v>Female</v>
      </c>
      <c r="E1646" s="1" t="str">
        <f ca="1">IFERROR(__xludf.DUMMYFUNCTION("""COMPUTED_VALUE"""),"Influencers who had successful careers")</f>
        <v>Influencers who had successful careers</v>
      </c>
      <c r="F1646" s="1" t="str">
        <f ca="1">IFERROR(__xludf.DUMMYFUNCTION("""COMPUTED_VALUE"""),"No, But if someone could bare the cost I will")</f>
        <v>No, But if someone could bare the cost I will</v>
      </c>
      <c r="G1646" s="1" t="str">
        <f ca="1">IFERROR(__xludf.DUMMYFUNCTION("""COMPUTED_VALUE"""),"Will work for 3 years or more")</f>
        <v>Will work for 3 years or more</v>
      </c>
      <c r="H1646" s="1" t="str">
        <f ca="1">IFERROR(__xludf.DUMMYFUNCTION("""COMPUTED_VALUE"""),"Yes")</f>
        <v>Yes</v>
      </c>
      <c r="I1646" s="1" t="str">
        <f ca="1">IFERROR(__xludf.DUMMYFUNCTION("""COMPUTED_VALUE"""),"Will work for them")</f>
        <v>Will work for them</v>
      </c>
      <c r="J1646" s="1">
        <f ca="1">IFERROR(__xludf.DUMMYFUNCTION("""COMPUTED_VALUE"""),7)</f>
        <v>7</v>
      </c>
      <c r="K1646" s="1" t="str">
        <f ca="1">IFERROR(__xludf.DUMMYFUNCTION("""COMPUTED_VALUE"""),"Hybrid Working Environment with less than 3 days a month at office")</f>
        <v>Hybrid Working Environment with less than 3 days a month at office</v>
      </c>
      <c r="L1646" s="1" t="str">
        <f ca="1">IFERROR(__xludf.DUMMYFUNCTION("""COMPUTED_VALUE"""),"Employer who pushes your limits by enabling an learning environment, and rewards you at the end")</f>
        <v>Employer who pushes your limits by enabling an learning environment, and rewards you at the end</v>
      </c>
      <c r="M164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46" s="1" t="str">
        <f ca="1">IFERROR(__xludf.DUMMYFUNCTION("""COMPUTED_VALUE"""),"Design and Creative strategy in any company, Look deeply into Data and generate insights, Work in a BPO setup for some well known client, Work as a freelancer and do my thing my way")</f>
        <v>Design and Creative strategy in any company, Look deeply into Data and generate insights, Work in a BPO setup for some well known client, Work as a freelancer and do my thing my way</v>
      </c>
      <c r="O1646" s="1" t="str">
        <f ca="1">IFERROR(__xludf.DUMMYFUNCTION("""COMPUTED_VALUE"""),"Manager who explains what is expected, sets a goal and helps achieve it")</f>
        <v>Manager who explains what is expected, sets a goal and helps achieve it</v>
      </c>
      <c r="P1646" s="1" t="str">
        <f ca="1">IFERROR(__xludf.DUMMYFUNCTION("""COMPUTED_VALUE"""),"Work with 2 to 3 people in my team")</f>
        <v>Work with 2 to 3 people in my team</v>
      </c>
      <c r="Q1646" s="1"/>
    </row>
    <row r="1647" spans="1:17" ht="13.2" x14ac:dyDescent="0.25">
      <c r="A1647" s="2">
        <f ca="1">IFERROR(__xludf.DUMMYFUNCTION("""COMPUTED_VALUE"""),45046.5217293171)</f>
        <v>45046.521729317101</v>
      </c>
      <c r="B1647" s="1" t="str">
        <f ca="1">IFERROR(__xludf.DUMMYFUNCTION("""COMPUTED_VALUE"""),"India")</f>
        <v>India</v>
      </c>
      <c r="C1647" s="1">
        <f ca="1">IFERROR(__xludf.DUMMYFUNCTION("""COMPUTED_VALUE"""),395006)</f>
        <v>395006</v>
      </c>
      <c r="D1647" s="3" t="str">
        <f ca="1">IFERROR(__xludf.DUMMYFUNCTION("""COMPUTED_VALUE"""),"Male")</f>
        <v>Male</v>
      </c>
      <c r="E1647" s="1" t="str">
        <f ca="1">IFERROR(__xludf.DUMMYFUNCTION("""COMPUTED_VALUE"""),"People who have changed the world for better")</f>
        <v>People who have changed the world for better</v>
      </c>
      <c r="F1647" s="1" t="str">
        <f ca="1">IFERROR(__xludf.DUMMYFUNCTION("""COMPUTED_VALUE"""),"Yes, I will earn and do that")</f>
        <v>Yes, I will earn and do that</v>
      </c>
      <c r="G1647" s="1" t="str">
        <f ca="1">IFERROR(__xludf.DUMMYFUNCTION("""COMPUTED_VALUE"""),"This will be hard to do, but if it is the right company I would try")</f>
        <v>This will be hard to do, but if it is the right company I would try</v>
      </c>
      <c r="H1647" s="1" t="str">
        <f ca="1">IFERROR(__xludf.DUMMYFUNCTION("""COMPUTED_VALUE"""),"No")</f>
        <v>No</v>
      </c>
      <c r="I1647" s="1" t="str">
        <f ca="1">IFERROR(__xludf.DUMMYFUNCTION("""COMPUTED_VALUE"""),"Will NOT work for them")</f>
        <v>Will NOT work for them</v>
      </c>
      <c r="J1647" s="1">
        <f ca="1">IFERROR(__xludf.DUMMYFUNCTION("""COMPUTED_VALUE"""),8)</f>
        <v>8</v>
      </c>
      <c r="K1647" s="1" t="str">
        <f ca="1">IFERROR(__xludf.DUMMYFUNCTION("""COMPUTED_VALUE"""),"Fully Remote with Options to travel as and when needed")</f>
        <v>Fully Remote with Options to travel as and when needed</v>
      </c>
      <c r="L1647" s="1" t="str">
        <f ca="1">IFERROR(__xludf.DUMMYFUNCTION("""COMPUTED_VALUE"""),"Employer who pushes your limits by enabling an learning environment, and rewards you at the end")</f>
        <v>Employer who pushes your limits by enabling an learning environment, and rewards you at the end</v>
      </c>
      <c r="M164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47"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47" s="1" t="str">
        <f ca="1">IFERROR(__xludf.DUMMYFUNCTION("""COMPUTED_VALUE"""),"Manager who sets goal and helps me achieve it")</f>
        <v>Manager who sets goal and helps me achieve it</v>
      </c>
      <c r="P164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47" s="1"/>
    </row>
    <row r="1648" spans="1:17" ht="13.2" x14ac:dyDescent="0.25">
      <c r="A1648" s="2">
        <f ca="1">IFERROR(__xludf.DUMMYFUNCTION("""COMPUTED_VALUE"""),45046.5247316319)</f>
        <v>45046.5247316319</v>
      </c>
      <c r="B1648" s="1" t="str">
        <f ca="1">IFERROR(__xludf.DUMMYFUNCTION("""COMPUTED_VALUE"""),"India")</f>
        <v>India</v>
      </c>
      <c r="C1648" s="1">
        <f ca="1">IFERROR(__xludf.DUMMYFUNCTION("""COMPUTED_VALUE"""),395004)</f>
        <v>395004</v>
      </c>
      <c r="D1648" s="3" t="str">
        <f ca="1">IFERROR(__xludf.DUMMYFUNCTION("""COMPUTED_VALUE"""),"Male")</f>
        <v>Male</v>
      </c>
      <c r="E1648" s="1" t="str">
        <f ca="1">IFERROR(__xludf.DUMMYFUNCTION("""COMPUTED_VALUE"""),"My Parents")</f>
        <v>My Parents</v>
      </c>
      <c r="F1648" s="1" t="str">
        <f ca="1">IFERROR(__xludf.DUMMYFUNCTION("""COMPUTED_VALUE"""),"No, But if someone could bare the cost I will")</f>
        <v>No, But if someone could bare the cost I will</v>
      </c>
      <c r="G1648" s="1" t="str">
        <f ca="1">IFERROR(__xludf.DUMMYFUNCTION("""COMPUTED_VALUE"""),"This will be hard to do, but if it is the right company I would try")</f>
        <v>This will be hard to do, but if it is the right company I would try</v>
      </c>
      <c r="H1648" s="1" t="str">
        <f ca="1">IFERROR(__xludf.DUMMYFUNCTION("""COMPUTED_VALUE"""),"No")</f>
        <v>No</v>
      </c>
      <c r="I1648" s="1" t="str">
        <f ca="1">IFERROR(__xludf.DUMMYFUNCTION("""COMPUTED_VALUE"""),"Will NOT work for them")</f>
        <v>Will NOT work for them</v>
      </c>
      <c r="J1648" s="1">
        <f ca="1">IFERROR(__xludf.DUMMYFUNCTION("""COMPUTED_VALUE"""),1)</f>
        <v>1</v>
      </c>
      <c r="K1648" s="1" t="str">
        <f ca="1">IFERROR(__xludf.DUMMYFUNCTION("""COMPUTED_VALUE"""),"Every Day Office Environment")</f>
        <v>Every Day Office Environment</v>
      </c>
      <c r="L1648" s="1" t="str">
        <f ca="1">IFERROR(__xludf.DUMMYFUNCTION("""COMPUTED_VALUE"""),"Employer who rewards learning and enables that environment")</f>
        <v>Employer who rewards learning and enables that environment</v>
      </c>
      <c r="M164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48"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648" s="1" t="str">
        <f ca="1">IFERROR(__xludf.DUMMYFUNCTION("""COMPUTED_VALUE"""),"Manager who explains what is expected, sets a goal and helps achieve it")</f>
        <v>Manager who explains what is expected, sets a goal and helps achieve it</v>
      </c>
      <c r="P1648" s="1" t="str">
        <f ca="1">IFERROR(__xludf.DUMMYFUNCTION("""COMPUTED_VALUE"""),"Work alone, Work with 2 to 3 people in my team, Work with 5 to 6 people in my team")</f>
        <v>Work alone, Work with 2 to 3 people in my team, Work with 5 to 6 people in my team</v>
      </c>
      <c r="Q1648" s="1"/>
    </row>
    <row r="1649" spans="1:17" ht="13.2" x14ac:dyDescent="0.25">
      <c r="A1649" s="2">
        <f ca="1">IFERROR(__xludf.DUMMYFUNCTION("""COMPUTED_VALUE"""),45046.528079456)</f>
        <v>45046.528079456002</v>
      </c>
      <c r="B1649" s="1" t="str">
        <f ca="1">IFERROR(__xludf.DUMMYFUNCTION("""COMPUTED_VALUE"""),"India")</f>
        <v>India</v>
      </c>
      <c r="C1649" s="1">
        <f ca="1">IFERROR(__xludf.DUMMYFUNCTION("""COMPUTED_VALUE"""),395006)</f>
        <v>395006</v>
      </c>
      <c r="D1649" s="3" t="str">
        <f ca="1">IFERROR(__xludf.DUMMYFUNCTION("""COMPUTED_VALUE"""),"Female")</f>
        <v>Female</v>
      </c>
      <c r="E1649" s="1" t="str">
        <f ca="1">IFERROR(__xludf.DUMMYFUNCTION("""COMPUTED_VALUE"""),"My Parents")</f>
        <v>My Parents</v>
      </c>
      <c r="F1649" s="1" t="str">
        <f ca="1">IFERROR(__xludf.DUMMYFUNCTION("""COMPUTED_VALUE"""),"No I would not be pursuing Higher Education outside of India")</f>
        <v>No I would not be pursuing Higher Education outside of India</v>
      </c>
      <c r="G1649" s="1" t="str">
        <f ca="1">IFERROR(__xludf.DUMMYFUNCTION("""COMPUTED_VALUE"""),"This will be hard to do, but if it is the right company I would try")</f>
        <v>This will be hard to do, but if it is the right company I would try</v>
      </c>
      <c r="H1649" s="1" t="str">
        <f ca="1">IFERROR(__xludf.DUMMYFUNCTION("""COMPUTED_VALUE"""),"No")</f>
        <v>No</v>
      </c>
      <c r="I1649" s="1" t="str">
        <f ca="1">IFERROR(__xludf.DUMMYFUNCTION("""COMPUTED_VALUE"""),"Will NOT work for them")</f>
        <v>Will NOT work for them</v>
      </c>
      <c r="J1649" s="1">
        <f ca="1">IFERROR(__xludf.DUMMYFUNCTION("""COMPUTED_VALUE"""),3)</f>
        <v>3</v>
      </c>
      <c r="K1649" s="1" t="str">
        <f ca="1">IFERROR(__xludf.DUMMYFUNCTION("""COMPUTED_VALUE"""),"Every Day Office Environment")</f>
        <v>Every Day Office Environment</v>
      </c>
      <c r="L1649" s="1" t="str">
        <f ca="1">IFERROR(__xludf.DUMMYFUNCTION("""COMPUTED_VALUE"""),"Employer who appreciates learning and enables that environment")</f>
        <v>Employer who appreciates learning and enables that environment</v>
      </c>
      <c r="M164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4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649" s="1" t="str">
        <f ca="1">IFERROR(__xludf.DUMMYFUNCTION("""COMPUTED_VALUE"""),"Manager who sets goal and helps me achieve it")</f>
        <v>Manager who sets goal and helps me achieve it</v>
      </c>
      <c r="P1649" s="1" t="str">
        <f ca="1">IFERROR(__xludf.DUMMYFUNCTION("""COMPUTED_VALUE"""),"Work with 7 to 10 or more people in my team")</f>
        <v>Work with 7 to 10 or more people in my team</v>
      </c>
      <c r="Q1649" s="1"/>
    </row>
    <row r="1650" spans="1:17" ht="13.2" x14ac:dyDescent="0.25">
      <c r="A1650" s="2">
        <f ca="1">IFERROR(__xludf.DUMMYFUNCTION("""COMPUTED_VALUE"""),45046.5285756134)</f>
        <v>45046.528575613404</v>
      </c>
      <c r="B1650" s="1" t="str">
        <f ca="1">IFERROR(__xludf.DUMMYFUNCTION("""COMPUTED_VALUE"""),"India")</f>
        <v>India</v>
      </c>
      <c r="C1650" s="1">
        <f ca="1">IFERROR(__xludf.DUMMYFUNCTION("""COMPUTED_VALUE"""),492001)</f>
        <v>492001</v>
      </c>
      <c r="D1650" s="3" t="str">
        <f ca="1">IFERROR(__xludf.DUMMYFUNCTION("""COMPUTED_VALUE"""),"Male")</f>
        <v>Male</v>
      </c>
      <c r="E1650" s="1" t="str">
        <f ca="1">IFERROR(__xludf.DUMMYFUNCTION("""COMPUTED_VALUE"""),"My Parents")</f>
        <v>My Parents</v>
      </c>
      <c r="F1650" s="1" t="str">
        <f ca="1">IFERROR(__xludf.DUMMYFUNCTION("""COMPUTED_VALUE"""),"No I would not be pursuing Higher Education outside of India")</f>
        <v>No I would not be pursuing Higher Education outside of India</v>
      </c>
      <c r="G1650" s="1" t="str">
        <f ca="1">IFERROR(__xludf.DUMMYFUNCTION("""COMPUTED_VALUE"""),"Will work for 3 years or more")</f>
        <v>Will work for 3 years or more</v>
      </c>
      <c r="H1650" s="1" t="str">
        <f ca="1">IFERROR(__xludf.DUMMYFUNCTION("""COMPUTED_VALUE"""),"No")</f>
        <v>No</v>
      </c>
      <c r="I1650" s="1" t="str">
        <f ca="1">IFERROR(__xludf.DUMMYFUNCTION("""COMPUTED_VALUE"""),"Will NOT work for them")</f>
        <v>Will NOT work for them</v>
      </c>
      <c r="J1650" s="1">
        <f ca="1">IFERROR(__xludf.DUMMYFUNCTION("""COMPUTED_VALUE"""),9)</f>
        <v>9</v>
      </c>
      <c r="K1650" s="1" t="str">
        <f ca="1">IFERROR(__xludf.DUMMYFUNCTION("""COMPUTED_VALUE"""),"Every Day Office Environment")</f>
        <v>Every Day Office Environment</v>
      </c>
      <c r="L1650" s="1" t="str">
        <f ca="1">IFERROR(__xludf.DUMMYFUNCTION("""COMPUTED_VALUE"""),"Employer who appreciates learning and enables that environment")</f>
        <v>Employer who appreciates learning and enables that environment</v>
      </c>
      <c r="M165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50" s="1" t="str">
        <f ca="1">IFERROR(__xludf.DUMMYFUNCTION("""COMPUTED_VALUE"""),"Manager who explains what is expected, sets a goal and helps achieve it")</f>
        <v>Manager who explains what is expected, sets a goal and helps achieve it</v>
      </c>
      <c r="P1650" s="1" t="str">
        <f ca="1">IFERROR(__xludf.DUMMYFUNCTION("""COMPUTED_VALUE"""),"Work with 5 to 6 people in my team")</f>
        <v>Work with 5 to 6 people in my team</v>
      </c>
      <c r="Q1650" s="1"/>
    </row>
    <row r="1651" spans="1:17" ht="13.2" x14ac:dyDescent="0.25">
      <c r="A1651" s="2">
        <f ca="1">IFERROR(__xludf.DUMMYFUNCTION("""COMPUTED_VALUE"""),45046.5441000347)</f>
        <v>45046.544100034698</v>
      </c>
      <c r="B1651" s="1" t="str">
        <f ca="1">IFERROR(__xludf.DUMMYFUNCTION("""COMPUTED_VALUE"""),"India")</f>
        <v>India</v>
      </c>
      <c r="C1651" s="1">
        <f ca="1">IFERROR(__xludf.DUMMYFUNCTION("""COMPUTED_VALUE"""),394327)</f>
        <v>394327</v>
      </c>
      <c r="D1651" s="3" t="str">
        <f ca="1">IFERROR(__xludf.DUMMYFUNCTION("""COMPUTED_VALUE"""),"Male")</f>
        <v>Male</v>
      </c>
      <c r="E1651" s="1" t="str">
        <f ca="1">IFERROR(__xludf.DUMMYFUNCTION("""COMPUTED_VALUE"""),"My Parents")</f>
        <v>My Parents</v>
      </c>
      <c r="F1651" s="1" t="str">
        <f ca="1">IFERROR(__xludf.DUMMYFUNCTION("""COMPUTED_VALUE"""),"No, But if someone could bare the cost I will")</f>
        <v>No, But if someone could bare the cost I will</v>
      </c>
      <c r="G1651" s="1" t="str">
        <f ca="1">IFERROR(__xludf.DUMMYFUNCTION("""COMPUTED_VALUE"""),"This will be hard to do, but if it is the right company I would try")</f>
        <v>This will be hard to do, but if it is the right company I would try</v>
      </c>
      <c r="H1651" s="1" t="str">
        <f ca="1">IFERROR(__xludf.DUMMYFUNCTION("""COMPUTED_VALUE"""),"No")</f>
        <v>No</v>
      </c>
      <c r="I1651" s="1" t="str">
        <f ca="1">IFERROR(__xludf.DUMMYFUNCTION("""COMPUTED_VALUE"""),"Will NOT work for them")</f>
        <v>Will NOT work for them</v>
      </c>
      <c r="J1651" s="1">
        <f ca="1">IFERROR(__xludf.DUMMYFUNCTION("""COMPUTED_VALUE"""),1)</f>
        <v>1</v>
      </c>
      <c r="K1651" s="1" t="str">
        <f ca="1">IFERROR(__xludf.DUMMYFUNCTION("""COMPUTED_VALUE"""),"Hybrid Working Environment with more than 15 days a month at office")</f>
        <v>Hybrid Working Environment with more than 15 days a month at office</v>
      </c>
      <c r="L1651" s="1" t="str">
        <f ca="1">IFERROR(__xludf.DUMMYFUNCTION("""COMPUTED_VALUE"""),"Employer who pushes your limits by enabling an learning environment, and rewards you at the end")</f>
        <v>Employer who pushes your limits by enabling an learning environment, and rewards you at the end</v>
      </c>
      <c r="M165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1" s="1" t="str">
        <f ca="1">IFERROR(__xludf.DUMMYFUNCTION("""COMPUTED_VALUE"""),"Teaching in any of the institutes/colleges/online or offline, Look deeply into Data and generate insights, Work as a freelancer and do my thing my way, An Artificial Intelligence Specialist / Talking to Robots")</f>
        <v>Teaching in any of the institutes/colleges/online or offline, Look deeply into Data and generate insights, Work as a freelancer and do my thing my way, An Artificial Intelligence Specialist / Talking to Robots</v>
      </c>
      <c r="O1651" s="1" t="str">
        <f ca="1">IFERROR(__xludf.DUMMYFUNCTION("""COMPUTED_VALUE"""),"Manager who clearly describes what she/he needs")</f>
        <v>Manager who clearly describes what she/he needs</v>
      </c>
      <c r="P1651" s="1" t="str">
        <f ca="1">IFERROR(__xludf.DUMMYFUNCTION("""COMPUTED_VALUE"""),"Work with 2 to 3 people in my team")</f>
        <v>Work with 2 to 3 people in my team</v>
      </c>
      <c r="Q1651" s="1"/>
    </row>
    <row r="1652" spans="1:17" ht="13.2" x14ac:dyDescent="0.25">
      <c r="A1652" s="2">
        <f ca="1">IFERROR(__xludf.DUMMYFUNCTION("""COMPUTED_VALUE"""),45046.5456448032)</f>
        <v>45046.545644803198</v>
      </c>
      <c r="B1652" s="1" t="str">
        <f ca="1">IFERROR(__xludf.DUMMYFUNCTION("""COMPUTED_VALUE"""),"India")</f>
        <v>India</v>
      </c>
      <c r="C1652" s="1">
        <f ca="1">IFERROR(__xludf.DUMMYFUNCTION("""COMPUTED_VALUE"""),231304)</f>
        <v>231304</v>
      </c>
      <c r="D1652" s="3" t="str">
        <f ca="1">IFERROR(__xludf.DUMMYFUNCTION("""COMPUTED_VALUE"""),"Male")</f>
        <v>Male</v>
      </c>
      <c r="E1652" s="1" t="str">
        <f ca="1">IFERROR(__xludf.DUMMYFUNCTION("""COMPUTED_VALUE"""),"Social Media like LinkedIn")</f>
        <v>Social Media like LinkedIn</v>
      </c>
      <c r="F1652" s="1" t="str">
        <f ca="1">IFERROR(__xludf.DUMMYFUNCTION("""COMPUTED_VALUE"""),"Yes, I will earn and do that")</f>
        <v>Yes, I will earn and do that</v>
      </c>
      <c r="G1652" s="1" t="str">
        <f ca="1">IFERROR(__xludf.DUMMYFUNCTION("""COMPUTED_VALUE"""),"Will work for 3 years or more")</f>
        <v>Will work for 3 years or more</v>
      </c>
      <c r="H1652" s="1" t="str">
        <f ca="1">IFERROR(__xludf.DUMMYFUNCTION("""COMPUTED_VALUE"""),"No")</f>
        <v>No</v>
      </c>
      <c r="I1652" s="1" t="str">
        <f ca="1">IFERROR(__xludf.DUMMYFUNCTION("""COMPUTED_VALUE"""),"Will NOT work for them")</f>
        <v>Will NOT work for them</v>
      </c>
      <c r="J1652" s="1">
        <f ca="1">IFERROR(__xludf.DUMMYFUNCTION("""COMPUTED_VALUE"""),1)</f>
        <v>1</v>
      </c>
      <c r="K1652" s="1" t="str">
        <f ca="1">IFERROR(__xludf.DUMMYFUNCTION("""COMPUTED_VALUE"""),"Every Day Office Environment")</f>
        <v>Every Day Office Environment</v>
      </c>
      <c r="L1652" s="1" t="str">
        <f ca="1">IFERROR(__xludf.DUMMYFUNCTION("""COMPUTED_VALUE"""),"Employer who appreciates learning and enables that environment")</f>
        <v>Employer who appreciates learning and enables that environment</v>
      </c>
      <c r="M1652" s="1" t="str">
        <f ca="1">IFERROR(__xludf.DUMMYFUNCTION("""COMPUTED_VALUE"""),"Self Paced Learning Portals of the Company, Instructor or Expert Learning Programs, Manager Teaching you")</f>
        <v>Self Paced Learning Portals of the Company, Instructor or Expert Learning Programs, Manager Teaching you</v>
      </c>
      <c r="N165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52" s="1" t="str">
        <f ca="1">IFERROR(__xludf.DUMMYFUNCTION("""COMPUTED_VALUE"""),"Manager who explains what is expected, sets a goal and helps achieve it")</f>
        <v>Manager who explains what is expected, sets a goal and helps achieve it</v>
      </c>
      <c r="P1652" s="1" t="str">
        <f ca="1">IFERROR(__xludf.DUMMYFUNCTION("""COMPUTED_VALUE"""),"Work with more than 10 people in my team")</f>
        <v>Work with more than 10 people in my team</v>
      </c>
      <c r="Q1652" s="1"/>
    </row>
    <row r="1653" spans="1:17" ht="13.2" x14ac:dyDescent="0.25">
      <c r="A1653" s="2">
        <f ca="1">IFERROR(__xludf.DUMMYFUNCTION("""COMPUTED_VALUE"""),45046.5458278703)</f>
        <v>45046.545827870301</v>
      </c>
      <c r="B1653" s="1" t="str">
        <f ca="1">IFERROR(__xludf.DUMMYFUNCTION("""COMPUTED_VALUE"""),"India")</f>
        <v>India</v>
      </c>
      <c r="C1653" s="1">
        <f ca="1">IFERROR(__xludf.DUMMYFUNCTION("""COMPUTED_VALUE"""),473001)</f>
        <v>473001</v>
      </c>
      <c r="D1653" s="3" t="str">
        <f ca="1">IFERROR(__xludf.DUMMYFUNCTION("""COMPUTED_VALUE"""),"Male")</f>
        <v>Male</v>
      </c>
      <c r="E1653" s="1" t="str">
        <f ca="1">IFERROR(__xludf.DUMMYFUNCTION("""COMPUTED_VALUE"""),"Social Media like LinkedIn")</f>
        <v>Social Media like LinkedIn</v>
      </c>
      <c r="F1653" s="1" t="str">
        <f ca="1">IFERROR(__xludf.DUMMYFUNCTION("""COMPUTED_VALUE"""),"Yes, I will earn and do that")</f>
        <v>Yes, I will earn and do that</v>
      </c>
      <c r="G1653" s="1" t="str">
        <f ca="1">IFERROR(__xludf.DUMMYFUNCTION("""COMPUTED_VALUE"""),"This will be hard to do, but if it is the right company I would try")</f>
        <v>This will be hard to do, but if it is the right company I would try</v>
      </c>
      <c r="H1653" s="1" t="str">
        <f ca="1">IFERROR(__xludf.DUMMYFUNCTION("""COMPUTED_VALUE"""),"Yes")</f>
        <v>Yes</v>
      </c>
      <c r="I1653" s="1" t="str">
        <f ca="1">IFERROR(__xludf.DUMMYFUNCTION("""COMPUTED_VALUE"""),"Will work for them")</f>
        <v>Will work for them</v>
      </c>
      <c r="J1653" s="1">
        <f ca="1">IFERROR(__xludf.DUMMYFUNCTION("""COMPUTED_VALUE"""),10)</f>
        <v>10</v>
      </c>
      <c r="K1653" s="1" t="str">
        <f ca="1">IFERROR(__xludf.DUMMYFUNCTION("""COMPUTED_VALUE"""),"Hybrid Working Environment with less than 3 days a month at office")</f>
        <v>Hybrid Working Environment with less than 3 days a month at office</v>
      </c>
      <c r="L1653" s="1" t="str">
        <f ca="1">IFERROR(__xludf.DUMMYFUNCTION("""COMPUTED_VALUE"""),"Employer who appreciates learning and enables that environment")</f>
        <v>Employer who appreciates learning and enables that environment</v>
      </c>
      <c r="M165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653"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653" s="1" t="str">
        <f ca="1">IFERROR(__xludf.DUMMYFUNCTION("""COMPUTED_VALUE"""),"Manager who clearly describes what she/he needs")</f>
        <v>Manager who clearly describes what she/he needs</v>
      </c>
      <c r="P1653"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653" s="1"/>
    </row>
    <row r="1654" spans="1:17" ht="13.2" x14ac:dyDescent="0.25">
      <c r="A1654" s="2">
        <f ca="1">IFERROR(__xludf.DUMMYFUNCTION("""COMPUTED_VALUE"""),45046.5556298842)</f>
        <v>45046.555629884198</v>
      </c>
      <c r="B1654" s="1" t="str">
        <f ca="1">IFERROR(__xludf.DUMMYFUNCTION("""COMPUTED_VALUE"""),"India")</f>
        <v>India</v>
      </c>
      <c r="C1654" s="1">
        <f ca="1">IFERROR(__xludf.DUMMYFUNCTION("""COMPUTED_VALUE"""),248001)</f>
        <v>248001</v>
      </c>
      <c r="D1654" s="3" t="str">
        <f ca="1">IFERROR(__xludf.DUMMYFUNCTION("""COMPUTED_VALUE"""),"Male")</f>
        <v>Male</v>
      </c>
      <c r="E1654" s="1" t="str">
        <f ca="1">IFERROR(__xludf.DUMMYFUNCTION("""COMPUTED_VALUE"""),"People from my circle, but not family members")</f>
        <v>People from my circle, but not family members</v>
      </c>
      <c r="F1654" s="1" t="str">
        <f ca="1">IFERROR(__xludf.DUMMYFUNCTION("""COMPUTED_VALUE"""),"No I would not be pursuing Higher Education outside of India")</f>
        <v>No I would not be pursuing Higher Education outside of India</v>
      </c>
      <c r="G1654" s="1" t="str">
        <f ca="1">IFERROR(__xludf.DUMMYFUNCTION("""COMPUTED_VALUE"""),"Will work for 3 years or more")</f>
        <v>Will work for 3 years or more</v>
      </c>
      <c r="H1654" s="1" t="str">
        <f ca="1">IFERROR(__xludf.DUMMYFUNCTION("""COMPUTED_VALUE"""),"Yes")</f>
        <v>Yes</v>
      </c>
      <c r="I1654" s="1" t="str">
        <f ca="1">IFERROR(__xludf.DUMMYFUNCTION("""COMPUTED_VALUE"""),"Will NOT work for them")</f>
        <v>Will NOT work for them</v>
      </c>
      <c r="J1654" s="1">
        <f ca="1">IFERROR(__xludf.DUMMYFUNCTION("""COMPUTED_VALUE"""),8)</f>
        <v>8</v>
      </c>
      <c r="K1654" s="1" t="str">
        <f ca="1">IFERROR(__xludf.DUMMYFUNCTION("""COMPUTED_VALUE"""),"Fully Remote with Options to travel as and when needed")</f>
        <v>Fully Remote with Options to travel as and when needed</v>
      </c>
      <c r="L1654" s="1" t="str">
        <f ca="1">IFERROR(__xludf.DUMMYFUNCTION("""COMPUTED_VALUE"""),"Employer who pushes your limits by enabling an learning environment, and rewards you at the end")</f>
        <v>Employer who pushes your limits by enabling an learning environment, and rewards you at the end</v>
      </c>
      <c r="M165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4"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654" s="1" t="str">
        <f ca="1">IFERROR(__xludf.DUMMYFUNCTION("""COMPUTED_VALUE"""),"Manager who explains what is expected, sets a goal and helps achieve it")</f>
        <v>Manager who explains what is expected, sets a goal and helps achieve it</v>
      </c>
      <c r="P1654" s="1" t="str">
        <f ca="1">IFERROR(__xludf.DUMMYFUNCTION("""COMPUTED_VALUE"""),"Work with 5 to 6 people in my team")</f>
        <v>Work with 5 to 6 people in my team</v>
      </c>
      <c r="Q1654" s="1"/>
    </row>
    <row r="1655" spans="1:17" ht="13.2" x14ac:dyDescent="0.25">
      <c r="A1655" s="2">
        <f ca="1">IFERROR(__xludf.DUMMYFUNCTION("""COMPUTED_VALUE"""),45046.5584866087)</f>
        <v>45046.558486608701</v>
      </c>
      <c r="B1655" s="1" t="str">
        <f ca="1">IFERROR(__xludf.DUMMYFUNCTION("""COMPUTED_VALUE"""),"India")</f>
        <v>India</v>
      </c>
      <c r="C1655" s="1">
        <f ca="1">IFERROR(__xludf.DUMMYFUNCTION("""COMPUTED_VALUE"""),600504)</f>
        <v>600504</v>
      </c>
      <c r="D1655" s="3" t="str">
        <f ca="1">IFERROR(__xludf.DUMMYFUNCTION("""COMPUTED_VALUE"""),"Female")</f>
        <v>Female</v>
      </c>
      <c r="E1655" s="1" t="str">
        <f ca="1">IFERROR(__xludf.DUMMYFUNCTION("""COMPUTED_VALUE"""),"My Parents")</f>
        <v>My Parents</v>
      </c>
      <c r="F1655" s="1" t="str">
        <f ca="1">IFERROR(__xludf.DUMMYFUNCTION("""COMPUTED_VALUE"""),"No I would not be pursuing Higher Education outside of India")</f>
        <v>No I would not be pursuing Higher Education outside of India</v>
      </c>
      <c r="G1655" s="1" t="str">
        <f ca="1">IFERROR(__xludf.DUMMYFUNCTION("""COMPUTED_VALUE"""),"Will work for 3 years or more")</f>
        <v>Will work for 3 years or more</v>
      </c>
      <c r="H1655" s="1" t="str">
        <f ca="1">IFERROR(__xludf.DUMMYFUNCTION("""COMPUTED_VALUE"""),"No")</f>
        <v>No</v>
      </c>
      <c r="I1655" s="1" t="str">
        <f ca="1">IFERROR(__xludf.DUMMYFUNCTION("""COMPUTED_VALUE"""),"Will NOT work for them")</f>
        <v>Will NOT work for them</v>
      </c>
      <c r="J1655" s="1">
        <f ca="1">IFERROR(__xludf.DUMMYFUNCTION("""COMPUTED_VALUE"""),3)</f>
        <v>3</v>
      </c>
      <c r="K1655" s="1" t="str">
        <f ca="1">IFERROR(__xludf.DUMMYFUNCTION("""COMPUTED_VALUE"""),"Every Day Office Environment")</f>
        <v>Every Day Office Environment</v>
      </c>
      <c r="L1655" s="1" t="str">
        <f ca="1">IFERROR(__xludf.DUMMYFUNCTION("""COMPUTED_VALUE"""),"Employer who appreciates learning and enables that environment")</f>
        <v>Employer who appreciates learning and enables that environment</v>
      </c>
      <c r="M16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5"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1655" s="1" t="str">
        <f ca="1">IFERROR(__xludf.DUMMYFUNCTION("""COMPUTED_VALUE"""),"Manager who sets goal and helps me achieve it")</f>
        <v>Manager who sets goal and helps me achieve it</v>
      </c>
      <c r="P1655" s="1" t="str">
        <f ca="1">IFERROR(__xludf.DUMMYFUNCTION("""COMPUTED_VALUE"""),"Work with 2 to 3 people in my team")</f>
        <v>Work with 2 to 3 people in my team</v>
      </c>
      <c r="Q1655" s="1"/>
    </row>
    <row r="1656" spans="1:17" ht="13.2" x14ac:dyDescent="0.25">
      <c r="A1656" s="2">
        <f ca="1">IFERROR(__xludf.DUMMYFUNCTION("""COMPUTED_VALUE"""),45046.5695848495)</f>
        <v>45046.569584849502</v>
      </c>
      <c r="B1656" s="1" t="str">
        <f ca="1">IFERROR(__xludf.DUMMYFUNCTION("""COMPUTED_VALUE"""),"India")</f>
        <v>India</v>
      </c>
      <c r="C1656" s="1">
        <f ca="1">IFERROR(__xludf.DUMMYFUNCTION("""COMPUTED_VALUE"""),94587)</f>
        <v>94587</v>
      </c>
      <c r="D1656" s="3" t="str">
        <f ca="1">IFERROR(__xludf.DUMMYFUNCTION("""COMPUTED_VALUE"""),"Male")</f>
        <v>Male</v>
      </c>
      <c r="E1656" s="1" t="str">
        <f ca="1">IFERROR(__xludf.DUMMYFUNCTION("""COMPUTED_VALUE"""),"My Parents")</f>
        <v>My Parents</v>
      </c>
      <c r="F1656" s="1" t="str">
        <f ca="1">IFERROR(__xludf.DUMMYFUNCTION("""COMPUTED_VALUE"""),"No I would not be pursuing Higher Education outside of India")</f>
        <v>No I would not be pursuing Higher Education outside of India</v>
      </c>
      <c r="G1656" s="1" t="str">
        <f ca="1">IFERROR(__xludf.DUMMYFUNCTION("""COMPUTED_VALUE"""),"No way")</f>
        <v>No way</v>
      </c>
      <c r="H1656" s="1" t="str">
        <f ca="1">IFERROR(__xludf.DUMMYFUNCTION("""COMPUTED_VALUE"""),"No")</f>
        <v>No</v>
      </c>
      <c r="I1656" s="1" t="str">
        <f ca="1">IFERROR(__xludf.DUMMYFUNCTION("""COMPUTED_VALUE"""),"Will NOT work for them")</f>
        <v>Will NOT work for them</v>
      </c>
      <c r="J1656" s="1">
        <f ca="1">IFERROR(__xludf.DUMMYFUNCTION("""COMPUTED_VALUE"""),7)</f>
        <v>7</v>
      </c>
      <c r="K1656" s="1" t="str">
        <f ca="1">IFERROR(__xludf.DUMMYFUNCTION("""COMPUTED_VALUE"""),"Every Day Office Environment")</f>
        <v>Every Day Office Environment</v>
      </c>
      <c r="L1656" s="1" t="str">
        <f ca="1">IFERROR(__xludf.DUMMYFUNCTION("""COMPUTED_VALUE"""),"Employer who pushes your limits by enabling an learning environment, and rewards you at the end")</f>
        <v>Employer who pushes your limits by enabling an learning environment, and rewards you at the end</v>
      </c>
      <c r="M165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656" s="1" t="str">
        <f ca="1">IFERROR(__xludf.DUMMYFUNCTION("""COMPUTED_VALUE"""),"Manager who clearly describes what she/he needs")</f>
        <v>Manager who clearly describes what she/he needs</v>
      </c>
      <c r="P1656" s="1" t="str">
        <f ca="1">IFERROR(__xludf.DUMMYFUNCTION("""COMPUTED_VALUE"""),"Work with more than 10 people in my team")</f>
        <v>Work with more than 10 people in my team</v>
      </c>
      <c r="Q1656" s="1"/>
    </row>
    <row r="1657" spans="1:17" ht="13.2" x14ac:dyDescent="0.25">
      <c r="A1657" s="2">
        <f ca="1">IFERROR(__xludf.DUMMYFUNCTION("""COMPUTED_VALUE"""),45046.5730561111)</f>
        <v>45046.573056111098</v>
      </c>
      <c r="B1657" s="1" t="str">
        <f ca="1">IFERROR(__xludf.DUMMYFUNCTION("""COMPUTED_VALUE"""),"India")</f>
        <v>India</v>
      </c>
      <c r="C1657" s="1">
        <f ca="1">IFERROR(__xludf.DUMMYFUNCTION("""COMPUTED_VALUE"""),395006)</f>
        <v>395006</v>
      </c>
      <c r="D1657" s="3" t="str">
        <f ca="1">IFERROR(__xludf.DUMMYFUNCTION("""COMPUTED_VALUE"""),"Male")</f>
        <v>Male</v>
      </c>
      <c r="E1657" s="1" t="str">
        <f ca="1">IFERROR(__xludf.DUMMYFUNCTION("""COMPUTED_VALUE"""),"People who have changed the world for better")</f>
        <v>People who have changed the world for better</v>
      </c>
      <c r="F1657" s="1" t="str">
        <f ca="1">IFERROR(__xludf.DUMMYFUNCTION("""COMPUTED_VALUE"""),"Yes, I will earn and do that")</f>
        <v>Yes, I will earn and do that</v>
      </c>
      <c r="G1657" s="1" t="str">
        <f ca="1">IFERROR(__xludf.DUMMYFUNCTION("""COMPUTED_VALUE"""),"This will be hard to do, but if it is the right company I would try")</f>
        <v>This will be hard to do, but if it is the right company I would try</v>
      </c>
      <c r="H1657" s="1" t="str">
        <f ca="1">IFERROR(__xludf.DUMMYFUNCTION("""COMPUTED_VALUE"""),"Yes")</f>
        <v>Yes</v>
      </c>
      <c r="I1657" s="1" t="str">
        <f ca="1">IFERROR(__xludf.DUMMYFUNCTION("""COMPUTED_VALUE"""),"Will work for them")</f>
        <v>Will work for them</v>
      </c>
      <c r="J1657" s="1">
        <f ca="1">IFERROR(__xludf.DUMMYFUNCTION("""COMPUTED_VALUE"""),2)</f>
        <v>2</v>
      </c>
      <c r="K1657" s="1" t="str">
        <f ca="1">IFERROR(__xludf.DUMMYFUNCTION("""COMPUTED_VALUE"""),"Hybrid Working Environment with more than 15 days a month at office")</f>
        <v>Hybrid Working Environment with more than 15 days a month at office</v>
      </c>
      <c r="L1657" s="1" t="str">
        <f ca="1">IFERROR(__xludf.DUMMYFUNCTION("""COMPUTED_VALUE"""),"Employer who pushes your limits and doesn't enables learning environment and never rewards you")</f>
        <v>Employer who pushes your limits and doesn't enables learning environment and never rewards you</v>
      </c>
      <c r="M165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57"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657" s="1" t="str">
        <f ca="1">IFERROR(__xludf.DUMMYFUNCTION("""COMPUTED_VALUE"""),"Manager who sets unrealistic targets")</f>
        <v>Manager who sets unrealistic targets</v>
      </c>
      <c r="P1657" s="1" t="str">
        <f ca="1">IFERROR(__xludf.DUMMYFUNCTION("""COMPUTED_VALUE"""),"Work with more than 10 people in my team")</f>
        <v>Work with more than 10 people in my team</v>
      </c>
      <c r="Q1657" s="1"/>
    </row>
    <row r="1658" spans="1:17" ht="13.2" x14ac:dyDescent="0.25">
      <c r="A1658" s="2">
        <f ca="1">IFERROR(__xludf.DUMMYFUNCTION("""COMPUTED_VALUE"""),45046.5771298842)</f>
        <v>45046.577129884201</v>
      </c>
      <c r="B1658" s="1" t="str">
        <f ca="1">IFERROR(__xludf.DUMMYFUNCTION("""COMPUTED_VALUE"""),"India")</f>
        <v>India</v>
      </c>
      <c r="C1658" s="1">
        <f ca="1">IFERROR(__xludf.DUMMYFUNCTION("""COMPUTED_VALUE"""),686503)</f>
        <v>686503</v>
      </c>
      <c r="D1658" s="3" t="str">
        <f ca="1">IFERROR(__xludf.DUMMYFUNCTION("""COMPUTED_VALUE"""),"Male")</f>
        <v>Male</v>
      </c>
      <c r="E1658" s="1" t="str">
        <f ca="1">IFERROR(__xludf.DUMMYFUNCTION("""COMPUTED_VALUE"""),"People from my circle, but not family members")</f>
        <v>People from my circle, but not family members</v>
      </c>
      <c r="F1658" s="1" t="str">
        <f ca="1">IFERROR(__xludf.DUMMYFUNCTION("""COMPUTED_VALUE"""),"No I would not be pursuing Higher Education outside of India")</f>
        <v>No I would not be pursuing Higher Education outside of India</v>
      </c>
      <c r="G1658" s="1" t="str">
        <f ca="1">IFERROR(__xludf.DUMMYFUNCTION("""COMPUTED_VALUE"""),"This will be hard to do, but if it is the right company I would try")</f>
        <v>This will be hard to do, but if it is the right company I would try</v>
      </c>
      <c r="H1658" s="1" t="str">
        <f ca="1">IFERROR(__xludf.DUMMYFUNCTION("""COMPUTED_VALUE"""),"No")</f>
        <v>No</v>
      </c>
      <c r="I1658" s="1" t="str">
        <f ca="1">IFERROR(__xludf.DUMMYFUNCTION("""COMPUTED_VALUE"""),"Will NOT work for them")</f>
        <v>Will NOT work for them</v>
      </c>
      <c r="J1658" s="1">
        <f ca="1">IFERROR(__xludf.DUMMYFUNCTION("""COMPUTED_VALUE"""),3)</f>
        <v>3</v>
      </c>
      <c r="K1658" s="1" t="str">
        <f ca="1">IFERROR(__xludf.DUMMYFUNCTION("""COMPUTED_VALUE"""),"Fully Remote with Options to travel as and when needed")</f>
        <v>Fully Remote with Options to travel as and when needed</v>
      </c>
      <c r="L1658" s="1" t="str">
        <f ca="1">IFERROR(__xludf.DUMMYFUNCTION("""COMPUTED_VALUE"""),"Employer who pushes your limits by enabling an learning environment, and rewards you at the end")</f>
        <v>Employer who pushes your limits by enabling an learning environment, and rewards you at the end</v>
      </c>
      <c r="M165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58" s="1" t="str">
        <f ca="1">IFERROR(__xludf.DUMMYFUNCTION("""COMPUTED_VALUE"""),"Manager who sets targets and expects me to achieve it")</f>
        <v>Manager who sets targets and expects me to achieve it</v>
      </c>
      <c r="P1658" s="1" t="str">
        <f ca="1">IFERROR(__xludf.DUMMYFUNCTION("""COMPUTED_VALUE"""),"Work with more than 10 people in my team")</f>
        <v>Work with more than 10 people in my team</v>
      </c>
      <c r="Q1658" s="1"/>
    </row>
    <row r="1659" spans="1:17" ht="13.2" x14ac:dyDescent="0.25">
      <c r="A1659" s="2">
        <f ca="1">IFERROR(__xludf.DUMMYFUNCTION("""COMPUTED_VALUE"""),45046.5894431828)</f>
        <v>45046.589443182798</v>
      </c>
      <c r="B1659" s="1" t="str">
        <f ca="1">IFERROR(__xludf.DUMMYFUNCTION("""COMPUTED_VALUE"""),"India")</f>
        <v>India</v>
      </c>
      <c r="C1659" s="1">
        <f ca="1">IFERROR(__xludf.DUMMYFUNCTION("""COMPUTED_VALUE"""),110025)</f>
        <v>110025</v>
      </c>
      <c r="D1659" s="3" t="str">
        <f ca="1">IFERROR(__xludf.DUMMYFUNCTION("""COMPUTED_VALUE"""),"Male")</f>
        <v>Male</v>
      </c>
      <c r="E1659" s="1" t="str">
        <f ca="1">IFERROR(__xludf.DUMMYFUNCTION("""COMPUTED_VALUE"""),"People who have changed the world for better")</f>
        <v>People who have changed the world for better</v>
      </c>
      <c r="F1659" s="1" t="str">
        <f ca="1">IFERROR(__xludf.DUMMYFUNCTION("""COMPUTED_VALUE"""),"Yes, I will earn and do that")</f>
        <v>Yes, I will earn and do that</v>
      </c>
      <c r="G1659" s="1" t="str">
        <f ca="1">IFERROR(__xludf.DUMMYFUNCTION("""COMPUTED_VALUE"""),"Will work for 3 years or more")</f>
        <v>Will work for 3 years or more</v>
      </c>
      <c r="H1659" s="1" t="str">
        <f ca="1">IFERROR(__xludf.DUMMYFUNCTION("""COMPUTED_VALUE"""),"No")</f>
        <v>No</v>
      </c>
      <c r="I1659" s="1" t="str">
        <f ca="1">IFERROR(__xludf.DUMMYFUNCTION("""COMPUTED_VALUE"""),"Will NOT work for them")</f>
        <v>Will NOT work for them</v>
      </c>
      <c r="J1659" s="1">
        <f ca="1">IFERROR(__xludf.DUMMYFUNCTION("""COMPUTED_VALUE"""),5)</f>
        <v>5</v>
      </c>
      <c r="K1659" s="1" t="str">
        <f ca="1">IFERROR(__xludf.DUMMYFUNCTION("""COMPUTED_VALUE"""),"Hybrid Working Environment with less than 3 days a month at office")</f>
        <v>Hybrid Working Environment with less than 3 days a month at office</v>
      </c>
      <c r="L1659" s="1" t="str">
        <f ca="1">IFERROR(__xludf.DUMMYFUNCTION("""COMPUTED_VALUE"""),"Employer who pushes your limits by enabling an learning environment, and rewards you at the end")</f>
        <v>Employer who pushes your limits by enabling an learning environment, and rewards you at the end</v>
      </c>
      <c r="M165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9"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659" s="1" t="str">
        <f ca="1">IFERROR(__xludf.DUMMYFUNCTION("""COMPUTED_VALUE"""),"Manager who sets goal and helps me achieve it")</f>
        <v>Manager who sets goal and helps me achieve it</v>
      </c>
      <c r="P1659" s="1" t="str">
        <f ca="1">IFERROR(__xludf.DUMMYFUNCTION("""COMPUTED_VALUE"""),"Work with 5 to 6 people in my team")</f>
        <v>Work with 5 to 6 people in my team</v>
      </c>
      <c r="Q1659" s="1"/>
    </row>
    <row r="1660" spans="1:17" ht="13.2" x14ac:dyDescent="0.25">
      <c r="A1660" s="2">
        <f ca="1">IFERROR(__xludf.DUMMYFUNCTION("""COMPUTED_VALUE"""),45046.5975797222)</f>
        <v>45046.597579722198</v>
      </c>
      <c r="B1660" s="1" t="str">
        <f ca="1">IFERROR(__xludf.DUMMYFUNCTION("""COMPUTED_VALUE"""),"India")</f>
        <v>India</v>
      </c>
      <c r="C1660" s="1">
        <f ca="1">IFERROR(__xludf.DUMMYFUNCTION("""COMPUTED_VALUE"""),841230)</f>
        <v>841230</v>
      </c>
      <c r="D1660" s="3" t="str">
        <f ca="1">IFERROR(__xludf.DUMMYFUNCTION("""COMPUTED_VALUE"""),"Male")</f>
        <v>Male</v>
      </c>
      <c r="E1660" s="1" t="str">
        <f ca="1">IFERROR(__xludf.DUMMYFUNCTION("""COMPUTED_VALUE"""),"My Parents")</f>
        <v>My Parents</v>
      </c>
      <c r="F1660" s="1" t="str">
        <f ca="1">IFERROR(__xludf.DUMMYFUNCTION("""COMPUTED_VALUE"""),"No I would not be pursuing Higher Education outside of India")</f>
        <v>No I would not be pursuing Higher Education outside of India</v>
      </c>
      <c r="G1660" s="1" t="str">
        <f ca="1">IFERROR(__xludf.DUMMYFUNCTION("""COMPUTED_VALUE"""),"This will be hard to do, but if it is the right company I would try")</f>
        <v>This will be hard to do, but if it is the right company I would try</v>
      </c>
      <c r="H1660" s="1" t="str">
        <f ca="1">IFERROR(__xludf.DUMMYFUNCTION("""COMPUTED_VALUE"""),"Yes")</f>
        <v>Yes</v>
      </c>
      <c r="I1660" s="1" t="str">
        <f ca="1">IFERROR(__xludf.DUMMYFUNCTION("""COMPUTED_VALUE"""),"Will work for them")</f>
        <v>Will work for them</v>
      </c>
      <c r="J1660" s="1">
        <f ca="1">IFERROR(__xludf.DUMMYFUNCTION("""COMPUTED_VALUE"""),9)</f>
        <v>9</v>
      </c>
      <c r="K1660" s="1" t="str">
        <f ca="1">IFERROR(__xludf.DUMMYFUNCTION("""COMPUTED_VALUE"""),"Fully Remote with Options to travel as and when needed")</f>
        <v>Fully Remote with Options to travel as and when needed</v>
      </c>
      <c r="L1660" s="1" t="str">
        <f ca="1">IFERROR(__xludf.DUMMYFUNCTION("""COMPUTED_VALUE"""),"Employer who rewards learning and enables that environment")</f>
        <v>Employer who rewards learning and enables that environment</v>
      </c>
      <c r="M1660"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66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60" s="1" t="str">
        <f ca="1">IFERROR(__xludf.DUMMYFUNCTION("""COMPUTED_VALUE"""),"Manager who explains what is expected, sets a goal and helps achieve it")</f>
        <v>Manager who explains what is expected, sets a goal and helps achieve it</v>
      </c>
      <c r="P1660" s="1" t="str">
        <f ca="1">IFERROR(__xludf.DUMMYFUNCTION("""COMPUTED_VALUE"""),"Work with more than 10 people in my team")</f>
        <v>Work with more than 10 people in my team</v>
      </c>
      <c r="Q1660" s="1"/>
    </row>
    <row r="1661" spans="1:17" ht="13.2" x14ac:dyDescent="0.25">
      <c r="A1661" s="2">
        <f ca="1">IFERROR(__xludf.DUMMYFUNCTION("""COMPUTED_VALUE"""),45046.6137366666)</f>
        <v>45046.613736666601</v>
      </c>
      <c r="B1661" s="1" t="str">
        <f ca="1">IFERROR(__xludf.DUMMYFUNCTION("""COMPUTED_VALUE"""),"India")</f>
        <v>India</v>
      </c>
      <c r="C1661" s="1">
        <f ca="1">IFERROR(__xludf.DUMMYFUNCTION("""COMPUTED_VALUE"""),440035)</f>
        <v>440035</v>
      </c>
      <c r="D1661" s="3" t="str">
        <f ca="1">IFERROR(__xludf.DUMMYFUNCTION("""COMPUTED_VALUE"""),"Male")</f>
        <v>Male</v>
      </c>
      <c r="E1661" s="1" t="str">
        <f ca="1">IFERROR(__xludf.DUMMYFUNCTION("""COMPUTED_VALUE"""),"People from my circle, but not family members")</f>
        <v>People from my circle, but not family members</v>
      </c>
      <c r="F1661" s="1" t="str">
        <f ca="1">IFERROR(__xludf.DUMMYFUNCTION("""COMPUTED_VALUE"""),"Yes, I will earn and do that")</f>
        <v>Yes, I will earn and do that</v>
      </c>
      <c r="G1661" s="1" t="str">
        <f ca="1">IFERROR(__xludf.DUMMYFUNCTION("""COMPUTED_VALUE"""),"This will be hard to do, but if it is the right company I would try")</f>
        <v>This will be hard to do, but if it is the right company I would try</v>
      </c>
      <c r="H1661" s="1" t="str">
        <f ca="1">IFERROR(__xludf.DUMMYFUNCTION("""COMPUTED_VALUE"""),"No")</f>
        <v>No</v>
      </c>
      <c r="I1661" s="1" t="str">
        <f ca="1">IFERROR(__xludf.DUMMYFUNCTION("""COMPUTED_VALUE"""),"Will NOT work for them")</f>
        <v>Will NOT work for them</v>
      </c>
      <c r="J1661" s="1">
        <f ca="1">IFERROR(__xludf.DUMMYFUNCTION("""COMPUTED_VALUE"""),6)</f>
        <v>6</v>
      </c>
      <c r="K1661" s="1" t="str">
        <f ca="1">IFERROR(__xludf.DUMMYFUNCTION("""COMPUTED_VALUE"""),"Fully Remote with Options to travel as and when needed")</f>
        <v>Fully Remote with Options to travel as and when needed</v>
      </c>
      <c r="L1661" s="1" t="str">
        <f ca="1">IFERROR(__xludf.DUMMYFUNCTION("""COMPUTED_VALUE"""),"Employer who appreciates learning and enables that environment")</f>
        <v>Employer who appreciates learning and enables that environment</v>
      </c>
      <c r="M166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61"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661" s="1" t="str">
        <f ca="1">IFERROR(__xludf.DUMMYFUNCTION("""COMPUTED_VALUE"""),"Manager who explains what is expected, sets a goal and helps achieve it")</f>
        <v>Manager who explains what is expected, sets a goal and helps achieve it</v>
      </c>
      <c r="P1661" s="1" t="str">
        <f ca="1">IFERROR(__xludf.DUMMYFUNCTION("""COMPUTED_VALUE"""),"Work alone, Work with 2 to 3 people in my team, Work with 5 to 6 people in my team")</f>
        <v>Work alone, Work with 2 to 3 people in my team, Work with 5 to 6 people in my team</v>
      </c>
      <c r="Q1661" s="1"/>
    </row>
    <row r="1662" spans="1:17" ht="13.2" x14ac:dyDescent="0.25">
      <c r="A1662" s="2">
        <f ca="1">IFERROR(__xludf.DUMMYFUNCTION("""COMPUTED_VALUE"""),45046.623180081)</f>
        <v>45046.623180080998</v>
      </c>
      <c r="B1662" s="1" t="str">
        <f ca="1">IFERROR(__xludf.DUMMYFUNCTION("""COMPUTED_VALUE"""),"India")</f>
        <v>India</v>
      </c>
      <c r="C1662" s="1">
        <f ca="1">IFERROR(__xludf.DUMMYFUNCTION("""COMPUTED_VALUE"""),395006)</f>
        <v>395006</v>
      </c>
      <c r="D1662" s="3" t="str">
        <f ca="1">IFERROR(__xludf.DUMMYFUNCTION("""COMPUTED_VALUE"""),"Female")</f>
        <v>Female</v>
      </c>
      <c r="E1662" s="1" t="str">
        <f ca="1">IFERROR(__xludf.DUMMYFUNCTION("""COMPUTED_VALUE"""),"People from my circle, but not family members")</f>
        <v>People from my circle, but not family members</v>
      </c>
      <c r="F1662" s="1" t="str">
        <f ca="1">IFERROR(__xludf.DUMMYFUNCTION("""COMPUTED_VALUE"""),"No I would not be pursuing Higher Education outside of India")</f>
        <v>No I would not be pursuing Higher Education outside of India</v>
      </c>
      <c r="G1662" s="1" t="str">
        <f ca="1">IFERROR(__xludf.DUMMYFUNCTION("""COMPUTED_VALUE"""),"This will be hard to do, but if it is the right company I would try")</f>
        <v>This will be hard to do, but if it is the right company I would try</v>
      </c>
      <c r="H1662" s="1" t="str">
        <f ca="1">IFERROR(__xludf.DUMMYFUNCTION("""COMPUTED_VALUE"""),"No")</f>
        <v>No</v>
      </c>
      <c r="I1662" s="1" t="str">
        <f ca="1">IFERROR(__xludf.DUMMYFUNCTION("""COMPUTED_VALUE"""),"Will NOT work for them")</f>
        <v>Will NOT work for them</v>
      </c>
      <c r="J1662" s="1">
        <f ca="1">IFERROR(__xludf.DUMMYFUNCTION("""COMPUTED_VALUE"""),1)</f>
        <v>1</v>
      </c>
      <c r="K1662" s="1" t="str">
        <f ca="1">IFERROR(__xludf.DUMMYFUNCTION("""COMPUTED_VALUE"""),"Fully Remote with Options to travel as and when needed")</f>
        <v>Fully Remote with Options to travel as and when needed</v>
      </c>
      <c r="L1662" s="1" t="str">
        <f ca="1">IFERROR(__xludf.DUMMYFUNCTION("""COMPUTED_VALUE"""),"Employer who rewards learning and enables that environment")</f>
        <v>Employer who rewards learning and enables that environment</v>
      </c>
      <c r="M16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62" s="1" t="str">
        <f ca="1">IFERROR(__xludf.DUMMYFUNCTION("""COMPUTED_VALUE"""),"Manager who explains what is expected, sets a goal and helps achieve it")</f>
        <v>Manager who explains what is expected, sets a goal and helps achieve it</v>
      </c>
      <c r="P1662" s="1" t="str">
        <f ca="1">IFERROR(__xludf.DUMMYFUNCTION("""COMPUTED_VALUE"""),"Work with 2 to 3 people in my team")</f>
        <v>Work with 2 to 3 people in my team</v>
      </c>
      <c r="Q1662" s="1"/>
    </row>
    <row r="1663" spans="1:17" ht="13.2" x14ac:dyDescent="0.25">
      <c r="A1663" s="2">
        <f ca="1">IFERROR(__xludf.DUMMYFUNCTION("""COMPUTED_VALUE"""),45046.6327862037)</f>
        <v>45046.6327862037</v>
      </c>
      <c r="B1663" s="1" t="str">
        <f ca="1">IFERROR(__xludf.DUMMYFUNCTION("""COMPUTED_VALUE"""),"India")</f>
        <v>India</v>
      </c>
      <c r="C1663" s="1">
        <f ca="1">IFERROR(__xludf.DUMMYFUNCTION("""COMPUTED_VALUE"""),395006)</f>
        <v>395006</v>
      </c>
      <c r="D1663" s="3" t="str">
        <f ca="1">IFERROR(__xludf.DUMMYFUNCTION("""COMPUTED_VALUE"""),"Male")</f>
        <v>Male</v>
      </c>
      <c r="E1663" s="1" t="str">
        <f ca="1">IFERROR(__xludf.DUMMYFUNCTION("""COMPUTED_VALUE"""),"People from my circle, but not family members")</f>
        <v>People from my circle, but not family members</v>
      </c>
      <c r="F1663" s="1" t="str">
        <f ca="1">IFERROR(__xludf.DUMMYFUNCTION("""COMPUTED_VALUE"""),"No I would not be pursuing Higher Education outside of India")</f>
        <v>No I would not be pursuing Higher Education outside of India</v>
      </c>
      <c r="G1663" s="1" t="str">
        <f ca="1">IFERROR(__xludf.DUMMYFUNCTION("""COMPUTED_VALUE"""),"This will be hard to do, but if it is the right company I would try")</f>
        <v>This will be hard to do, but if it is the right company I would try</v>
      </c>
      <c r="H1663" s="1" t="str">
        <f ca="1">IFERROR(__xludf.DUMMYFUNCTION("""COMPUTED_VALUE"""),"No")</f>
        <v>No</v>
      </c>
      <c r="I1663" s="1" t="str">
        <f ca="1">IFERROR(__xludf.DUMMYFUNCTION("""COMPUTED_VALUE"""),"Will NOT work for them")</f>
        <v>Will NOT work for them</v>
      </c>
      <c r="J1663" s="1">
        <f ca="1">IFERROR(__xludf.DUMMYFUNCTION("""COMPUTED_VALUE"""),5)</f>
        <v>5</v>
      </c>
      <c r="K1663" s="1" t="str">
        <f ca="1">IFERROR(__xludf.DUMMYFUNCTION("""COMPUTED_VALUE"""),"Hybrid Working Environment with more than 15 days a month at office")</f>
        <v>Hybrid Working Environment with more than 15 days a month at office</v>
      </c>
      <c r="L1663" s="1" t="str">
        <f ca="1">IFERROR(__xludf.DUMMYFUNCTION("""COMPUTED_VALUE"""),"Employer who pushes your limits by enabling an learning environment, and rewards you at the end")</f>
        <v>Employer who pushes your limits by enabling an learning environment, and rewards you at the end</v>
      </c>
      <c r="M166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6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663" s="1" t="str">
        <f ca="1">IFERROR(__xludf.DUMMYFUNCTION("""COMPUTED_VALUE"""),"Manager who explains what is expected, sets a goal and helps achieve it")</f>
        <v>Manager who explains what is expected, sets a goal and helps achieve it</v>
      </c>
      <c r="P1663" s="1" t="str">
        <f ca="1">IFERROR(__xludf.DUMMYFUNCTION("""COMPUTED_VALUE"""),"Work with 2 to 3 people in my team")</f>
        <v>Work with 2 to 3 people in my team</v>
      </c>
      <c r="Q1663" s="1"/>
    </row>
    <row r="1664" spans="1:17" ht="13.2" x14ac:dyDescent="0.25">
      <c r="A1664" s="2">
        <f ca="1">IFERROR(__xludf.DUMMYFUNCTION("""COMPUTED_VALUE"""),45046.6425139467)</f>
        <v>45046.642513946703</v>
      </c>
      <c r="B1664" s="1" t="str">
        <f ca="1">IFERROR(__xludf.DUMMYFUNCTION("""COMPUTED_VALUE"""),"India")</f>
        <v>India</v>
      </c>
      <c r="C1664" s="1">
        <f ca="1">IFERROR(__xludf.DUMMYFUNCTION("""COMPUTED_VALUE"""),395004)</f>
        <v>395004</v>
      </c>
      <c r="D1664" s="3" t="str">
        <f ca="1">IFERROR(__xludf.DUMMYFUNCTION("""COMPUTED_VALUE"""),"Male")</f>
        <v>Male</v>
      </c>
      <c r="E1664" s="1" t="str">
        <f ca="1">IFERROR(__xludf.DUMMYFUNCTION("""COMPUTED_VALUE"""),"My Parents")</f>
        <v>My Parents</v>
      </c>
      <c r="F1664" s="1" t="str">
        <f ca="1">IFERROR(__xludf.DUMMYFUNCTION("""COMPUTED_VALUE"""),"No I would not be pursuing Higher Education outside of India")</f>
        <v>No I would not be pursuing Higher Education outside of India</v>
      </c>
      <c r="G1664" s="1" t="str">
        <f ca="1">IFERROR(__xludf.DUMMYFUNCTION("""COMPUTED_VALUE"""),"This will be hard to do, but if it is the right company I would try")</f>
        <v>This will be hard to do, but if it is the right company I would try</v>
      </c>
      <c r="H1664" s="1" t="str">
        <f ca="1">IFERROR(__xludf.DUMMYFUNCTION("""COMPUTED_VALUE"""),"No")</f>
        <v>No</v>
      </c>
      <c r="I1664" s="1" t="str">
        <f ca="1">IFERROR(__xludf.DUMMYFUNCTION("""COMPUTED_VALUE"""),"Will NOT work for them")</f>
        <v>Will NOT work for them</v>
      </c>
      <c r="J1664" s="1">
        <f ca="1">IFERROR(__xludf.DUMMYFUNCTION("""COMPUTED_VALUE"""),4)</f>
        <v>4</v>
      </c>
      <c r="K1664" s="1" t="str">
        <f ca="1">IFERROR(__xludf.DUMMYFUNCTION("""COMPUTED_VALUE"""),"Hybrid Working Environment with more than 15 days a month at office")</f>
        <v>Hybrid Working Environment with more than 15 days a month at office</v>
      </c>
      <c r="L1664" s="1" t="str">
        <f ca="1">IFERROR(__xludf.DUMMYFUNCTION("""COMPUTED_VALUE"""),"Employer who pushes your limits by enabling an learning environment, and rewards you at the end")</f>
        <v>Employer who pushes your limits by enabling an learning environment, and rewards you at the end</v>
      </c>
      <c r="M1664"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6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664" s="1" t="str">
        <f ca="1">IFERROR(__xludf.DUMMYFUNCTION("""COMPUTED_VALUE"""),"Manager who explains what is expected, sets a goal and helps achieve it")</f>
        <v>Manager who explains what is expected, sets a goal and helps achieve it</v>
      </c>
      <c r="P1664" s="1" t="str">
        <f ca="1">IFERROR(__xludf.DUMMYFUNCTION("""COMPUTED_VALUE"""),"Work with 5 to 6 people in my team")</f>
        <v>Work with 5 to 6 people in my team</v>
      </c>
      <c r="Q1664" s="1"/>
    </row>
    <row r="1665" spans="1:17" ht="13.2" x14ac:dyDescent="0.25">
      <c r="A1665" s="2">
        <f ca="1">IFERROR(__xludf.DUMMYFUNCTION("""COMPUTED_VALUE"""),45046.6611865509)</f>
        <v>45046.661186550897</v>
      </c>
      <c r="B1665" s="1" t="str">
        <f ca="1">IFERROR(__xludf.DUMMYFUNCTION("""COMPUTED_VALUE"""),"India")</f>
        <v>India</v>
      </c>
      <c r="C1665" s="1">
        <f ca="1">IFERROR(__xludf.DUMMYFUNCTION("""COMPUTED_VALUE"""),605009)</f>
        <v>605009</v>
      </c>
      <c r="D1665" s="3" t="str">
        <f ca="1">IFERROR(__xludf.DUMMYFUNCTION("""COMPUTED_VALUE"""),"Male")</f>
        <v>Male</v>
      </c>
      <c r="E1665" s="1" t="str">
        <f ca="1">IFERROR(__xludf.DUMMYFUNCTION("""COMPUTED_VALUE"""),"Social Media like LinkedIn")</f>
        <v>Social Media like LinkedIn</v>
      </c>
      <c r="F1665" s="1" t="str">
        <f ca="1">IFERROR(__xludf.DUMMYFUNCTION("""COMPUTED_VALUE"""),"Yes, I will earn and do that")</f>
        <v>Yes, I will earn and do that</v>
      </c>
      <c r="G1665" s="1" t="str">
        <f ca="1">IFERROR(__xludf.DUMMYFUNCTION("""COMPUTED_VALUE"""),"This will be hard to do, but if it is the right company I would try")</f>
        <v>This will be hard to do, but if it is the right company I would try</v>
      </c>
      <c r="H1665" s="1" t="str">
        <f ca="1">IFERROR(__xludf.DUMMYFUNCTION("""COMPUTED_VALUE"""),"No")</f>
        <v>No</v>
      </c>
      <c r="I1665" s="1" t="str">
        <f ca="1">IFERROR(__xludf.DUMMYFUNCTION("""COMPUTED_VALUE"""),"Will NOT work for them")</f>
        <v>Will NOT work for them</v>
      </c>
      <c r="J1665" s="1">
        <f ca="1">IFERROR(__xludf.DUMMYFUNCTION("""COMPUTED_VALUE"""),4)</f>
        <v>4</v>
      </c>
      <c r="K1665" s="1" t="str">
        <f ca="1">IFERROR(__xludf.DUMMYFUNCTION("""COMPUTED_VALUE"""),"Fully Remote with Options to travel as and when needed")</f>
        <v>Fully Remote with Options to travel as and when needed</v>
      </c>
      <c r="L1665" s="1" t="str">
        <f ca="1">IFERROR(__xludf.DUMMYFUNCTION("""COMPUTED_VALUE"""),"Employer who pushes your limits by enabling an learning environment, and rewards you at the end")</f>
        <v>Employer who pushes your limits by enabling an learning environment, and rewards you at the end</v>
      </c>
      <c r="M16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65"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665" s="1" t="str">
        <f ca="1">IFERROR(__xludf.DUMMYFUNCTION("""COMPUTED_VALUE"""),"Manager who explains what is expected, sets a goal and helps achieve it")</f>
        <v>Manager who explains what is expected, sets a goal and helps achieve it</v>
      </c>
      <c r="P1665" s="1" t="str">
        <f ca="1">IFERROR(__xludf.DUMMYFUNCTION("""COMPUTED_VALUE"""),"Work with 5 to 6 people in my team")</f>
        <v>Work with 5 to 6 people in my team</v>
      </c>
      <c r="Q1665" s="1"/>
    </row>
    <row r="1666" spans="1:17" ht="13.2" x14ac:dyDescent="0.25">
      <c r="A1666" s="2">
        <f ca="1">IFERROR(__xludf.DUMMYFUNCTION("""COMPUTED_VALUE"""),45046.6668118749)</f>
        <v>45046.6668118749</v>
      </c>
      <c r="B1666" s="1" t="str">
        <f ca="1">IFERROR(__xludf.DUMMYFUNCTION("""COMPUTED_VALUE"""),"India")</f>
        <v>India</v>
      </c>
      <c r="C1666" s="1">
        <f ca="1">IFERROR(__xludf.DUMMYFUNCTION("""COMPUTED_VALUE"""),302020)</f>
        <v>302020</v>
      </c>
      <c r="D1666" s="3" t="str">
        <f ca="1">IFERROR(__xludf.DUMMYFUNCTION("""COMPUTED_VALUE"""),"Female")</f>
        <v>Female</v>
      </c>
      <c r="E1666" s="1" t="str">
        <f ca="1">IFERROR(__xludf.DUMMYFUNCTION("""COMPUTED_VALUE"""),"Influencers who had successful careers")</f>
        <v>Influencers who had successful careers</v>
      </c>
      <c r="F1666" s="1" t="str">
        <f ca="1">IFERROR(__xludf.DUMMYFUNCTION("""COMPUTED_VALUE"""),"Yes, I will earn and do that")</f>
        <v>Yes, I will earn and do that</v>
      </c>
      <c r="G1666" s="1" t="str">
        <f ca="1">IFERROR(__xludf.DUMMYFUNCTION("""COMPUTED_VALUE"""),"This will be hard to do, but if it is the right company I would try")</f>
        <v>This will be hard to do, but if it is the right company I would try</v>
      </c>
      <c r="H1666" s="1" t="str">
        <f ca="1">IFERROR(__xludf.DUMMYFUNCTION("""COMPUTED_VALUE"""),"Yes")</f>
        <v>Yes</v>
      </c>
      <c r="I1666" s="1" t="str">
        <f ca="1">IFERROR(__xludf.DUMMYFUNCTION("""COMPUTED_VALUE"""),"Will NOT work for them")</f>
        <v>Will NOT work for them</v>
      </c>
      <c r="J1666" s="1">
        <f ca="1">IFERROR(__xludf.DUMMYFUNCTION("""COMPUTED_VALUE"""),7)</f>
        <v>7</v>
      </c>
      <c r="K1666" s="1" t="str">
        <f ca="1">IFERROR(__xludf.DUMMYFUNCTION("""COMPUTED_VALUE"""),"Fully Remote with Options to travel as and when needed")</f>
        <v>Fully Remote with Options to travel as and when needed</v>
      </c>
      <c r="L1666" s="1" t="str">
        <f ca="1">IFERROR(__xludf.DUMMYFUNCTION("""COMPUTED_VALUE"""),"Employer who pushes your limits by enabling an learning environment, and rewards you at the end")</f>
        <v>Employer who pushes your limits by enabling an learning environment, and rewards you at the end</v>
      </c>
      <c r="M1666" s="1" t="str">
        <f ca="1">IFERROR(__xludf.DUMMYFUNCTION("""COMPUTED_VALUE"""),"Self Paced Learning Portals of the Company, Learning by observing others, Manager Teaching you")</f>
        <v>Self Paced Learning Portals of the Company, Learning by observing others, Manager Teaching you</v>
      </c>
      <c r="N1666"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66" s="1" t="str">
        <f ca="1">IFERROR(__xludf.DUMMYFUNCTION("""COMPUTED_VALUE"""),"Manager who explains what is expected, sets a goal and helps achieve it")</f>
        <v>Manager who explains what is expected, sets a goal and helps achieve it</v>
      </c>
      <c r="P1666" s="1" t="str">
        <f ca="1">IFERROR(__xludf.DUMMYFUNCTION("""COMPUTED_VALUE"""),"Work with 2 to 3 people in my team")</f>
        <v>Work with 2 to 3 people in my team</v>
      </c>
      <c r="Q1666" s="1"/>
    </row>
    <row r="1667" spans="1:17" ht="13.2" x14ac:dyDescent="0.25">
      <c r="A1667" s="2">
        <f ca="1">IFERROR(__xludf.DUMMYFUNCTION("""COMPUTED_VALUE"""),45046.6700377662)</f>
        <v>45046.670037766198</v>
      </c>
      <c r="B1667" s="1" t="str">
        <f ca="1">IFERROR(__xludf.DUMMYFUNCTION("""COMPUTED_VALUE"""),"India")</f>
        <v>India</v>
      </c>
      <c r="C1667" s="1">
        <f ca="1">IFERROR(__xludf.DUMMYFUNCTION("""COMPUTED_VALUE"""),410206)</f>
        <v>410206</v>
      </c>
      <c r="D1667" s="3" t="str">
        <f ca="1">IFERROR(__xludf.DUMMYFUNCTION("""COMPUTED_VALUE"""),"Male")</f>
        <v>Male</v>
      </c>
      <c r="E1667" s="1" t="str">
        <f ca="1">IFERROR(__xludf.DUMMYFUNCTION("""COMPUTED_VALUE"""),"Influencers who had successful careers")</f>
        <v>Influencers who had successful careers</v>
      </c>
      <c r="F1667" s="1" t="str">
        <f ca="1">IFERROR(__xludf.DUMMYFUNCTION("""COMPUTED_VALUE"""),"Yes, I will earn and do that")</f>
        <v>Yes, I will earn and do that</v>
      </c>
      <c r="G1667" s="1" t="str">
        <f ca="1">IFERROR(__xludf.DUMMYFUNCTION("""COMPUTED_VALUE"""),"This will be hard to do, but if it is the right company I would try")</f>
        <v>This will be hard to do, but if it is the right company I would try</v>
      </c>
      <c r="H1667" s="1" t="str">
        <f ca="1">IFERROR(__xludf.DUMMYFUNCTION("""COMPUTED_VALUE"""),"No")</f>
        <v>No</v>
      </c>
      <c r="I1667" s="1" t="str">
        <f ca="1">IFERROR(__xludf.DUMMYFUNCTION("""COMPUTED_VALUE"""),"Will NOT work for them")</f>
        <v>Will NOT work for them</v>
      </c>
      <c r="J1667" s="1">
        <f ca="1">IFERROR(__xludf.DUMMYFUNCTION("""COMPUTED_VALUE"""),2)</f>
        <v>2</v>
      </c>
      <c r="K1667" s="1" t="str">
        <f ca="1">IFERROR(__xludf.DUMMYFUNCTION("""COMPUTED_VALUE"""),"Hybrid Working Environment with more than 15 days a month at office")</f>
        <v>Hybrid Working Environment with more than 15 days a month at office</v>
      </c>
      <c r="L1667" s="1" t="str">
        <f ca="1">IFERROR(__xludf.DUMMYFUNCTION("""COMPUTED_VALUE"""),"Employer who pushes your limits by enabling an learning environment, and rewards you at the end")</f>
        <v>Employer who pushes your limits by enabling an learning environment, and rewards you at the end</v>
      </c>
      <c r="M16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67" s="1" t="str">
        <f ca="1">IFERROR(__xludf.DUMMYFUNCTION("""COMPUTED_VALUE"""),"Manager who explains what is expected, sets a goal and helps achieve it")</f>
        <v>Manager who explains what is expected, sets a goal and helps achieve it</v>
      </c>
      <c r="P1667" s="1" t="str">
        <f ca="1">IFERROR(__xludf.DUMMYFUNCTION("""COMPUTED_VALUE"""),"Work with 5 to 6 people in my team")</f>
        <v>Work with 5 to 6 people in my team</v>
      </c>
      <c r="Q1667" s="1"/>
    </row>
    <row r="1668" spans="1:17" ht="13.2" x14ac:dyDescent="0.25">
      <c r="A1668" s="2">
        <f ca="1">IFERROR(__xludf.DUMMYFUNCTION("""COMPUTED_VALUE"""),45046.742538449)</f>
        <v>45046.742538448998</v>
      </c>
      <c r="B1668" s="1" t="str">
        <f ca="1">IFERROR(__xludf.DUMMYFUNCTION("""COMPUTED_VALUE"""),"India")</f>
        <v>India</v>
      </c>
      <c r="C1668" s="1">
        <f ca="1">IFERROR(__xludf.DUMMYFUNCTION("""COMPUTED_VALUE"""),110025)</f>
        <v>110025</v>
      </c>
      <c r="D1668" s="3" t="str">
        <f ca="1">IFERROR(__xludf.DUMMYFUNCTION("""COMPUTED_VALUE"""),"Male")</f>
        <v>Male</v>
      </c>
      <c r="E1668" s="1" t="str">
        <f ca="1">IFERROR(__xludf.DUMMYFUNCTION("""COMPUTED_VALUE"""),"Social Media like LinkedIn")</f>
        <v>Social Media like LinkedIn</v>
      </c>
      <c r="F1668" s="1" t="str">
        <f ca="1">IFERROR(__xludf.DUMMYFUNCTION("""COMPUTED_VALUE"""),"Yes, I will earn and do that")</f>
        <v>Yes, I will earn and do that</v>
      </c>
      <c r="G1668" s="1" t="str">
        <f ca="1">IFERROR(__xludf.DUMMYFUNCTION("""COMPUTED_VALUE"""),"Will work for 3 years or more")</f>
        <v>Will work for 3 years or more</v>
      </c>
      <c r="H1668" s="1" t="str">
        <f ca="1">IFERROR(__xludf.DUMMYFUNCTION("""COMPUTED_VALUE"""),"Yes")</f>
        <v>Yes</v>
      </c>
      <c r="I1668" s="1" t="str">
        <f ca="1">IFERROR(__xludf.DUMMYFUNCTION("""COMPUTED_VALUE"""),"Will work for them")</f>
        <v>Will work for them</v>
      </c>
      <c r="J1668" s="1">
        <f ca="1">IFERROR(__xludf.DUMMYFUNCTION("""COMPUTED_VALUE"""),3)</f>
        <v>3</v>
      </c>
      <c r="K1668" s="1" t="str">
        <f ca="1">IFERROR(__xludf.DUMMYFUNCTION("""COMPUTED_VALUE"""),"Every Day Office Environment")</f>
        <v>Every Day Office Environment</v>
      </c>
      <c r="L1668" s="1" t="str">
        <f ca="1">IFERROR(__xludf.DUMMYFUNCTION("""COMPUTED_VALUE"""),"Employer who pushes your limits by enabling an learning environment, and rewards you at the end")</f>
        <v>Employer who pushes your limits by enabling an learning environment, and rewards you at the end</v>
      </c>
      <c r="M1668" s="1" t="str">
        <f ca="1">IFERROR(__xludf.DUMMYFUNCTION("""COMPUTED_VALUE"""),"Instructor or Expert Learning Programs, Learning by observing others, Manager Teaching you")</f>
        <v>Instructor or Expert Learning Programs, Learning by observing others, Manager Teaching you</v>
      </c>
      <c r="N1668"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668" s="1" t="str">
        <f ca="1">IFERROR(__xludf.DUMMYFUNCTION("""COMPUTED_VALUE"""),"Manager who explains what is expected, sets a goal and helps achieve it")</f>
        <v>Manager who explains what is expected, sets a goal and helps achieve it</v>
      </c>
      <c r="P1668" s="1" t="str">
        <f ca="1">IFERROR(__xludf.DUMMYFUNCTION("""COMPUTED_VALUE"""),"Work with 2 to 3 people in my team, Work with 5 to 6 people in my team")</f>
        <v>Work with 2 to 3 people in my team, Work with 5 to 6 people in my team</v>
      </c>
      <c r="Q1668" s="1"/>
    </row>
    <row r="1669" spans="1:17" ht="13.2" x14ac:dyDescent="0.25">
      <c r="A1669" s="2">
        <f ca="1">IFERROR(__xludf.DUMMYFUNCTION("""COMPUTED_VALUE"""),45046.754666493)</f>
        <v>45046.754666492998</v>
      </c>
      <c r="B1669" s="1" t="str">
        <f ca="1">IFERROR(__xludf.DUMMYFUNCTION("""COMPUTED_VALUE"""),"India")</f>
        <v>India</v>
      </c>
      <c r="C1669" s="1">
        <f ca="1">IFERROR(__xludf.DUMMYFUNCTION("""COMPUTED_VALUE"""),201301)</f>
        <v>201301</v>
      </c>
      <c r="D1669" s="3" t="str">
        <f ca="1">IFERROR(__xludf.DUMMYFUNCTION("""COMPUTED_VALUE"""),"Male")</f>
        <v>Male</v>
      </c>
      <c r="E1669" s="1" t="str">
        <f ca="1">IFERROR(__xludf.DUMMYFUNCTION("""COMPUTED_VALUE"""),"Influencers who had successful careers")</f>
        <v>Influencers who had successful careers</v>
      </c>
      <c r="F1669" s="1" t="str">
        <f ca="1">IFERROR(__xludf.DUMMYFUNCTION("""COMPUTED_VALUE"""),"No I would not be pursuing Higher Education outside of India")</f>
        <v>No I would not be pursuing Higher Education outside of India</v>
      </c>
      <c r="G1669" s="1" t="str">
        <f ca="1">IFERROR(__xludf.DUMMYFUNCTION("""COMPUTED_VALUE"""),"No way")</f>
        <v>No way</v>
      </c>
      <c r="H1669" s="1" t="str">
        <f ca="1">IFERROR(__xludf.DUMMYFUNCTION("""COMPUTED_VALUE"""),"Yes")</f>
        <v>Yes</v>
      </c>
      <c r="I1669" s="1" t="str">
        <f ca="1">IFERROR(__xludf.DUMMYFUNCTION("""COMPUTED_VALUE"""),"Will NOT work for them")</f>
        <v>Will NOT work for them</v>
      </c>
      <c r="J1669" s="1">
        <f ca="1">IFERROR(__xludf.DUMMYFUNCTION("""COMPUTED_VALUE"""),10)</f>
        <v>10</v>
      </c>
      <c r="K1669" s="1" t="str">
        <f ca="1">IFERROR(__xludf.DUMMYFUNCTION("""COMPUTED_VALUE"""),"Every Day Office Environment")</f>
        <v>Every Day Office Environment</v>
      </c>
      <c r="L1669" s="1" t="str">
        <f ca="1">IFERROR(__xludf.DUMMYFUNCTION("""COMPUTED_VALUE"""),"Employer who appreciates learning and enables that environment")</f>
        <v>Employer who appreciates learning and enables that environment</v>
      </c>
      <c r="M166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6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69" s="1" t="str">
        <f ca="1">IFERROR(__xludf.DUMMYFUNCTION("""COMPUTED_VALUE"""),"Manager who clearly describes what she/he needs")</f>
        <v>Manager who clearly describes what she/he needs</v>
      </c>
      <c r="P1669" s="1" t="str">
        <f ca="1">IFERROR(__xludf.DUMMYFUNCTION("""COMPUTED_VALUE"""),"Work with more than 10 people in my team")</f>
        <v>Work with more than 10 people in my team</v>
      </c>
      <c r="Q1669" s="1"/>
    </row>
    <row r="1670" spans="1:17" ht="13.2" x14ac:dyDescent="0.25">
      <c r="A1670" s="2">
        <f ca="1">IFERROR(__xludf.DUMMYFUNCTION("""COMPUTED_VALUE"""),45046.7640990625)</f>
        <v>45046.7640990625</v>
      </c>
      <c r="B1670" s="1" t="str">
        <f ca="1">IFERROR(__xludf.DUMMYFUNCTION("""COMPUTED_VALUE"""),"India")</f>
        <v>India</v>
      </c>
      <c r="C1670" s="1">
        <f ca="1">IFERROR(__xludf.DUMMYFUNCTION("""COMPUTED_VALUE"""),501301)</f>
        <v>501301</v>
      </c>
      <c r="D1670" s="3" t="str">
        <f ca="1">IFERROR(__xludf.DUMMYFUNCTION("""COMPUTED_VALUE"""),"Male")</f>
        <v>Male</v>
      </c>
      <c r="E1670" s="1" t="str">
        <f ca="1">IFERROR(__xludf.DUMMYFUNCTION("""COMPUTED_VALUE"""),"People who have changed the world for better")</f>
        <v>People who have changed the world for better</v>
      </c>
      <c r="F1670" s="1" t="str">
        <f ca="1">IFERROR(__xludf.DUMMYFUNCTION("""COMPUTED_VALUE"""),"No I would not be pursuing Higher Education outside of India")</f>
        <v>No I would not be pursuing Higher Education outside of India</v>
      </c>
      <c r="G1670" s="1" t="str">
        <f ca="1">IFERROR(__xludf.DUMMYFUNCTION("""COMPUTED_VALUE"""),"This will be hard to do, but if it is the right company I would try")</f>
        <v>This will be hard to do, but if it is the right company I would try</v>
      </c>
      <c r="H1670" s="1" t="str">
        <f ca="1">IFERROR(__xludf.DUMMYFUNCTION("""COMPUTED_VALUE"""),"No")</f>
        <v>No</v>
      </c>
      <c r="I1670" s="1" t="str">
        <f ca="1">IFERROR(__xludf.DUMMYFUNCTION("""COMPUTED_VALUE"""),"Will NOT work for them")</f>
        <v>Will NOT work for them</v>
      </c>
      <c r="J1670" s="1">
        <f ca="1">IFERROR(__xludf.DUMMYFUNCTION("""COMPUTED_VALUE"""),2)</f>
        <v>2</v>
      </c>
      <c r="K1670" s="1" t="str">
        <f ca="1">IFERROR(__xludf.DUMMYFUNCTION("""COMPUTED_VALUE"""),"Every Day Office Environment")</f>
        <v>Every Day Office Environment</v>
      </c>
      <c r="L1670" s="1" t="str">
        <f ca="1">IFERROR(__xludf.DUMMYFUNCTION("""COMPUTED_VALUE"""),"Employer who pushes your limits by enabling an learning environment, and rewards you at the end")</f>
        <v>Employer who pushes your limits by enabling an learning environment, and rewards you at the end</v>
      </c>
      <c r="M167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70"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670" s="1" t="str">
        <f ca="1">IFERROR(__xludf.DUMMYFUNCTION("""COMPUTED_VALUE"""),"Manager who clearly describes what she/he needs")</f>
        <v>Manager who clearly describes what she/he needs</v>
      </c>
      <c r="P1670" s="1" t="str">
        <f ca="1">IFERROR(__xludf.DUMMYFUNCTION("""COMPUTED_VALUE"""),"Work with 2 to 3 people in my team")</f>
        <v>Work with 2 to 3 people in my team</v>
      </c>
      <c r="Q1670" s="1"/>
    </row>
    <row r="1671" spans="1:17" ht="13.2" x14ac:dyDescent="0.25">
      <c r="A1671" s="2">
        <f ca="1">IFERROR(__xludf.DUMMYFUNCTION("""COMPUTED_VALUE"""),45046.8024966203)</f>
        <v>45046.802496620301</v>
      </c>
      <c r="B1671" s="1" t="str">
        <f ca="1">IFERROR(__xludf.DUMMYFUNCTION("""COMPUTED_VALUE"""),"Canada")</f>
        <v>Canada</v>
      </c>
      <c r="C1671" s="1" t="str">
        <f ca="1">IFERROR(__xludf.DUMMYFUNCTION("""COMPUTED_VALUE"""),"N9b2l3")</f>
        <v>N9b2l3</v>
      </c>
      <c r="D1671" s="3" t="str">
        <f ca="1">IFERROR(__xludf.DUMMYFUNCTION("""COMPUTED_VALUE"""),"Male")</f>
        <v>Male</v>
      </c>
      <c r="E1671" s="1" t="str">
        <f ca="1">IFERROR(__xludf.DUMMYFUNCTION("""COMPUTED_VALUE"""),"My Parents")</f>
        <v>My Parents</v>
      </c>
      <c r="F1671" s="1" t="str">
        <f ca="1">IFERROR(__xludf.DUMMYFUNCTION("""COMPUTED_VALUE"""),"Yes, I will earn and do that")</f>
        <v>Yes, I will earn and do that</v>
      </c>
      <c r="G1671" s="1" t="str">
        <f ca="1">IFERROR(__xludf.DUMMYFUNCTION("""COMPUTED_VALUE"""),"Will work for 3 years or more")</f>
        <v>Will work for 3 years or more</v>
      </c>
      <c r="H1671" s="1" t="str">
        <f ca="1">IFERROR(__xludf.DUMMYFUNCTION("""COMPUTED_VALUE"""),"No")</f>
        <v>No</v>
      </c>
      <c r="I1671" s="1" t="str">
        <f ca="1">IFERROR(__xludf.DUMMYFUNCTION("""COMPUTED_VALUE"""),"Will NOT work for them")</f>
        <v>Will NOT work for them</v>
      </c>
      <c r="J1671" s="1">
        <f ca="1">IFERROR(__xludf.DUMMYFUNCTION("""COMPUTED_VALUE"""),5)</f>
        <v>5</v>
      </c>
      <c r="K1671" s="1" t="str">
        <f ca="1">IFERROR(__xludf.DUMMYFUNCTION("""COMPUTED_VALUE"""),"Fully Remote with Options to travel as and when needed")</f>
        <v>Fully Remote with Options to travel as and when needed</v>
      </c>
      <c r="L1671" s="1" t="str">
        <f ca="1">IFERROR(__xludf.DUMMYFUNCTION("""COMPUTED_VALUE"""),"Employer who pushes your limits by enabling an learning environment, and rewards you at the end")</f>
        <v>Employer who pushes your limits by enabling an learning environment, and rewards you at the end</v>
      </c>
      <c r="M167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71"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71" s="1" t="str">
        <f ca="1">IFERROR(__xludf.DUMMYFUNCTION("""COMPUTED_VALUE"""),"Manager who sets goal and helps me achieve it")</f>
        <v>Manager who sets goal and helps me achieve it</v>
      </c>
      <c r="P1671" s="1" t="str">
        <f ca="1">IFERROR(__xludf.DUMMYFUNCTION("""COMPUTED_VALUE"""),"Work with 2 to 3 people in my team")</f>
        <v>Work with 2 to 3 people in my team</v>
      </c>
      <c r="Q1671" s="1"/>
    </row>
    <row r="1672" spans="1:17" ht="13.2" x14ac:dyDescent="0.25">
      <c r="A1672" s="2">
        <f ca="1">IFERROR(__xludf.DUMMYFUNCTION("""COMPUTED_VALUE"""),45046.8274273379)</f>
        <v>45046.827427337899</v>
      </c>
      <c r="B1672" s="1" t="str">
        <f ca="1">IFERROR(__xludf.DUMMYFUNCTION("""COMPUTED_VALUE"""),"India")</f>
        <v>India</v>
      </c>
      <c r="C1672" s="1">
        <f ca="1">IFERROR(__xludf.DUMMYFUNCTION("""COMPUTED_VALUE"""),201010)</f>
        <v>201010</v>
      </c>
      <c r="D1672" s="3" t="str">
        <f ca="1">IFERROR(__xludf.DUMMYFUNCTION("""COMPUTED_VALUE"""),"Female")</f>
        <v>Female</v>
      </c>
      <c r="E1672" s="1" t="str">
        <f ca="1">IFERROR(__xludf.DUMMYFUNCTION("""COMPUTED_VALUE"""),"My Parents")</f>
        <v>My Parents</v>
      </c>
      <c r="F1672" s="1" t="str">
        <f ca="1">IFERROR(__xludf.DUMMYFUNCTION("""COMPUTED_VALUE"""),"No, But if someone could bare the cost I will")</f>
        <v>No, But if someone could bare the cost I will</v>
      </c>
      <c r="G1672" s="1" t="str">
        <f ca="1">IFERROR(__xludf.DUMMYFUNCTION("""COMPUTED_VALUE"""),"This will be hard to do, but if it is the right company I would try")</f>
        <v>This will be hard to do, but if it is the right company I would try</v>
      </c>
      <c r="H1672" s="1" t="str">
        <f ca="1">IFERROR(__xludf.DUMMYFUNCTION("""COMPUTED_VALUE"""),"No")</f>
        <v>No</v>
      </c>
      <c r="I1672" s="1" t="str">
        <f ca="1">IFERROR(__xludf.DUMMYFUNCTION("""COMPUTED_VALUE"""),"Will NOT work for them")</f>
        <v>Will NOT work for them</v>
      </c>
      <c r="J1672" s="1">
        <f ca="1">IFERROR(__xludf.DUMMYFUNCTION("""COMPUTED_VALUE"""),7)</f>
        <v>7</v>
      </c>
      <c r="K1672" s="1" t="str">
        <f ca="1">IFERROR(__xludf.DUMMYFUNCTION("""COMPUTED_VALUE"""),"Hybrid Working Environment with more than 15 days a month at office")</f>
        <v>Hybrid Working Environment with more than 15 days a month at office</v>
      </c>
      <c r="L1672" s="1" t="str">
        <f ca="1">IFERROR(__xludf.DUMMYFUNCTION("""COMPUTED_VALUE"""),"Employer who rewards learning and enables that environment")</f>
        <v>Employer who rewards learning and enables that environment</v>
      </c>
      <c r="M1672" s="1" t="str">
        <f ca="1">IFERROR(__xludf.DUMMYFUNCTION("""COMPUTED_VALUE"""),"Self Paced Learning Portals of the Company, Instructor or Expert Learning Programs, Manager Teaching you")</f>
        <v>Self Paced Learning Portals of the Company, Instructor or Expert Learning Programs, Manager Teaching you</v>
      </c>
      <c r="N1672"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672" s="1" t="str">
        <f ca="1">IFERROR(__xludf.DUMMYFUNCTION("""COMPUTED_VALUE"""),"Manager who explains what is expected, sets a goal and helps achieve it")</f>
        <v>Manager who explains what is expected, sets a goal and helps achieve it</v>
      </c>
      <c r="P1672" s="1" t="str">
        <f ca="1">IFERROR(__xludf.DUMMYFUNCTION("""COMPUTED_VALUE"""),"Work with 5 to 6 people in my team, Work with 7 to 10 or more people in my team")</f>
        <v>Work with 5 to 6 people in my team, Work with 7 to 10 or more people in my team</v>
      </c>
      <c r="Q1672" s="1"/>
    </row>
    <row r="1673" spans="1:17" ht="13.2" x14ac:dyDescent="0.25">
      <c r="A1673" s="2">
        <f ca="1">IFERROR(__xludf.DUMMYFUNCTION("""COMPUTED_VALUE"""),45046.8611895254)</f>
        <v>45046.8611895254</v>
      </c>
      <c r="B1673" s="1" t="str">
        <f ca="1">IFERROR(__xludf.DUMMYFUNCTION("""COMPUTED_VALUE"""),"India")</f>
        <v>India</v>
      </c>
      <c r="C1673" s="1">
        <f ca="1">IFERROR(__xludf.DUMMYFUNCTION("""COMPUTED_VALUE"""),231001)</f>
        <v>231001</v>
      </c>
      <c r="D1673" s="3" t="str">
        <f ca="1">IFERROR(__xludf.DUMMYFUNCTION("""COMPUTED_VALUE"""),"Male")</f>
        <v>Male</v>
      </c>
      <c r="E1673" s="1" t="str">
        <f ca="1">IFERROR(__xludf.DUMMYFUNCTION("""COMPUTED_VALUE"""),"People from my circle, but not family members")</f>
        <v>People from my circle, but not family members</v>
      </c>
      <c r="F1673" s="1" t="str">
        <f ca="1">IFERROR(__xludf.DUMMYFUNCTION("""COMPUTED_VALUE"""),"No, But if someone could bare the cost I will")</f>
        <v>No, But if someone could bare the cost I will</v>
      </c>
      <c r="G1673" s="1" t="str">
        <f ca="1">IFERROR(__xludf.DUMMYFUNCTION("""COMPUTED_VALUE"""),"No way")</f>
        <v>No way</v>
      </c>
      <c r="H1673" s="1" t="str">
        <f ca="1">IFERROR(__xludf.DUMMYFUNCTION("""COMPUTED_VALUE"""),"No")</f>
        <v>No</v>
      </c>
      <c r="I1673" s="1" t="str">
        <f ca="1">IFERROR(__xludf.DUMMYFUNCTION("""COMPUTED_VALUE"""),"Will work for them")</f>
        <v>Will work for them</v>
      </c>
      <c r="J1673" s="1">
        <f ca="1">IFERROR(__xludf.DUMMYFUNCTION("""COMPUTED_VALUE"""),7)</f>
        <v>7</v>
      </c>
      <c r="K1673" s="1" t="str">
        <f ca="1">IFERROR(__xludf.DUMMYFUNCTION("""COMPUTED_VALUE"""),"Hybrid Working Environment with less than 3 days a month at office")</f>
        <v>Hybrid Working Environment with less than 3 days a month at office</v>
      </c>
      <c r="L1673" s="1" t="str">
        <f ca="1">IFERROR(__xludf.DUMMYFUNCTION("""COMPUTED_VALUE"""),"Employer who appreciates learning and enables that environment")</f>
        <v>Employer who appreciates learning and enables that environment</v>
      </c>
      <c r="M167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73"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673" s="1" t="str">
        <f ca="1">IFERROR(__xludf.DUMMYFUNCTION("""COMPUTED_VALUE"""),"Manager who explains what is expected, sets a goal and helps achieve it")</f>
        <v>Manager who explains what is expected, sets a goal and helps achieve it</v>
      </c>
      <c r="P1673" s="1" t="str">
        <f ca="1">IFERROR(__xludf.DUMMYFUNCTION("""COMPUTED_VALUE"""),"Work with 5 to 6 people in my team")</f>
        <v>Work with 5 to 6 people in my team</v>
      </c>
      <c r="Q1673" s="1"/>
    </row>
    <row r="1674" spans="1:17" ht="13.2" x14ac:dyDescent="0.25">
      <c r="A1674" s="2">
        <f ca="1">IFERROR(__xludf.DUMMYFUNCTION("""COMPUTED_VALUE"""),45046.8641874421)</f>
        <v>45046.864187442101</v>
      </c>
      <c r="B1674" s="1" t="str">
        <f ca="1">IFERROR(__xludf.DUMMYFUNCTION("""COMPUTED_VALUE"""),"India")</f>
        <v>India</v>
      </c>
      <c r="C1674" s="1">
        <f ca="1">IFERROR(__xludf.DUMMYFUNCTION("""COMPUTED_VALUE"""),605001)</f>
        <v>605001</v>
      </c>
      <c r="D1674" s="3" t="str">
        <f ca="1">IFERROR(__xludf.DUMMYFUNCTION("""COMPUTED_VALUE"""),"Male")</f>
        <v>Male</v>
      </c>
      <c r="E1674" s="1" t="str">
        <f ca="1">IFERROR(__xludf.DUMMYFUNCTION("""COMPUTED_VALUE"""),"My Parents")</f>
        <v>My Parents</v>
      </c>
      <c r="F1674" s="1" t="str">
        <f ca="1">IFERROR(__xludf.DUMMYFUNCTION("""COMPUTED_VALUE"""),"Yes, I will earn and do that")</f>
        <v>Yes, I will earn and do that</v>
      </c>
      <c r="G1674" s="1" t="str">
        <f ca="1">IFERROR(__xludf.DUMMYFUNCTION("""COMPUTED_VALUE"""),"This will be hard to do, but if it is the right company I would try")</f>
        <v>This will be hard to do, but if it is the right company I would try</v>
      </c>
      <c r="H1674" s="1" t="str">
        <f ca="1">IFERROR(__xludf.DUMMYFUNCTION("""COMPUTED_VALUE"""),"No")</f>
        <v>No</v>
      </c>
      <c r="I1674" s="1" t="str">
        <f ca="1">IFERROR(__xludf.DUMMYFUNCTION("""COMPUTED_VALUE"""),"Will NOT work for them")</f>
        <v>Will NOT work for them</v>
      </c>
      <c r="J1674" s="1">
        <f ca="1">IFERROR(__xludf.DUMMYFUNCTION("""COMPUTED_VALUE"""),1)</f>
        <v>1</v>
      </c>
      <c r="K1674" s="1" t="str">
        <f ca="1">IFERROR(__xludf.DUMMYFUNCTION("""COMPUTED_VALUE"""),"Fully Remote with Options to travel as and when needed")</f>
        <v>Fully Remote with Options to travel as and when needed</v>
      </c>
      <c r="L1674" s="1" t="str">
        <f ca="1">IFERROR(__xludf.DUMMYFUNCTION("""COMPUTED_VALUE"""),"Employer who appreciates learning and enables that environment")</f>
        <v>Employer who appreciates learning and enables that environment</v>
      </c>
      <c r="M167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7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74" s="1" t="str">
        <f ca="1">IFERROR(__xludf.DUMMYFUNCTION("""COMPUTED_VALUE"""),"Manager who explains what is expected, sets a goal and helps achieve it")</f>
        <v>Manager who explains what is expected, sets a goal and helps achieve it</v>
      </c>
      <c r="P1674" s="1" t="str">
        <f ca="1">IFERROR(__xludf.DUMMYFUNCTION("""COMPUTED_VALUE"""),"Work with 2 to 3 people in my team")</f>
        <v>Work with 2 to 3 people in my team</v>
      </c>
      <c r="Q1674" s="1"/>
    </row>
    <row r="1675" spans="1:17" ht="13.2" x14ac:dyDescent="0.25">
      <c r="A1675" s="2">
        <f ca="1">IFERROR(__xludf.DUMMYFUNCTION("""COMPUTED_VALUE"""),45046.8763102546)</f>
        <v>45046.8763102546</v>
      </c>
      <c r="B1675" s="1" t="str">
        <f ca="1">IFERROR(__xludf.DUMMYFUNCTION("""COMPUTED_VALUE"""),"India")</f>
        <v>India</v>
      </c>
      <c r="C1675" s="1">
        <f ca="1">IFERROR(__xludf.DUMMYFUNCTION("""COMPUTED_VALUE"""),250002)</f>
        <v>250002</v>
      </c>
      <c r="D1675" s="3" t="str">
        <f ca="1">IFERROR(__xludf.DUMMYFUNCTION("""COMPUTED_VALUE"""),"Female")</f>
        <v>Female</v>
      </c>
      <c r="E1675" s="1" t="str">
        <f ca="1">IFERROR(__xludf.DUMMYFUNCTION("""COMPUTED_VALUE"""),"My Parents")</f>
        <v>My Parents</v>
      </c>
      <c r="F1675" s="1" t="str">
        <f ca="1">IFERROR(__xludf.DUMMYFUNCTION("""COMPUTED_VALUE"""),"No I would not be pursuing Higher Education outside of India")</f>
        <v>No I would not be pursuing Higher Education outside of India</v>
      </c>
      <c r="G1675" s="1" t="str">
        <f ca="1">IFERROR(__xludf.DUMMYFUNCTION("""COMPUTED_VALUE"""),"Will work for 3 years or more")</f>
        <v>Will work for 3 years or more</v>
      </c>
      <c r="H1675" s="1" t="str">
        <f ca="1">IFERROR(__xludf.DUMMYFUNCTION("""COMPUTED_VALUE"""),"No")</f>
        <v>No</v>
      </c>
      <c r="I1675" s="1" t="str">
        <f ca="1">IFERROR(__xludf.DUMMYFUNCTION("""COMPUTED_VALUE"""),"Will NOT work for them")</f>
        <v>Will NOT work for them</v>
      </c>
      <c r="J1675" s="1">
        <f ca="1">IFERROR(__xludf.DUMMYFUNCTION("""COMPUTED_VALUE"""),8)</f>
        <v>8</v>
      </c>
      <c r="K1675" s="1" t="str">
        <f ca="1">IFERROR(__xludf.DUMMYFUNCTION("""COMPUTED_VALUE"""),"Hybrid Working Environment with more than 15 days a month at office")</f>
        <v>Hybrid Working Environment with more than 15 days a month at office</v>
      </c>
      <c r="L1675" s="1" t="str">
        <f ca="1">IFERROR(__xludf.DUMMYFUNCTION("""COMPUTED_VALUE"""),"Employer who pushes your limits by enabling an learning environment, and rewards you at the end")</f>
        <v>Employer who pushes your limits by enabling an learning environment, and rewards you at the end</v>
      </c>
      <c r="M167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75" s="1" t="str">
        <f ca="1">IFERROR(__xludf.DUMMYFUNCTION("""COMPUTED_VALUE"""),"Business Operations in any organization, Look deeply into Data and generate insights, Work in a BPO setup for some well known client, An Artificial Intelligence Specialist / Talking to Robots")</f>
        <v>Business Operations in any organization, Look deeply into Data and generate insights, Work in a BPO setup for some well known client, An Artificial Intelligence Specialist / Talking to Robots</v>
      </c>
      <c r="O1675" s="1" t="str">
        <f ca="1">IFERROR(__xludf.DUMMYFUNCTION("""COMPUTED_VALUE"""),"Manager who explains what is expected, sets a goal and helps achieve it")</f>
        <v>Manager who explains what is expected, sets a goal and helps achieve it</v>
      </c>
      <c r="P1675" s="1" t="str">
        <f ca="1">IFERROR(__xludf.DUMMYFUNCTION("""COMPUTED_VALUE"""),"Work with 7 to 10 or more people in my team, Work with more than 10 people in my team")</f>
        <v>Work with 7 to 10 or more people in my team, Work with more than 10 people in my team</v>
      </c>
      <c r="Q1675" s="1"/>
    </row>
    <row r="1676" spans="1:17" ht="13.2" x14ac:dyDescent="0.25">
      <c r="A1676" s="2">
        <f ca="1">IFERROR(__xludf.DUMMYFUNCTION("""COMPUTED_VALUE"""),45046.8849753935)</f>
        <v>45046.884975393499</v>
      </c>
      <c r="B1676" s="1" t="str">
        <f ca="1">IFERROR(__xludf.DUMMYFUNCTION("""COMPUTED_VALUE"""),"India")</f>
        <v>India</v>
      </c>
      <c r="C1676" s="1">
        <f ca="1">IFERROR(__xludf.DUMMYFUNCTION("""COMPUTED_VALUE"""),500094)</f>
        <v>500094</v>
      </c>
      <c r="D1676" s="3" t="str">
        <f ca="1">IFERROR(__xludf.DUMMYFUNCTION("""COMPUTED_VALUE"""),"Female")</f>
        <v>Female</v>
      </c>
      <c r="E1676" s="1" t="str">
        <f ca="1">IFERROR(__xludf.DUMMYFUNCTION("""COMPUTED_VALUE"""),"My Parents")</f>
        <v>My Parents</v>
      </c>
      <c r="F1676" s="1" t="str">
        <f ca="1">IFERROR(__xludf.DUMMYFUNCTION("""COMPUTED_VALUE"""),"No I would not be pursuing Higher Education outside of India")</f>
        <v>No I would not be pursuing Higher Education outside of India</v>
      </c>
      <c r="G1676" s="1" t="str">
        <f ca="1">IFERROR(__xludf.DUMMYFUNCTION("""COMPUTED_VALUE"""),"Will work for 3 years or more")</f>
        <v>Will work for 3 years or more</v>
      </c>
      <c r="H1676" s="1" t="str">
        <f ca="1">IFERROR(__xludf.DUMMYFUNCTION("""COMPUTED_VALUE"""),"No")</f>
        <v>No</v>
      </c>
      <c r="I1676" s="1" t="str">
        <f ca="1">IFERROR(__xludf.DUMMYFUNCTION("""COMPUTED_VALUE"""),"Will NOT work for them")</f>
        <v>Will NOT work for them</v>
      </c>
      <c r="J1676" s="1">
        <f ca="1">IFERROR(__xludf.DUMMYFUNCTION("""COMPUTED_VALUE"""),2)</f>
        <v>2</v>
      </c>
      <c r="K1676" s="1" t="str">
        <f ca="1">IFERROR(__xludf.DUMMYFUNCTION("""COMPUTED_VALUE"""),"Every Day Office Environment")</f>
        <v>Every Day Office Environment</v>
      </c>
      <c r="L1676" s="1" t="str">
        <f ca="1">IFERROR(__xludf.DUMMYFUNCTION("""COMPUTED_VALUE"""),"Employer who appreciates learning and enables that environment")</f>
        <v>Employer who appreciates learning and enables that environment</v>
      </c>
      <c r="M16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6" s="1" t="str">
        <f ca="1">IFERROR(__xludf.DUMMYFUNCTION("""COMPUTED_VALUE"""),"Design and Creative strategy in any company, Teaching in any of the institutes/colleges/online or offline, Work as a freelancer and do my thing my way, An Artificial Intelligence Specialist / Talking to Robots")</f>
        <v>Design and Creative strategy in any company, Teaching in any of the institutes/colleges/online or offline, Work as a freelancer and do my thing my way, An Artificial Intelligence Specialist / Talking to Robots</v>
      </c>
      <c r="O1676" s="1" t="str">
        <f ca="1">IFERROR(__xludf.DUMMYFUNCTION("""COMPUTED_VALUE"""),"Manager who sets goal and helps me achieve it")</f>
        <v>Manager who sets goal and helps me achieve it</v>
      </c>
      <c r="P1676" s="1" t="str">
        <f ca="1">IFERROR(__xludf.DUMMYFUNCTION("""COMPUTED_VALUE"""),"Work with 5 to 6 people in my team")</f>
        <v>Work with 5 to 6 people in my team</v>
      </c>
      <c r="Q1676" s="1"/>
    </row>
    <row r="1677" spans="1:17" ht="13.2" x14ac:dyDescent="0.25">
      <c r="A1677" s="2">
        <f ca="1">IFERROR(__xludf.DUMMYFUNCTION("""COMPUTED_VALUE"""),45046.8979110648)</f>
        <v>45046.8979110648</v>
      </c>
      <c r="B1677" s="1" t="str">
        <f ca="1">IFERROR(__xludf.DUMMYFUNCTION("""COMPUTED_VALUE"""),"India")</f>
        <v>India</v>
      </c>
      <c r="C1677" s="1">
        <f ca="1">IFERROR(__xludf.DUMMYFUNCTION("""COMPUTED_VALUE"""),501510)</f>
        <v>501510</v>
      </c>
      <c r="D1677" s="3" t="str">
        <f ca="1">IFERROR(__xludf.DUMMYFUNCTION("""COMPUTED_VALUE"""),"Male")</f>
        <v>Male</v>
      </c>
      <c r="E1677" s="1" t="str">
        <f ca="1">IFERROR(__xludf.DUMMYFUNCTION("""COMPUTED_VALUE"""),"My Parents")</f>
        <v>My Parents</v>
      </c>
      <c r="F1677" s="1" t="str">
        <f ca="1">IFERROR(__xludf.DUMMYFUNCTION("""COMPUTED_VALUE"""),"No, But if someone could bare the cost I will")</f>
        <v>No, But if someone could bare the cost I will</v>
      </c>
      <c r="G1677" s="1" t="str">
        <f ca="1">IFERROR(__xludf.DUMMYFUNCTION("""COMPUTED_VALUE"""),"Will work for 3 years or more")</f>
        <v>Will work for 3 years or more</v>
      </c>
      <c r="H1677" s="1" t="str">
        <f ca="1">IFERROR(__xludf.DUMMYFUNCTION("""COMPUTED_VALUE"""),"No")</f>
        <v>No</v>
      </c>
      <c r="I1677" s="1" t="str">
        <f ca="1">IFERROR(__xludf.DUMMYFUNCTION("""COMPUTED_VALUE"""),"Will NOT work for them")</f>
        <v>Will NOT work for them</v>
      </c>
      <c r="J1677" s="1">
        <f ca="1">IFERROR(__xludf.DUMMYFUNCTION("""COMPUTED_VALUE"""),6)</f>
        <v>6</v>
      </c>
      <c r="K1677" s="1" t="str">
        <f ca="1">IFERROR(__xludf.DUMMYFUNCTION("""COMPUTED_VALUE"""),"Hybrid Working Environment with less than 3 days a month at office")</f>
        <v>Hybrid Working Environment with less than 3 days a month at office</v>
      </c>
      <c r="L1677" s="1" t="str">
        <f ca="1">IFERROR(__xludf.DUMMYFUNCTION("""COMPUTED_VALUE"""),"Employer who pushes your limits by enabling an learning environment, and rewards you at the end")</f>
        <v>Employer who pushes your limits by enabling an learning environment, and rewards you at the end</v>
      </c>
      <c r="M167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7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677" s="1" t="str">
        <f ca="1">IFERROR(__xludf.DUMMYFUNCTION("""COMPUTED_VALUE"""),"Manager who explains what is expected, sets a goal and helps achieve it")</f>
        <v>Manager who explains what is expected, sets a goal and helps achieve it</v>
      </c>
      <c r="P1677" s="1" t="str">
        <f ca="1">IFERROR(__xludf.DUMMYFUNCTION("""COMPUTED_VALUE"""),"Work with 5 to 6 people in my team, Work with 7 to 10 or more people in my team")</f>
        <v>Work with 5 to 6 people in my team, Work with 7 to 10 or more people in my team</v>
      </c>
      <c r="Q1677" s="1"/>
    </row>
    <row r="1678" spans="1:17" ht="13.2" x14ac:dyDescent="0.25">
      <c r="A1678" s="2">
        <f ca="1">IFERROR(__xludf.DUMMYFUNCTION("""COMPUTED_VALUE"""),45046.9069368055)</f>
        <v>45046.906936805499</v>
      </c>
      <c r="B1678" s="1" t="str">
        <f ca="1">IFERROR(__xludf.DUMMYFUNCTION("""COMPUTED_VALUE"""),"India")</f>
        <v>India</v>
      </c>
      <c r="C1678" s="1">
        <f ca="1">IFERROR(__xludf.DUMMYFUNCTION("""COMPUTED_VALUE"""),110072)</f>
        <v>110072</v>
      </c>
      <c r="D1678" s="3" t="str">
        <f ca="1">IFERROR(__xludf.DUMMYFUNCTION("""COMPUTED_VALUE"""),"Male")</f>
        <v>Male</v>
      </c>
      <c r="E1678" s="1" t="str">
        <f ca="1">IFERROR(__xludf.DUMMYFUNCTION("""COMPUTED_VALUE"""),"People from my circle, but not family members")</f>
        <v>People from my circle, but not family members</v>
      </c>
      <c r="F1678" s="1" t="str">
        <f ca="1">IFERROR(__xludf.DUMMYFUNCTION("""COMPUTED_VALUE"""),"No, But if someone could bare the cost I will")</f>
        <v>No, But if someone could bare the cost I will</v>
      </c>
      <c r="G1678" s="1" t="str">
        <f ca="1">IFERROR(__xludf.DUMMYFUNCTION("""COMPUTED_VALUE"""),"This will be hard to do, but if it is the right company I would try")</f>
        <v>This will be hard to do, but if it is the right company I would try</v>
      </c>
      <c r="H1678" s="1" t="str">
        <f ca="1">IFERROR(__xludf.DUMMYFUNCTION("""COMPUTED_VALUE"""),"Yes")</f>
        <v>Yes</v>
      </c>
      <c r="I1678" s="1" t="str">
        <f ca="1">IFERROR(__xludf.DUMMYFUNCTION("""COMPUTED_VALUE"""),"Will work for them")</f>
        <v>Will work for them</v>
      </c>
      <c r="J1678" s="1">
        <f ca="1">IFERROR(__xludf.DUMMYFUNCTION("""COMPUTED_VALUE"""),8)</f>
        <v>8</v>
      </c>
      <c r="K1678" s="1" t="str">
        <f ca="1">IFERROR(__xludf.DUMMYFUNCTION("""COMPUTED_VALUE"""),"Hybrid Working Environment with more than 15 days a month at office")</f>
        <v>Hybrid Working Environment with more than 15 days a month at office</v>
      </c>
      <c r="L1678" s="1" t="str">
        <f ca="1">IFERROR(__xludf.DUMMYFUNCTION("""COMPUTED_VALUE"""),"Employer who appreciates learning and enables that environment")</f>
        <v>Employer who appreciates learning and enables that environment</v>
      </c>
      <c r="M16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78" s="1" t="str">
        <f ca="1">IFERROR(__xludf.DUMMYFUNCTION("""COMPUTED_VALUE"""),"Manager who clearly describes what she/he needs")</f>
        <v>Manager who clearly describes what she/he needs</v>
      </c>
      <c r="P167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78" s="1"/>
    </row>
    <row r="1679" spans="1:17" ht="13.2" x14ac:dyDescent="0.25">
      <c r="A1679" s="2">
        <f ca="1">IFERROR(__xludf.DUMMYFUNCTION("""COMPUTED_VALUE"""),45046.9121014236)</f>
        <v>45046.912101423601</v>
      </c>
      <c r="B1679" s="1" t="str">
        <f ca="1">IFERROR(__xludf.DUMMYFUNCTION("""COMPUTED_VALUE"""),"India")</f>
        <v>India</v>
      </c>
      <c r="C1679" s="1">
        <f ca="1">IFERROR(__xludf.DUMMYFUNCTION("""COMPUTED_VALUE"""),482001)</f>
        <v>482001</v>
      </c>
      <c r="D1679" s="3" t="str">
        <f ca="1">IFERROR(__xludf.DUMMYFUNCTION("""COMPUTED_VALUE"""),"Male")</f>
        <v>Male</v>
      </c>
      <c r="E1679" s="1" t="str">
        <f ca="1">IFERROR(__xludf.DUMMYFUNCTION("""COMPUTED_VALUE"""),"Social Media like LinkedIn")</f>
        <v>Social Media like LinkedIn</v>
      </c>
      <c r="F1679" s="1" t="str">
        <f ca="1">IFERROR(__xludf.DUMMYFUNCTION("""COMPUTED_VALUE"""),"Yes, I will earn and do that")</f>
        <v>Yes, I will earn and do that</v>
      </c>
      <c r="G1679" s="1" t="str">
        <f ca="1">IFERROR(__xludf.DUMMYFUNCTION("""COMPUTED_VALUE"""),"Will work for 3 years or more")</f>
        <v>Will work for 3 years or more</v>
      </c>
      <c r="H1679" s="1" t="str">
        <f ca="1">IFERROR(__xludf.DUMMYFUNCTION("""COMPUTED_VALUE"""),"No")</f>
        <v>No</v>
      </c>
      <c r="I1679" s="1" t="str">
        <f ca="1">IFERROR(__xludf.DUMMYFUNCTION("""COMPUTED_VALUE"""),"Will work for them")</f>
        <v>Will work for them</v>
      </c>
      <c r="J1679" s="1">
        <f ca="1">IFERROR(__xludf.DUMMYFUNCTION("""COMPUTED_VALUE"""),3)</f>
        <v>3</v>
      </c>
      <c r="K1679" s="1" t="str">
        <f ca="1">IFERROR(__xludf.DUMMYFUNCTION("""COMPUTED_VALUE"""),"Hybrid Working Environment with more than 15 days a month at office")</f>
        <v>Hybrid Working Environment with more than 15 days a month at office</v>
      </c>
      <c r="L1679" s="1" t="str">
        <f ca="1">IFERROR(__xludf.DUMMYFUNCTION("""COMPUTED_VALUE"""),"Employer who appreciates learning and enables that environment")</f>
        <v>Employer who appreciates learning and enables that environment</v>
      </c>
      <c r="M16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9"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679" s="1" t="str">
        <f ca="1">IFERROR(__xludf.DUMMYFUNCTION("""COMPUTED_VALUE"""),"Manager who sets goal and helps me achieve it")</f>
        <v>Manager who sets goal and helps me achieve it</v>
      </c>
      <c r="P1679"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679" s="1"/>
    </row>
    <row r="1680" spans="1:17" ht="13.2" x14ac:dyDescent="0.25">
      <c r="A1680" s="2">
        <f ca="1">IFERROR(__xludf.DUMMYFUNCTION("""COMPUTED_VALUE"""),45046.9198481365)</f>
        <v>45046.919848136502</v>
      </c>
      <c r="B1680" s="1" t="str">
        <f ca="1">IFERROR(__xludf.DUMMYFUNCTION("""COMPUTED_VALUE"""),"UAE")</f>
        <v>UAE</v>
      </c>
      <c r="C1680" s="1" t="str">
        <f ca="1">IFERROR(__xludf.DUMMYFUNCTION("""COMPUTED_VALUE"""),"06511")</f>
        <v>06511</v>
      </c>
      <c r="D1680" s="3" t="str">
        <f ca="1">IFERROR(__xludf.DUMMYFUNCTION("""COMPUTED_VALUE"""),"Male")</f>
        <v>Male</v>
      </c>
      <c r="E1680" s="1" t="str">
        <f ca="1">IFERROR(__xludf.DUMMYFUNCTION("""COMPUTED_VALUE"""),"People who have changed the world for better")</f>
        <v>People who have changed the world for better</v>
      </c>
      <c r="F1680" s="1" t="str">
        <f ca="1">IFERROR(__xludf.DUMMYFUNCTION("""COMPUTED_VALUE"""),"No, But if someone could bare the cost I will")</f>
        <v>No, But if someone could bare the cost I will</v>
      </c>
      <c r="G1680" s="1" t="str">
        <f ca="1">IFERROR(__xludf.DUMMYFUNCTION("""COMPUTED_VALUE"""),"Will work for 3 years or more")</f>
        <v>Will work for 3 years or more</v>
      </c>
      <c r="H1680" s="1" t="str">
        <f ca="1">IFERROR(__xludf.DUMMYFUNCTION("""COMPUTED_VALUE"""),"No")</f>
        <v>No</v>
      </c>
      <c r="I1680" s="1" t="str">
        <f ca="1">IFERROR(__xludf.DUMMYFUNCTION("""COMPUTED_VALUE"""),"Will NOT work for them")</f>
        <v>Will NOT work for them</v>
      </c>
      <c r="J1680" s="1">
        <f ca="1">IFERROR(__xludf.DUMMYFUNCTION("""COMPUTED_VALUE"""),10)</f>
        <v>10</v>
      </c>
      <c r="K1680" s="1" t="str">
        <f ca="1">IFERROR(__xludf.DUMMYFUNCTION("""COMPUTED_VALUE"""),"Every Day Office Environment")</f>
        <v>Every Day Office Environment</v>
      </c>
      <c r="L1680" s="1" t="str">
        <f ca="1">IFERROR(__xludf.DUMMYFUNCTION("""COMPUTED_VALUE"""),"Employer who rewards learning and enables that environment")</f>
        <v>Employer who rewards learning and enables that environment</v>
      </c>
      <c r="M168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80"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680" s="1" t="str">
        <f ca="1">IFERROR(__xludf.DUMMYFUNCTION("""COMPUTED_VALUE"""),"Manager who explains what is expected, sets a goal and helps achieve it")</f>
        <v>Manager who explains what is expected, sets a goal and helps achieve it</v>
      </c>
      <c r="P1680" s="1" t="str">
        <f ca="1">IFERROR(__xludf.DUMMYFUNCTION("""COMPUTED_VALUE"""),"Work with 5 to 6 people in my team")</f>
        <v>Work with 5 to 6 people in my team</v>
      </c>
      <c r="Q1680" s="1"/>
    </row>
    <row r="1681" spans="1:17" ht="13.2" x14ac:dyDescent="0.25">
      <c r="A1681" s="2">
        <f ca="1">IFERROR(__xludf.DUMMYFUNCTION("""COMPUTED_VALUE"""),45046.9317352083)</f>
        <v>45046.931735208302</v>
      </c>
      <c r="B1681" s="1" t="str">
        <f ca="1">IFERROR(__xludf.DUMMYFUNCTION("""COMPUTED_VALUE"""),"India")</f>
        <v>India</v>
      </c>
      <c r="C1681" s="1">
        <f ca="1">IFERROR(__xludf.DUMMYFUNCTION("""COMPUTED_VALUE"""),500094)</f>
        <v>500094</v>
      </c>
      <c r="D1681" s="3" t="str">
        <f ca="1">IFERROR(__xludf.DUMMYFUNCTION("""COMPUTED_VALUE"""),"Male")</f>
        <v>Male</v>
      </c>
      <c r="E1681" s="1" t="str">
        <f ca="1">IFERROR(__xludf.DUMMYFUNCTION("""COMPUTED_VALUE"""),"My Parents")</f>
        <v>My Parents</v>
      </c>
      <c r="F1681" s="1" t="str">
        <f ca="1">IFERROR(__xludf.DUMMYFUNCTION("""COMPUTED_VALUE"""),"No, But if someone could bare the cost I will")</f>
        <v>No, But if someone could bare the cost I will</v>
      </c>
      <c r="G1681" s="1" t="str">
        <f ca="1">IFERROR(__xludf.DUMMYFUNCTION("""COMPUTED_VALUE"""),"Will work for 3 years or more")</f>
        <v>Will work for 3 years or more</v>
      </c>
      <c r="H1681" s="1" t="str">
        <f ca="1">IFERROR(__xludf.DUMMYFUNCTION("""COMPUTED_VALUE"""),"Yes")</f>
        <v>Yes</v>
      </c>
      <c r="I1681" s="1" t="str">
        <f ca="1">IFERROR(__xludf.DUMMYFUNCTION("""COMPUTED_VALUE"""),"Will work for them")</f>
        <v>Will work for them</v>
      </c>
      <c r="J1681" s="1">
        <f ca="1">IFERROR(__xludf.DUMMYFUNCTION("""COMPUTED_VALUE"""),5)</f>
        <v>5</v>
      </c>
      <c r="K1681" s="1" t="str">
        <f ca="1">IFERROR(__xludf.DUMMYFUNCTION("""COMPUTED_VALUE"""),"Every Day Office Environment")</f>
        <v>Every Day Office Environment</v>
      </c>
      <c r="L1681" s="1" t="str">
        <f ca="1">IFERROR(__xludf.DUMMYFUNCTION("""COMPUTED_VALUE"""),"Employer who appreciates learning and enables that environment")</f>
        <v>Employer who appreciates learning and enables that environment</v>
      </c>
      <c r="M16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81"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681" s="1" t="str">
        <f ca="1">IFERROR(__xludf.DUMMYFUNCTION("""COMPUTED_VALUE"""),"Manager who explains what is expected, sets a goal and helps achieve it")</f>
        <v>Manager who explains what is expected, sets a goal and helps achieve it</v>
      </c>
      <c r="P1681" s="1" t="str">
        <f ca="1">IFERROR(__xludf.DUMMYFUNCTION("""COMPUTED_VALUE"""),"Work with 5 to 6 people in my team")</f>
        <v>Work with 5 to 6 people in my team</v>
      </c>
      <c r="Q1681" s="1"/>
    </row>
    <row r="1682" spans="1:17" ht="13.2" x14ac:dyDescent="0.25">
      <c r="A1682" s="2">
        <f ca="1">IFERROR(__xludf.DUMMYFUNCTION("""COMPUTED_VALUE"""),45046.9529843518)</f>
        <v>45046.952984351803</v>
      </c>
      <c r="B1682" s="1" t="str">
        <f ca="1">IFERROR(__xludf.DUMMYFUNCTION("""COMPUTED_VALUE"""),"India")</f>
        <v>India</v>
      </c>
      <c r="C1682" s="1">
        <f ca="1">IFERROR(__xludf.DUMMYFUNCTION("""COMPUTED_VALUE"""),454001)</f>
        <v>454001</v>
      </c>
      <c r="D1682" s="3" t="str">
        <f ca="1">IFERROR(__xludf.DUMMYFUNCTION("""COMPUTED_VALUE"""),"Male")</f>
        <v>Male</v>
      </c>
      <c r="E1682" s="1" t="str">
        <f ca="1">IFERROR(__xludf.DUMMYFUNCTION("""COMPUTED_VALUE"""),"My Parents")</f>
        <v>My Parents</v>
      </c>
      <c r="F1682" s="1" t="str">
        <f ca="1">IFERROR(__xludf.DUMMYFUNCTION("""COMPUTED_VALUE"""),"No, But if someone could bare the cost I will")</f>
        <v>No, But if someone could bare the cost I will</v>
      </c>
      <c r="G1682" s="1" t="str">
        <f ca="1">IFERROR(__xludf.DUMMYFUNCTION("""COMPUTED_VALUE"""),"Will work for 3 years or more")</f>
        <v>Will work for 3 years or more</v>
      </c>
      <c r="H1682" s="1" t="str">
        <f ca="1">IFERROR(__xludf.DUMMYFUNCTION("""COMPUTED_VALUE"""),"No")</f>
        <v>No</v>
      </c>
      <c r="I1682" s="1" t="str">
        <f ca="1">IFERROR(__xludf.DUMMYFUNCTION("""COMPUTED_VALUE"""),"Will NOT work for them")</f>
        <v>Will NOT work for them</v>
      </c>
      <c r="J1682" s="1">
        <f ca="1">IFERROR(__xludf.DUMMYFUNCTION("""COMPUTED_VALUE"""),7)</f>
        <v>7</v>
      </c>
      <c r="K1682" s="1" t="str">
        <f ca="1">IFERROR(__xludf.DUMMYFUNCTION("""COMPUTED_VALUE"""),"Hybrid Working Environment with more than 15 days a month at office")</f>
        <v>Hybrid Working Environment with more than 15 days a month at office</v>
      </c>
      <c r="L1682" s="1" t="str">
        <f ca="1">IFERROR(__xludf.DUMMYFUNCTION("""COMPUTED_VALUE"""),"Employer who pushes your limits by enabling an learning environment, and rewards you at the end")</f>
        <v>Employer who pushes your limits by enabling an learning environment, and rewards you at the end</v>
      </c>
      <c r="M168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8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682" s="1" t="str">
        <f ca="1">IFERROR(__xludf.DUMMYFUNCTION("""COMPUTED_VALUE"""),"Manager who explains what is expected, sets a goal and helps achieve it")</f>
        <v>Manager who explains what is expected, sets a goal and helps achieve it</v>
      </c>
      <c r="P1682" s="1" t="str">
        <f ca="1">IFERROR(__xludf.DUMMYFUNCTION("""COMPUTED_VALUE"""),"Work with 5 to 6 people in my team")</f>
        <v>Work with 5 to 6 people in my team</v>
      </c>
      <c r="Q1682" s="1"/>
    </row>
    <row r="1683" spans="1:17" ht="13.2" x14ac:dyDescent="0.25">
      <c r="A1683" s="2">
        <f ca="1">IFERROR(__xludf.DUMMYFUNCTION("""COMPUTED_VALUE"""),45046.9943983449)</f>
        <v>45046.994398344897</v>
      </c>
      <c r="B1683" s="1" t="str">
        <f ca="1">IFERROR(__xludf.DUMMYFUNCTION("""COMPUTED_VALUE"""),"India")</f>
        <v>India</v>
      </c>
      <c r="C1683" s="1">
        <f ca="1">IFERROR(__xludf.DUMMYFUNCTION("""COMPUTED_VALUE"""),607001)</f>
        <v>607001</v>
      </c>
      <c r="D1683" s="3" t="str">
        <f ca="1">IFERROR(__xludf.DUMMYFUNCTION("""COMPUTED_VALUE"""),"Male")</f>
        <v>Male</v>
      </c>
      <c r="E1683" s="1" t="str">
        <f ca="1">IFERROR(__xludf.DUMMYFUNCTION("""COMPUTED_VALUE"""),"Influencers who had successful careers")</f>
        <v>Influencers who had successful careers</v>
      </c>
      <c r="F1683" s="1" t="str">
        <f ca="1">IFERROR(__xludf.DUMMYFUNCTION("""COMPUTED_VALUE"""),"Yes, I will earn and do that")</f>
        <v>Yes, I will earn and do that</v>
      </c>
      <c r="G1683" s="1" t="str">
        <f ca="1">IFERROR(__xludf.DUMMYFUNCTION("""COMPUTED_VALUE"""),"Will work for 3 years or more")</f>
        <v>Will work for 3 years or more</v>
      </c>
      <c r="H1683" s="1" t="str">
        <f ca="1">IFERROR(__xludf.DUMMYFUNCTION("""COMPUTED_VALUE"""),"No")</f>
        <v>No</v>
      </c>
      <c r="I1683" s="1" t="str">
        <f ca="1">IFERROR(__xludf.DUMMYFUNCTION("""COMPUTED_VALUE"""),"Will NOT work for them")</f>
        <v>Will NOT work for them</v>
      </c>
      <c r="J1683" s="1">
        <f ca="1">IFERROR(__xludf.DUMMYFUNCTION("""COMPUTED_VALUE"""),6)</f>
        <v>6</v>
      </c>
      <c r="K1683" s="1" t="str">
        <f ca="1">IFERROR(__xludf.DUMMYFUNCTION("""COMPUTED_VALUE"""),"Hybrid Working Environment with more than 15 days a month at office")</f>
        <v>Hybrid Working Environment with more than 15 days a month at office</v>
      </c>
      <c r="L1683" s="1" t="str">
        <f ca="1">IFERROR(__xludf.DUMMYFUNCTION("""COMPUTED_VALUE"""),"Employer who rewards learning and enables that environment")</f>
        <v>Employer who rewards learning and enables that environment</v>
      </c>
      <c r="M16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83" s="1" t="str">
        <f ca="1">IFERROR(__xludf.DUMMYFUNCTION("""COMPUTED_VALUE"""),"Design and Creative strategy in any company, Work as a freelancer and do my thing my way, Entrepreneur or Start Up, I Want to sell things/Sales")</f>
        <v>Design and Creative strategy in any company, Work as a freelancer and do my thing my way, Entrepreneur or Start Up, I Want to sell things/Sales</v>
      </c>
      <c r="O1683" s="1" t="str">
        <f ca="1">IFERROR(__xludf.DUMMYFUNCTION("""COMPUTED_VALUE"""),"Manager who explains what is expected, sets a goal and helps achieve it")</f>
        <v>Manager who explains what is expected, sets a goal and helps achieve it</v>
      </c>
      <c r="P1683" s="1" t="str">
        <f ca="1">IFERROR(__xludf.DUMMYFUNCTION("""COMPUTED_VALUE"""),"Work with 5 to 6 people in my team")</f>
        <v>Work with 5 to 6 people in my team</v>
      </c>
      <c r="Q1683" s="1"/>
    </row>
    <row r="1684" spans="1:17" ht="13.2" x14ac:dyDescent="0.25">
      <c r="A1684" s="2">
        <f ca="1">IFERROR(__xludf.DUMMYFUNCTION("""COMPUTED_VALUE"""),45046.9973956712)</f>
        <v>45046.997395671198</v>
      </c>
      <c r="B1684" s="1" t="str">
        <f ca="1">IFERROR(__xludf.DUMMYFUNCTION("""COMPUTED_VALUE"""),"India")</f>
        <v>India</v>
      </c>
      <c r="C1684" s="1">
        <f ca="1">IFERROR(__xludf.DUMMYFUNCTION("""COMPUTED_VALUE"""),621211)</f>
        <v>621211</v>
      </c>
      <c r="D1684" s="3" t="str">
        <f ca="1">IFERROR(__xludf.DUMMYFUNCTION("""COMPUTED_VALUE"""),"Male")</f>
        <v>Male</v>
      </c>
      <c r="E1684" s="1" t="str">
        <f ca="1">IFERROR(__xludf.DUMMYFUNCTION("""COMPUTED_VALUE"""),"Influencers who had successful careers")</f>
        <v>Influencers who had successful careers</v>
      </c>
      <c r="F1684" s="1" t="str">
        <f ca="1">IFERROR(__xludf.DUMMYFUNCTION("""COMPUTED_VALUE"""),"Yes, I will earn and do that")</f>
        <v>Yes, I will earn and do that</v>
      </c>
      <c r="G1684" s="1" t="str">
        <f ca="1">IFERROR(__xludf.DUMMYFUNCTION("""COMPUTED_VALUE"""),"This will be hard to do, but if it is the right company I would try")</f>
        <v>This will be hard to do, but if it is the right company I would try</v>
      </c>
      <c r="H1684" s="1" t="str">
        <f ca="1">IFERROR(__xludf.DUMMYFUNCTION("""COMPUTED_VALUE"""),"Yes")</f>
        <v>Yes</v>
      </c>
      <c r="I1684" s="1" t="str">
        <f ca="1">IFERROR(__xludf.DUMMYFUNCTION("""COMPUTED_VALUE"""),"Will work for them")</f>
        <v>Will work for them</v>
      </c>
      <c r="J1684" s="1">
        <f ca="1">IFERROR(__xludf.DUMMYFUNCTION("""COMPUTED_VALUE"""),5)</f>
        <v>5</v>
      </c>
      <c r="K1684" s="1" t="str">
        <f ca="1">IFERROR(__xludf.DUMMYFUNCTION("""COMPUTED_VALUE"""),"Every Day Office Environment")</f>
        <v>Every Day Office Environment</v>
      </c>
      <c r="L1684" s="1" t="str">
        <f ca="1">IFERROR(__xludf.DUMMYFUNCTION("""COMPUTED_VALUE"""),"Employer who appreciates learning and enables that environment")</f>
        <v>Employer who appreciates learning and enables that environment</v>
      </c>
      <c r="M16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684"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684" s="1" t="str">
        <f ca="1">IFERROR(__xludf.DUMMYFUNCTION("""COMPUTED_VALUE"""),"Manager who sets targets and expects me to achieve it")</f>
        <v>Manager who sets targets and expects me to achieve it</v>
      </c>
      <c r="P1684" s="1" t="str">
        <f ca="1">IFERROR(__xludf.DUMMYFUNCTION("""COMPUTED_VALUE"""),"Work alone")</f>
        <v>Work alone</v>
      </c>
      <c r="Q1684" s="1"/>
    </row>
    <row r="1685" spans="1:17" ht="13.2" x14ac:dyDescent="0.25">
      <c r="A1685" s="2">
        <f ca="1">IFERROR(__xludf.DUMMYFUNCTION("""COMPUTED_VALUE"""),45047.0024111111)</f>
        <v>45047.002411111098</v>
      </c>
      <c r="B1685" s="1" t="str">
        <f ca="1">IFERROR(__xludf.DUMMYFUNCTION("""COMPUTED_VALUE"""),"India")</f>
        <v>India</v>
      </c>
      <c r="C1685" s="1">
        <f ca="1">IFERROR(__xludf.DUMMYFUNCTION("""COMPUTED_VALUE"""),395006)</f>
        <v>395006</v>
      </c>
      <c r="D1685" s="3" t="str">
        <f ca="1">IFERROR(__xludf.DUMMYFUNCTION("""COMPUTED_VALUE"""),"Male")</f>
        <v>Male</v>
      </c>
      <c r="E1685" s="1" t="str">
        <f ca="1">IFERROR(__xludf.DUMMYFUNCTION("""COMPUTED_VALUE"""),"People who have changed the world for better")</f>
        <v>People who have changed the world for better</v>
      </c>
      <c r="F1685" s="1" t="str">
        <f ca="1">IFERROR(__xludf.DUMMYFUNCTION("""COMPUTED_VALUE"""),"No I would not be pursuing Higher Education outside of India")</f>
        <v>No I would not be pursuing Higher Education outside of India</v>
      </c>
      <c r="G1685" s="1" t="str">
        <f ca="1">IFERROR(__xludf.DUMMYFUNCTION("""COMPUTED_VALUE"""),"This will be hard to do, but if it is the right company I would try")</f>
        <v>This will be hard to do, but if it is the right company I would try</v>
      </c>
      <c r="H1685" s="1" t="str">
        <f ca="1">IFERROR(__xludf.DUMMYFUNCTION("""COMPUTED_VALUE"""),"No")</f>
        <v>No</v>
      </c>
      <c r="I1685" s="1" t="str">
        <f ca="1">IFERROR(__xludf.DUMMYFUNCTION("""COMPUTED_VALUE"""),"Will NOT work for them")</f>
        <v>Will NOT work for them</v>
      </c>
      <c r="J1685" s="1">
        <f ca="1">IFERROR(__xludf.DUMMYFUNCTION("""COMPUTED_VALUE"""),5)</f>
        <v>5</v>
      </c>
      <c r="K1685" s="1" t="str">
        <f ca="1">IFERROR(__xludf.DUMMYFUNCTION("""COMPUTED_VALUE"""),"Hybrid Working Environment with more than 15 days a month at office")</f>
        <v>Hybrid Working Environment with more than 15 days a month at office</v>
      </c>
      <c r="L1685" s="1" t="str">
        <f ca="1">IFERROR(__xludf.DUMMYFUNCTION("""COMPUTED_VALUE"""),"Employer who appreciates learning and enables that environment")</f>
        <v>Employer who appreciates learning and enables that environment</v>
      </c>
      <c r="M168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85"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1685" s="1" t="str">
        <f ca="1">IFERROR(__xludf.DUMMYFUNCTION("""COMPUTED_VALUE"""),"Manager who clearly describes what she/he needs")</f>
        <v>Manager who clearly describes what she/he needs</v>
      </c>
      <c r="P1685" s="1" t="str">
        <f ca="1">IFERROR(__xludf.DUMMYFUNCTION("""COMPUTED_VALUE"""),"Work with 5 to 6 people in my team")</f>
        <v>Work with 5 to 6 people in my team</v>
      </c>
      <c r="Q1685" s="1"/>
    </row>
    <row r="1686" spans="1:17" ht="13.2" x14ac:dyDescent="0.25">
      <c r="A1686" s="2">
        <f ca="1">IFERROR(__xludf.DUMMYFUNCTION("""COMPUTED_VALUE"""),45047.0057332638)</f>
        <v>45047.005733263803</v>
      </c>
      <c r="B1686" s="1" t="str">
        <f ca="1">IFERROR(__xludf.DUMMYFUNCTION("""COMPUTED_VALUE"""),"India")</f>
        <v>India</v>
      </c>
      <c r="C1686" s="1">
        <f ca="1">IFERROR(__xludf.DUMMYFUNCTION("""COMPUTED_VALUE"""),576213)</f>
        <v>576213</v>
      </c>
      <c r="D1686" s="3" t="str">
        <f ca="1">IFERROR(__xludf.DUMMYFUNCTION("""COMPUTED_VALUE"""),"Female")</f>
        <v>Female</v>
      </c>
      <c r="E1686" s="1" t="str">
        <f ca="1">IFERROR(__xludf.DUMMYFUNCTION("""COMPUTED_VALUE"""),"My Parents")</f>
        <v>My Parents</v>
      </c>
      <c r="F1686" s="1" t="str">
        <f ca="1">IFERROR(__xludf.DUMMYFUNCTION("""COMPUTED_VALUE"""),"Yes, I will earn and do that")</f>
        <v>Yes, I will earn and do that</v>
      </c>
      <c r="G1686" s="1" t="str">
        <f ca="1">IFERROR(__xludf.DUMMYFUNCTION("""COMPUTED_VALUE"""),"This will be hard to do, but if it is the right company I would try")</f>
        <v>This will be hard to do, but if it is the right company I would try</v>
      </c>
      <c r="H1686" s="1" t="str">
        <f ca="1">IFERROR(__xludf.DUMMYFUNCTION("""COMPUTED_VALUE"""),"Yes")</f>
        <v>Yes</v>
      </c>
      <c r="I1686" s="1" t="str">
        <f ca="1">IFERROR(__xludf.DUMMYFUNCTION("""COMPUTED_VALUE"""),"Will work for them")</f>
        <v>Will work for them</v>
      </c>
      <c r="J1686" s="1">
        <f ca="1">IFERROR(__xludf.DUMMYFUNCTION("""COMPUTED_VALUE"""),9)</f>
        <v>9</v>
      </c>
      <c r="K1686" s="1" t="str">
        <f ca="1">IFERROR(__xludf.DUMMYFUNCTION("""COMPUTED_VALUE"""),"Fully Remote with No option to visit offices")</f>
        <v>Fully Remote with No option to visit offices</v>
      </c>
      <c r="L1686" s="1" t="str">
        <f ca="1">IFERROR(__xludf.DUMMYFUNCTION("""COMPUTED_VALUE"""),"Employer who pushes your limits by enabling an learning environment, and rewards you at the end")</f>
        <v>Employer who pushes your limits by enabling an learning environment, and rewards you at the end</v>
      </c>
      <c r="M168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8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86" s="1" t="str">
        <f ca="1">IFERROR(__xludf.DUMMYFUNCTION("""COMPUTED_VALUE"""),"Manager who explains what is expected, sets a goal and helps achieve it")</f>
        <v>Manager who explains what is expected, sets a goal and helps achieve it</v>
      </c>
      <c r="P1686" s="1" t="str">
        <f ca="1">IFERROR(__xludf.DUMMYFUNCTION("""COMPUTED_VALUE"""),"Work with 2 to 3 people in my team, Work with 5 to 6 people in my team")</f>
        <v>Work with 2 to 3 people in my team, Work with 5 to 6 people in my team</v>
      </c>
      <c r="Q1686" s="1"/>
    </row>
    <row r="1687" spans="1:17" ht="13.2" x14ac:dyDescent="0.25">
      <c r="A1687" s="2">
        <f ca="1">IFERROR(__xludf.DUMMYFUNCTION("""COMPUTED_VALUE"""),45047.0214135879)</f>
        <v>45047.0214135879</v>
      </c>
      <c r="B1687" s="1" t="str">
        <f ca="1">IFERROR(__xludf.DUMMYFUNCTION("""COMPUTED_VALUE"""),"India")</f>
        <v>India</v>
      </c>
      <c r="C1687" s="1">
        <f ca="1">IFERROR(__xludf.DUMMYFUNCTION("""COMPUTED_VALUE"""),456010)</f>
        <v>456010</v>
      </c>
      <c r="D1687" s="3" t="str">
        <f ca="1">IFERROR(__xludf.DUMMYFUNCTION("""COMPUTED_VALUE"""),"Male")</f>
        <v>Male</v>
      </c>
      <c r="E1687" s="1" t="str">
        <f ca="1">IFERROR(__xludf.DUMMYFUNCTION("""COMPUTED_VALUE"""),"People who have changed the world for better")</f>
        <v>People who have changed the world for better</v>
      </c>
      <c r="F1687" s="1" t="str">
        <f ca="1">IFERROR(__xludf.DUMMYFUNCTION("""COMPUTED_VALUE"""),"No I would not be pursuing Higher Education outside of India")</f>
        <v>No I would not be pursuing Higher Education outside of India</v>
      </c>
      <c r="G1687" s="1" t="str">
        <f ca="1">IFERROR(__xludf.DUMMYFUNCTION("""COMPUTED_VALUE"""),"Will work for 3 years or more")</f>
        <v>Will work for 3 years or more</v>
      </c>
      <c r="H1687" s="1" t="str">
        <f ca="1">IFERROR(__xludf.DUMMYFUNCTION("""COMPUTED_VALUE"""),"No")</f>
        <v>No</v>
      </c>
      <c r="I1687" s="1" t="str">
        <f ca="1">IFERROR(__xludf.DUMMYFUNCTION("""COMPUTED_VALUE"""),"Will NOT work for them")</f>
        <v>Will NOT work for them</v>
      </c>
      <c r="J1687" s="1">
        <f ca="1">IFERROR(__xludf.DUMMYFUNCTION("""COMPUTED_VALUE"""),6)</f>
        <v>6</v>
      </c>
      <c r="K1687" s="1" t="str">
        <f ca="1">IFERROR(__xludf.DUMMYFUNCTION("""COMPUTED_VALUE"""),"Hybrid Working Environment with more than 15 days a month at office")</f>
        <v>Hybrid Working Environment with more than 15 days a month at office</v>
      </c>
      <c r="L1687" s="1" t="str">
        <f ca="1">IFERROR(__xludf.DUMMYFUNCTION("""COMPUTED_VALUE"""),"Employer who rewards learning and enables that environment")</f>
        <v>Employer who rewards learning and enables that environment</v>
      </c>
      <c r="M16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8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687" s="1" t="str">
        <f ca="1">IFERROR(__xludf.DUMMYFUNCTION("""COMPUTED_VALUE"""),"Manager who explains what is expected, sets a goal and helps achieve it")</f>
        <v>Manager who explains what is expected, sets a goal and helps achieve it</v>
      </c>
      <c r="P1687" s="1" t="str">
        <f ca="1">IFERROR(__xludf.DUMMYFUNCTION("""COMPUTED_VALUE"""),"Work with 5 to 6 people in my team")</f>
        <v>Work with 5 to 6 people in my team</v>
      </c>
      <c r="Q1687" s="1"/>
    </row>
    <row r="1688" spans="1:17" ht="13.2" x14ac:dyDescent="0.25">
      <c r="A1688" s="2">
        <f ca="1">IFERROR(__xludf.DUMMYFUNCTION("""COMPUTED_VALUE"""),45047.0459471527)</f>
        <v>45047.045947152699</v>
      </c>
      <c r="B1688" s="1" t="str">
        <f ca="1">IFERROR(__xludf.DUMMYFUNCTION("""COMPUTED_VALUE"""),"India")</f>
        <v>India</v>
      </c>
      <c r="C1688" s="1">
        <f ca="1">IFERROR(__xludf.DUMMYFUNCTION("""COMPUTED_VALUE"""),500019)</f>
        <v>500019</v>
      </c>
      <c r="D1688" s="3" t="str">
        <f ca="1">IFERROR(__xludf.DUMMYFUNCTION("""COMPUTED_VALUE"""),"Male")</f>
        <v>Male</v>
      </c>
      <c r="E1688" s="1" t="str">
        <f ca="1">IFERROR(__xludf.DUMMYFUNCTION("""COMPUTED_VALUE"""),"My Parents")</f>
        <v>My Parents</v>
      </c>
      <c r="F1688" s="1" t="str">
        <f ca="1">IFERROR(__xludf.DUMMYFUNCTION("""COMPUTED_VALUE"""),"Yes, I will earn and do that")</f>
        <v>Yes, I will earn and do that</v>
      </c>
      <c r="G1688" s="1" t="str">
        <f ca="1">IFERROR(__xludf.DUMMYFUNCTION("""COMPUTED_VALUE"""),"This will be hard to do, but if it is the right company I would try")</f>
        <v>This will be hard to do, but if it is the right company I would try</v>
      </c>
      <c r="H1688" s="1" t="str">
        <f ca="1">IFERROR(__xludf.DUMMYFUNCTION("""COMPUTED_VALUE"""),"No")</f>
        <v>No</v>
      </c>
      <c r="I1688" s="1" t="str">
        <f ca="1">IFERROR(__xludf.DUMMYFUNCTION("""COMPUTED_VALUE"""),"Will NOT work for them")</f>
        <v>Will NOT work for them</v>
      </c>
      <c r="J1688" s="1">
        <f ca="1">IFERROR(__xludf.DUMMYFUNCTION("""COMPUTED_VALUE"""),1)</f>
        <v>1</v>
      </c>
      <c r="K1688" s="1" t="str">
        <f ca="1">IFERROR(__xludf.DUMMYFUNCTION("""COMPUTED_VALUE"""),"Hybrid Working Environment with more than 15 days a month at office")</f>
        <v>Hybrid Working Environment with more than 15 days a month at office</v>
      </c>
      <c r="L1688" s="1" t="str">
        <f ca="1">IFERROR(__xludf.DUMMYFUNCTION("""COMPUTED_VALUE"""),"Employer who pushes your limits by enabling an learning environment, and rewards you at the end")</f>
        <v>Employer who pushes your limits by enabling an learning environment, and rewards you at the end</v>
      </c>
      <c r="M1688" s="1" t="str">
        <f ca="1">IFERROR(__xludf.DUMMYFUNCTION("""COMPUTED_VALUE"""),"Instructor or Expert Learning Programs, Self Purchased Course from External Platforms, Manager Teaching you")</f>
        <v>Instructor or Expert Learning Programs, Self Purchased Course from External Platforms, Manager Teaching you</v>
      </c>
      <c r="N168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88" s="1" t="str">
        <f ca="1">IFERROR(__xludf.DUMMYFUNCTION("""COMPUTED_VALUE"""),"Manager who clearly describes what she/he needs")</f>
        <v>Manager who clearly describes what she/he needs</v>
      </c>
      <c r="P1688" s="1" t="str">
        <f ca="1">IFERROR(__xludf.DUMMYFUNCTION("""COMPUTED_VALUE"""),"Work with 2 to 3 people in my team")</f>
        <v>Work with 2 to 3 people in my team</v>
      </c>
      <c r="Q1688" s="1"/>
    </row>
    <row r="1689" spans="1:17" ht="13.2" x14ac:dyDescent="0.25">
      <c r="A1689" s="2">
        <f ca="1">IFERROR(__xludf.DUMMYFUNCTION("""COMPUTED_VALUE"""),45047.075836956)</f>
        <v>45047.075836955999</v>
      </c>
      <c r="B1689" s="1" t="str">
        <f ca="1">IFERROR(__xludf.DUMMYFUNCTION("""COMPUTED_VALUE"""),"India")</f>
        <v>India</v>
      </c>
      <c r="C1689" s="1">
        <f ca="1">IFERROR(__xludf.DUMMYFUNCTION("""COMPUTED_VALUE"""),452001)</f>
        <v>452001</v>
      </c>
      <c r="D1689" s="3" t="str">
        <f ca="1">IFERROR(__xludf.DUMMYFUNCTION("""COMPUTED_VALUE"""),"Male")</f>
        <v>Male</v>
      </c>
      <c r="E1689" s="1" t="str">
        <f ca="1">IFERROR(__xludf.DUMMYFUNCTION("""COMPUTED_VALUE"""),"Social Media like LinkedIn")</f>
        <v>Social Media like LinkedIn</v>
      </c>
      <c r="F1689" s="1" t="str">
        <f ca="1">IFERROR(__xludf.DUMMYFUNCTION("""COMPUTED_VALUE"""),"Yes, I will earn and do that")</f>
        <v>Yes, I will earn and do that</v>
      </c>
      <c r="G1689" s="1" t="str">
        <f ca="1">IFERROR(__xludf.DUMMYFUNCTION("""COMPUTED_VALUE"""),"Will work for 3 years or more")</f>
        <v>Will work for 3 years or more</v>
      </c>
      <c r="H1689" s="1" t="str">
        <f ca="1">IFERROR(__xludf.DUMMYFUNCTION("""COMPUTED_VALUE"""),"Yes")</f>
        <v>Yes</v>
      </c>
      <c r="I1689" s="1" t="str">
        <f ca="1">IFERROR(__xludf.DUMMYFUNCTION("""COMPUTED_VALUE"""),"Will NOT work for them")</f>
        <v>Will NOT work for them</v>
      </c>
      <c r="J1689" s="1">
        <f ca="1">IFERROR(__xludf.DUMMYFUNCTION("""COMPUTED_VALUE"""),10)</f>
        <v>10</v>
      </c>
      <c r="K1689" s="1" t="str">
        <f ca="1">IFERROR(__xludf.DUMMYFUNCTION("""COMPUTED_VALUE"""),"Hybrid Working Environment with more than 15 days a month at office")</f>
        <v>Hybrid Working Environment with more than 15 days a month at office</v>
      </c>
      <c r="L1689" s="1" t="str">
        <f ca="1">IFERROR(__xludf.DUMMYFUNCTION("""COMPUTED_VALUE"""),"Employer who appreciates learning and enables that environment")</f>
        <v>Employer who appreciates learning and enables that environment</v>
      </c>
      <c r="M168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89"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689" s="1" t="str">
        <f ca="1">IFERROR(__xludf.DUMMYFUNCTION("""COMPUTED_VALUE"""),"Manager who explains what is expected, sets a goal and helps achieve it")</f>
        <v>Manager who explains what is expected, sets a goal and helps achieve it</v>
      </c>
      <c r="P1689" s="1" t="str">
        <f ca="1">IFERROR(__xludf.DUMMYFUNCTION("""COMPUTED_VALUE"""),"Work with 2 to 3 people in my team")</f>
        <v>Work with 2 to 3 people in my team</v>
      </c>
      <c r="Q1689" s="1"/>
    </row>
    <row r="1690" spans="1:17" ht="13.2" x14ac:dyDescent="0.25">
      <c r="A1690" s="2">
        <f ca="1">IFERROR(__xludf.DUMMYFUNCTION("""COMPUTED_VALUE"""),45047.0772063078)</f>
        <v>45047.077206307797</v>
      </c>
      <c r="B1690" s="1" t="str">
        <f ca="1">IFERROR(__xludf.DUMMYFUNCTION("""COMPUTED_VALUE"""),"India")</f>
        <v>India</v>
      </c>
      <c r="C1690" s="1">
        <f ca="1">IFERROR(__xludf.DUMMYFUNCTION("""COMPUTED_VALUE"""),452001)</f>
        <v>452001</v>
      </c>
      <c r="D1690" s="3" t="str">
        <f ca="1">IFERROR(__xludf.DUMMYFUNCTION("""COMPUTED_VALUE"""),"Female")</f>
        <v>Female</v>
      </c>
      <c r="E1690" s="1" t="str">
        <f ca="1">IFERROR(__xludf.DUMMYFUNCTION("""COMPUTED_VALUE"""),"My Parents")</f>
        <v>My Parents</v>
      </c>
      <c r="F1690" s="1" t="str">
        <f ca="1">IFERROR(__xludf.DUMMYFUNCTION("""COMPUTED_VALUE"""),"No, But if someone could bare the cost I will")</f>
        <v>No, But if someone could bare the cost I will</v>
      </c>
      <c r="G1690" s="1" t="str">
        <f ca="1">IFERROR(__xludf.DUMMYFUNCTION("""COMPUTED_VALUE"""),"This will be hard to do, but if it is the right company I would try")</f>
        <v>This will be hard to do, but if it is the right company I would try</v>
      </c>
      <c r="H1690" s="1" t="str">
        <f ca="1">IFERROR(__xludf.DUMMYFUNCTION("""COMPUTED_VALUE"""),"No")</f>
        <v>No</v>
      </c>
      <c r="I1690" s="1" t="str">
        <f ca="1">IFERROR(__xludf.DUMMYFUNCTION("""COMPUTED_VALUE"""),"Will NOT work for them")</f>
        <v>Will NOT work for them</v>
      </c>
      <c r="J1690" s="1">
        <f ca="1">IFERROR(__xludf.DUMMYFUNCTION("""COMPUTED_VALUE"""),3)</f>
        <v>3</v>
      </c>
      <c r="K1690" s="1" t="str">
        <f ca="1">IFERROR(__xludf.DUMMYFUNCTION("""COMPUTED_VALUE"""),"Fully Remote with Options to travel as and when needed")</f>
        <v>Fully Remote with Options to travel as and when needed</v>
      </c>
      <c r="L1690" s="1" t="str">
        <f ca="1">IFERROR(__xludf.DUMMYFUNCTION("""COMPUTED_VALUE"""),"Employer who pushes your limits and doesn't enables learning environment and never rewards you")</f>
        <v>Employer who pushes your limits and doesn't enables learning environment and never rewards you</v>
      </c>
      <c r="M16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0" s="1" t="str">
        <f ca="1">IFERROR(__xludf.DUMMYFUNCTION("""COMPUTED_VALUE"""),"Design and Creative strategy in any company, Work as a freelancer and do my thing my way, Become a content Creator in some platform, An Artificial Intelligence Specialist / Talking to Robots")</f>
        <v>Design and Creative strategy in any company, Work as a freelancer and do my thing my way, Become a content Creator in some platform, An Artificial Intelligence Specialist / Talking to Robots</v>
      </c>
      <c r="O1690" s="1" t="str">
        <f ca="1">IFERROR(__xludf.DUMMYFUNCTION("""COMPUTED_VALUE"""),"Manager who sets goal and helps me achieve it")</f>
        <v>Manager who sets goal and helps me achieve it</v>
      </c>
      <c r="P1690" s="1" t="str">
        <f ca="1">IFERROR(__xludf.DUMMYFUNCTION("""COMPUTED_VALUE"""),"Work with 2 to 3 people in my team")</f>
        <v>Work with 2 to 3 people in my team</v>
      </c>
      <c r="Q1690" s="1"/>
    </row>
    <row r="1691" spans="1:17" ht="13.2" x14ac:dyDescent="0.25">
      <c r="A1691" s="2">
        <f ca="1">IFERROR(__xludf.DUMMYFUNCTION("""COMPUTED_VALUE"""),45047.07927)</f>
        <v>45047.079270000002</v>
      </c>
      <c r="B1691" s="1" t="str">
        <f ca="1">IFERROR(__xludf.DUMMYFUNCTION("""COMPUTED_VALUE"""),"India")</f>
        <v>India</v>
      </c>
      <c r="C1691" s="1">
        <f ca="1">IFERROR(__xludf.DUMMYFUNCTION("""COMPUTED_VALUE"""),452010)</f>
        <v>452010</v>
      </c>
      <c r="D1691" s="3" t="str">
        <f ca="1">IFERROR(__xludf.DUMMYFUNCTION("""COMPUTED_VALUE"""),"Female")</f>
        <v>Female</v>
      </c>
      <c r="E1691" s="1" t="str">
        <f ca="1">IFERROR(__xludf.DUMMYFUNCTION("""COMPUTED_VALUE"""),"People who have changed the world for better")</f>
        <v>People who have changed the world for better</v>
      </c>
      <c r="F1691" s="1" t="str">
        <f ca="1">IFERROR(__xludf.DUMMYFUNCTION("""COMPUTED_VALUE"""),"No I would not be pursuing Higher Education outside of India")</f>
        <v>No I would not be pursuing Higher Education outside of India</v>
      </c>
      <c r="G1691" s="1" t="str">
        <f ca="1">IFERROR(__xludf.DUMMYFUNCTION("""COMPUTED_VALUE"""),"This will be hard to do, but if it is the right company I would try")</f>
        <v>This will be hard to do, but if it is the right company I would try</v>
      </c>
      <c r="H1691" s="1" t="str">
        <f ca="1">IFERROR(__xludf.DUMMYFUNCTION("""COMPUTED_VALUE"""),"Yes")</f>
        <v>Yes</v>
      </c>
      <c r="I1691" s="1" t="str">
        <f ca="1">IFERROR(__xludf.DUMMYFUNCTION("""COMPUTED_VALUE"""),"Will NOT work for them")</f>
        <v>Will NOT work for them</v>
      </c>
      <c r="J1691" s="1">
        <f ca="1">IFERROR(__xludf.DUMMYFUNCTION("""COMPUTED_VALUE"""),6)</f>
        <v>6</v>
      </c>
      <c r="K1691" s="1" t="str">
        <f ca="1">IFERROR(__xludf.DUMMYFUNCTION("""COMPUTED_VALUE"""),"Fully Remote with No option to visit offices")</f>
        <v>Fully Remote with No option to visit offices</v>
      </c>
      <c r="L1691" s="1" t="str">
        <f ca="1">IFERROR(__xludf.DUMMYFUNCTION("""COMPUTED_VALUE"""),"Employer who pushes your limits by enabling an learning environment, and rewards you at the end")</f>
        <v>Employer who pushes your limits by enabling an learning environment, and rewards you at the end</v>
      </c>
      <c r="M169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1"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691" s="1" t="str">
        <f ca="1">IFERROR(__xludf.DUMMYFUNCTION("""COMPUTED_VALUE"""),"Manager who explains what is expected, sets a goal and helps achieve it")</f>
        <v>Manager who explains what is expected, sets a goal and helps achieve it</v>
      </c>
      <c r="P1691" s="1" t="str">
        <f ca="1">IFERROR(__xludf.DUMMYFUNCTION("""COMPUTED_VALUE"""),"Work with more than 10 people in my team")</f>
        <v>Work with more than 10 people in my team</v>
      </c>
      <c r="Q1691" s="1"/>
    </row>
    <row r="1692" spans="1:17" ht="13.2" x14ac:dyDescent="0.25">
      <c r="A1692" s="2">
        <f ca="1">IFERROR(__xludf.DUMMYFUNCTION("""COMPUTED_VALUE"""),45047.3014310185)</f>
        <v>45047.301431018503</v>
      </c>
      <c r="B1692" s="1" t="str">
        <f ca="1">IFERROR(__xludf.DUMMYFUNCTION("""COMPUTED_VALUE"""),"India")</f>
        <v>India</v>
      </c>
      <c r="C1692" s="1">
        <f ca="1">IFERROR(__xludf.DUMMYFUNCTION("""COMPUTED_VALUE"""),201014)</f>
        <v>201014</v>
      </c>
      <c r="D1692" s="3" t="str">
        <f ca="1">IFERROR(__xludf.DUMMYFUNCTION("""COMPUTED_VALUE"""),"Female")</f>
        <v>Female</v>
      </c>
      <c r="E1692" s="1" t="str">
        <f ca="1">IFERROR(__xludf.DUMMYFUNCTION("""COMPUTED_VALUE"""),"Influencers who had successful careers")</f>
        <v>Influencers who had successful careers</v>
      </c>
      <c r="F1692" s="1" t="str">
        <f ca="1">IFERROR(__xludf.DUMMYFUNCTION("""COMPUTED_VALUE"""),"Yes, I will earn and do that")</f>
        <v>Yes, I will earn and do that</v>
      </c>
      <c r="G1692" s="1" t="str">
        <f ca="1">IFERROR(__xludf.DUMMYFUNCTION("""COMPUTED_VALUE"""),"This will be hard to do, but if it is the right company I would try")</f>
        <v>This will be hard to do, but if it is the right company I would try</v>
      </c>
      <c r="H1692" s="1" t="str">
        <f ca="1">IFERROR(__xludf.DUMMYFUNCTION("""COMPUTED_VALUE"""),"No")</f>
        <v>No</v>
      </c>
      <c r="I1692" s="1" t="str">
        <f ca="1">IFERROR(__xludf.DUMMYFUNCTION("""COMPUTED_VALUE"""),"Will NOT work for them")</f>
        <v>Will NOT work for them</v>
      </c>
      <c r="J1692" s="1">
        <f ca="1">IFERROR(__xludf.DUMMYFUNCTION("""COMPUTED_VALUE"""),3)</f>
        <v>3</v>
      </c>
      <c r="K1692" s="1" t="str">
        <f ca="1">IFERROR(__xludf.DUMMYFUNCTION("""COMPUTED_VALUE"""),"Hybrid Working Environment with more than 15 days a month at office")</f>
        <v>Hybrid Working Environment with more than 15 days a month at office</v>
      </c>
      <c r="L1692" s="1" t="str">
        <f ca="1">IFERROR(__xludf.DUMMYFUNCTION("""COMPUTED_VALUE"""),"Employer who pushes your limits by enabling an learning environment, and rewards you at the end")</f>
        <v>Employer who pushes your limits by enabling an learning environment, and rewards you at the end</v>
      </c>
      <c r="M169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692" s="1" t="str">
        <f ca="1">IFERROR(__xludf.DUMMYFUNCTION("""COMPUTED_VALUE"""),"Manager who explains what is expected, sets a goal and helps achieve it")</f>
        <v>Manager who explains what is expected, sets a goal and helps achieve it</v>
      </c>
      <c r="P1692" s="1" t="str">
        <f ca="1">IFERROR(__xludf.DUMMYFUNCTION("""COMPUTED_VALUE"""),"Work with 5 to 6 people in my team")</f>
        <v>Work with 5 to 6 people in my team</v>
      </c>
      <c r="Q1692" s="1"/>
    </row>
    <row r="1693" spans="1:17" ht="13.2" x14ac:dyDescent="0.25">
      <c r="A1693" s="2">
        <f ca="1">IFERROR(__xludf.DUMMYFUNCTION("""COMPUTED_VALUE"""),45047.3243079166)</f>
        <v>45047.324307916599</v>
      </c>
      <c r="B1693" s="1" t="str">
        <f ca="1">IFERROR(__xludf.DUMMYFUNCTION("""COMPUTED_VALUE"""),"India")</f>
        <v>India</v>
      </c>
      <c r="C1693" s="1">
        <f ca="1">IFERROR(__xludf.DUMMYFUNCTION("""COMPUTED_VALUE"""),587102)</f>
        <v>587102</v>
      </c>
      <c r="D1693" s="3" t="str">
        <f ca="1">IFERROR(__xludf.DUMMYFUNCTION("""COMPUTED_VALUE"""),"Male")</f>
        <v>Male</v>
      </c>
      <c r="E1693" s="1" t="str">
        <f ca="1">IFERROR(__xludf.DUMMYFUNCTION("""COMPUTED_VALUE"""),"Social Media like LinkedIn")</f>
        <v>Social Media like LinkedIn</v>
      </c>
      <c r="F1693" s="1" t="str">
        <f ca="1">IFERROR(__xludf.DUMMYFUNCTION("""COMPUTED_VALUE"""),"No I would not be pursuing Higher Education outside of India")</f>
        <v>No I would not be pursuing Higher Education outside of India</v>
      </c>
      <c r="G1693" s="1" t="str">
        <f ca="1">IFERROR(__xludf.DUMMYFUNCTION("""COMPUTED_VALUE"""),"Will work for 3 years or more")</f>
        <v>Will work for 3 years or more</v>
      </c>
      <c r="H1693" s="1" t="str">
        <f ca="1">IFERROR(__xludf.DUMMYFUNCTION("""COMPUTED_VALUE"""),"No")</f>
        <v>No</v>
      </c>
      <c r="I1693" s="1" t="str">
        <f ca="1">IFERROR(__xludf.DUMMYFUNCTION("""COMPUTED_VALUE"""),"Will NOT work for them")</f>
        <v>Will NOT work for them</v>
      </c>
      <c r="J1693" s="1">
        <f ca="1">IFERROR(__xludf.DUMMYFUNCTION("""COMPUTED_VALUE"""),5)</f>
        <v>5</v>
      </c>
      <c r="K1693" s="1" t="str">
        <f ca="1">IFERROR(__xludf.DUMMYFUNCTION("""COMPUTED_VALUE"""),"Fully Remote with No option to visit offices")</f>
        <v>Fully Remote with No option to visit offices</v>
      </c>
      <c r="L1693" s="1" t="str">
        <f ca="1">IFERROR(__xludf.DUMMYFUNCTION("""COMPUTED_VALUE"""),"Employer who pushes your limits by enabling an learning environment, and rewards you at the end")</f>
        <v>Employer who pushes your limits by enabling an learning environment, and rewards you at the end</v>
      </c>
      <c r="M169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69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693" s="1" t="str">
        <f ca="1">IFERROR(__xludf.DUMMYFUNCTION("""COMPUTED_VALUE"""),"Manager who sets goal and helps me achieve it")</f>
        <v>Manager who sets goal and helps me achieve it</v>
      </c>
      <c r="P1693" s="1" t="str">
        <f ca="1">IFERROR(__xludf.DUMMYFUNCTION("""COMPUTED_VALUE"""),"Work alone, Work with more than 10 people in my team")</f>
        <v>Work alone, Work with more than 10 people in my team</v>
      </c>
      <c r="Q1693" s="1"/>
    </row>
    <row r="1694" spans="1:17" ht="13.2" x14ac:dyDescent="0.25">
      <c r="A1694" s="2">
        <f ca="1">IFERROR(__xludf.DUMMYFUNCTION("""COMPUTED_VALUE"""),45047.3627345601)</f>
        <v>45047.362734560098</v>
      </c>
      <c r="B1694" s="1" t="str">
        <f ca="1">IFERROR(__xludf.DUMMYFUNCTION("""COMPUTED_VALUE"""),"India")</f>
        <v>India</v>
      </c>
      <c r="C1694" s="1">
        <f ca="1">IFERROR(__xludf.DUMMYFUNCTION("""COMPUTED_VALUE"""),530068)</f>
        <v>530068</v>
      </c>
      <c r="D1694" s="3" t="str">
        <f ca="1">IFERROR(__xludf.DUMMYFUNCTION("""COMPUTED_VALUE"""),"Male")</f>
        <v>Male</v>
      </c>
      <c r="E1694" s="1" t="str">
        <f ca="1">IFERROR(__xludf.DUMMYFUNCTION("""COMPUTED_VALUE"""),"People who have changed the world for better")</f>
        <v>People who have changed the world for better</v>
      </c>
      <c r="F1694" s="1" t="str">
        <f ca="1">IFERROR(__xludf.DUMMYFUNCTION("""COMPUTED_VALUE"""),"No I would not be pursuing Higher Education outside of India")</f>
        <v>No I would not be pursuing Higher Education outside of India</v>
      </c>
      <c r="G1694" s="1" t="str">
        <f ca="1">IFERROR(__xludf.DUMMYFUNCTION("""COMPUTED_VALUE"""),"This will be hard to do, but if it is the right company I would try")</f>
        <v>This will be hard to do, but if it is the right company I would try</v>
      </c>
      <c r="H1694" s="1" t="str">
        <f ca="1">IFERROR(__xludf.DUMMYFUNCTION("""COMPUTED_VALUE"""),"Yes")</f>
        <v>Yes</v>
      </c>
      <c r="I1694" s="1" t="str">
        <f ca="1">IFERROR(__xludf.DUMMYFUNCTION("""COMPUTED_VALUE"""),"Will NOT work for them")</f>
        <v>Will NOT work for them</v>
      </c>
      <c r="J1694" s="1">
        <f ca="1">IFERROR(__xludf.DUMMYFUNCTION("""COMPUTED_VALUE"""),5)</f>
        <v>5</v>
      </c>
      <c r="K1694" s="1" t="str">
        <f ca="1">IFERROR(__xludf.DUMMYFUNCTION("""COMPUTED_VALUE"""),"Fully Remote with Options to travel as and when needed")</f>
        <v>Fully Remote with Options to travel as and when needed</v>
      </c>
      <c r="L1694" s="1" t="str">
        <f ca="1">IFERROR(__xludf.DUMMYFUNCTION("""COMPUTED_VALUE"""),"Employer who appreciates learning and enables that environment")</f>
        <v>Employer who appreciates learning and enables that environment</v>
      </c>
      <c r="M16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94"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694" s="1" t="str">
        <f ca="1">IFERROR(__xludf.DUMMYFUNCTION("""COMPUTED_VALUE"""),"Manager who sets goal and helps me achieve it")</f>
        <v>Manager who sets goal and helps me achieve it</v>
      </c>
      <c r="P1694" s="1" t="str">
        <f ca="1">IFERROR(__xludf.DUMMYFUNCTION("""COMPUTED_VALUE"""),"Work with 2 to 3 people in my team, Work with 5 to 6 people in my team")</f>
        <v>Work with 2 to 3 people in my team, Work with 5 to 6 people in my team</v>
      </c>
      <c r="Q1694" s="1"/>
    </row>
    <row r="1695" spans="1:17" ht="13.2" x14ac:dyDescent="0.25">
      <c r="A1695" s="2">
        <f ca="1">IFERROR(__xludf.DUMMYFUNCTION("""COMPUTED_VALUE"""),45047.3815643055)</f>
        <v>45047.381564305499</v>
      </c>
      <c r="B1695" s="1" t="str">
        <f ca="1">IFERROR(__xludf.DUMMYFUNCTION("""COMPUTED_VALUE"""),"India")</f>
        <v>India</v>
      </c>
      <c r="C1695" s="1">
        <f ca="1">IFERROR(__xludf.DUMMYFUNCTION("""COMPUTED_VALUE"""),456010)</f>
        <v>456010</v>
      </c>
      <c r="D1695" s="3" t="str">
        <f ca="1">IFERROR(__xludf.DUMMYFUNCTION("""COMPUTED_VALUE"""),"Male")</f>
        <v>Male</v>
      </c>
      <c r="E1695" s="1" t="str">
        <f ca="1">IFERROR(__xludf.DUMMYFUNCTION("""COMPUTED_VALUE"""),"People who have changed the world for better")</f>
        <v>People who have changed the world for better</v>
      </c>
      <c r="F1695" s="1" t="str">
        <f ca="1">IFERROR(__xludf.DUMMYFUNCTION("""COMPUTED_VALUE"""),"Yes, I will earn and do that")</f>
        <v>Yes, I will earn and do that</v>
      </c>
      <c r="G1695" s="1" t="str">
        <f ca="1">IFERROR(__xludf.DUMMYFUNCTION("""COMPUTED_VALUE"""),"Will work for 3 years or more")</f>
        <v>Will work for 3 years or more</v>
      </c>
      <c r="H1695" s="1" t="str">
        <f ca="1">IFERROR(__xludf.DUMMYFUNCTION("""COMPUTED_VALUE"""),"Yes")</f>
        <v>Yes</v>
      </c>
      <c r="I1695" s="1" t="str">
        <f ca="1">IFERROR(__xludf.DUMMYFUNCTION("""COMPUTED_VALUE"""),"Will work for them")</f>
        <v>Will work for them</v>
      </c>
      <c r="J1695" s="1">
        <f ca="1">IFERROR(__xludf.DUMMYFUNCTION("""COMPUTED_VALUE"""),6)</f>
        <v>6</v>
      </c>
      <c r="K1695" s="1" t="str">
        <f ca="1">IFERROR(__xludf.DUMMYFUNCTION("""COMPUTED_VALUE"""),"Every Day Office Environment")</f>
        <v>Every Day Office Environment</v>
      </c>
      <c r="L1695" s="1" t="str">
        <f ca="1">IFERROR(__xludf.DUMMYFUNCTION("""COMPUTED_VALUE"""),"Employer who pushes your limits by enabling an learning environment, and rewards you at the end")</f>
        <v>Employer who pushes your limits by enabling an learning environment, and rewards you at the end</v>
      </c>
      <c r="M16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95"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1695" s="1" t="str">
        <f ca="1">IFERROR(__xludf.DUMMYFUNCTION("""COMPUTED_VALUE"""),"Manager who sets targets and expects me to achieve it")</f>
        <v>Manager who sets targets and expects me to achieve it</v>
      </c>
      <c r="P1695" s="1" t="str">
        <f ca="1">IFERROR(__xludf.DUMMYFUNCTION("""COMPUTED_VALUE"""),"Work with more than 10 people in my team")</f>
        <v>Work with more than 10 people in my team</v>
      </c>
      <c r="Q1695" s="1"/>
    </row>
    <row r="1696" spans="1:17" ht="13.2" x14ac:dyDescent="0.25">
      <c r="A1696" s="2">
        <f ca="1">IFERROR(__xludf.DUMMYFUNCTION("""COMPUTED_VALUE"""),45047.4022306133)</f>
        <v>45047.402230613297</v>
      </c>
      <c r="B1696" s="1" t="str">
        <f ca="1">IFERROR(__xludf.DUMMYFUNCTION("""COMPUTED_VALUE"""),"India")</f>
        <v>India</v>
      </c>
      <c r="C1696" s="1">
        <f ca="1">IFERROR(__xludf.DUMMYFUNCTION("""COMPUTED_VALUE"""),560045)</f>
        <v>560045</v>
      </c>
      <c r="D1696" s="3" t="str">
        <f ca="1">IFERROR(__xludf.DUMMYFUNCTION("""COMPUTED_VALUE"""),"Female")</f>
        <v>Female</v>
      </c>
      <c r="E1696" s="1" t="str">
        <f ca="1">IFERROR(__xludf.DUMMYFUNCTION("""COMPUTED_VALUE"""),"People from my circle, but not family members")</f>
        <v>People from my circle, but not family members</v>
      </c>
      <c r="F1696" s="1" t="str">
        <f ca="1">IFERROR(__xludf.DUMMYFUNCTION("""COMPUTED_VALUE"""),"Yes, I will earn and do that")</f>
        <v>Yes, I will earn and do that</v>
      </c>
      <c r="G1696" s="1" t="str">
        <f ca="1">IFERROR(__xludf.DUMMYFUNCTION("""COMPUTED_VALUE"""),"This will be hard to do, but if it is the right company I would try")</f>
        <v>This will be hard to do, but if it is the right company I would try</v>
      </c>
      <c r="H1696" s="1" t="str">
        <f ca="1">IFERROR(__xludf.DUMMYFUNCTION("""COMPUTED_VALUE"""),"No")</f>
        <v>No</v>
      </c>
      <c r="I1696" s="1" t="str">
        <f ca="1">IFERROR(__xludf.DUMMYFUNCTION("""COMPUTED_VALUE"""),"Will work for them")</f>
        <v>Will work for them</v>
      </c>
      <c r="J1696" s="1">
        <f ca="1">IFERROR(__xludf.DUMMYFUNCTION("""COMPUTED_VALUE"""),6)</f>
        <v>6</v>
      </c>
      <c r="K1696" s="1" t="str">
        <f ca="1">IFERROR(__xludf.DUMMYFUNCTION("""COMPUTED_VALUE"""),"Hybrid Working Environment with more than 15 days a month at office")</f>
        <v>Hybrid Working Environment with more than 15 days a month at office</v>
      </c>
      <c r="L1696" s="1" t="str">
        <f ca="1">IFERROR(__xludf.DUMMYFUNCTION("""COMPUTED_VALUE"""),"Employer who pushes your limits by enabling an learning environment, and rewards you at the end")</f>
        <v>Employer who pushes your limits by enabling an learning environment, and rewards you at the end</v>
      </c>
      <c r="M16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96"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696" s="1" t="str">
        <f ca="1">IFERROR(__xludf.DUMMYFUNCTION("""COMPUTED_VALUE"""),"Manager who explains what is expected, sets a goal and helps achieve it")</f>
        <v>Manager who explains what is expected, sets a goal and helps achieve it</v>
      </c>
      <c r="P1696" s="1" t="str">
        <f ca="1">IFERROR(__xludf.DUMMYFUNCTION("""COMPUTED_VALUE"""),"Work with 5 to 6 people in my team")</f>
        <v>Work with 5 to 6 people in my team</v>
      </c>
      <c r="Q1696" s="1"/>
    </row>
    <row r="1697" spans="1:17" ht="13.2" x14ac:dyDescent="0.25">
      <c r="A1697" s="2">
        <f ca="1">IFERROR(__xludf.DUMMYFUNCTION("""COMPUTED_VALUE"""),45047.4425448263)</f>
        <v>45047.442544826299</v>
      </c>
      <c r="B1697" s="1" t="str">
        <f ca="1">IFERROR(__xludf.DUMMYFUNCTION("""COMPUTED_VALUE"""),"India")</f>
        <v>India</v>
      </c>
      <c r="C1697" s="1">
        <f ca="1">IFERROR(__xludf.DUMMYFUNCTION("""COMPUTED_VALUE"""),605007)</f>
        <v>605007</v>
      </c>
      <c r="D1697" s="3" t="str">
        <f ca="1">IFERROR(__xludf.DUMMYFUNCTION("""COMPUTED_VALUE"""),"Female")</f>
        <v>Female</v>
      </c>
      <c r="E1697" s="1" t="str">
        <f ca="1">IFERROR(__xludf.DUMMYFUNCTION("""COMPUTED_VALUE"""),"People from my circle, but not family members")</f>
        <v>People from my circle, but not family members</v>
      </c>
      <c r="F1697" s="1" t="str">
        <f ca="1">IFERROR(__xludf.DUMMYFUNCTION("""COMPUTED_VALUE"""),"No, But if someone could bare the cost I will")</f>
        <v>No, But if someone could bare the cost I will</v>
      </c>
      <c r="G1697" s="1" t="str">
        <f ca="1">IFERROR(__xludf.DUMMYFUNCTION("""COMPUTED_VALUE"""),"This will be hard to do, but if it is the right company I would try")</f>
        <v>This will be hard to do, but if it is the right company I would try</v>
      </c>
      <c r="H1697" s="1" t="str">
        <f ca="1">IFERROR(__xludf.DUMMYFUNCTION("""COMPUTED_VALUE"""),"No")</f>
        <v>No</v>
      </c>
      <c r="I1697" s="1" t="str">
        <f ca="1">IFERROR(__xludf.DUMMYFUNCTION("""COMPUTED_VALUE"""),"Will NOT work for them")</f>
        <v>Will NOT work for them</v>
      </c>
      <c r="J1697" s="1">
        <f ca="1">IFERROR(__xludf.DUMMYFUNCTION("""COMPUTED_VALUE"""),5)</f>
        <v>5</v>
      </c>
      <c r="K1697" s="1" t="str">
        <f ca="1">IFERROR(__xludf.DUMMYFUNCTION("""COMPUTED_VALUE"""),"Hybrid Working Environment with less than 3 days a month at office")</f>
        <v>Hybrid Working Environment with less than 3 days a month at office</v>
      </c>
      <c r="L1697" s="1" t="str">
        <f ca="1">IFERROR(__xludf.DUMMYFUNCTION("""COMPUTED_VALUE"""),"Employer who rewards learning and enables that environment")</f>
        <v>Employer who rewards learning and enables that environment</v>
      </c>
      <c r="M169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7"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697" s="1" t="str">
        <f ca="1">IFERROR(__xludf.DUMMYFUNCTION("""COMPUTED_VALUE"""),"Manager who explains what is expected, sets a goal and helps achieve it")</f>
        <v>Manager who explains what is expected, sets a goal and helps achieve it</v>
      </c>
      <c r="P1697" s="1" t="str">
        <f ca="1">IFERROR(__xludf.DUMMYFUNCTION("""COMPUTED_VALUE"""),"Work with 5 to 6 people in my team")</f>
        <v>Work with 5 to 6 people in my team</v>
      </c>
      <c r="Q1697" s="1"/>
    </row>
    <row r="1698" spans="1:17" ht="13.2" x14ac:dyDescent="0.25">
      <c r="A1698" s="2">
        <f ca="1">IFERROR(__xludf.DUMMYFUNCTION("""COMPUTED_VALUE"""),45047.4549181597)</f>
        <v>45047.454918159703</v>
      </c>
      <c r="B1698" s="1" t="str">
        <f ca="1">IFERROR(__xludf.DUMMYFUNCTION("""COMPUTED_VALUE"""),"India")</f>
        <v>India</v>
      </c>
      <c r="C1698" s="1">
        <f ca="1">IFERROR(__xludf.DUMMYFUNCTION("""COMPUTED_VALUE"""),201002)</f>
        <v>201002</v>
      </c>
      <c r="D1698" s="3" t="str">
        <f ca="1">IFERROR(__xludf.DUMMYFUNCTION("""COMPUTED_VALUE"""),"Female")</f>
        <v>Female</v>
      </c>
      <c r="E1698" s="1" t="str">
        <f ca="1">IFERROR(__xludf.DUMMYFUNCTION("""COMPUTED_VALUE"""),"People from my circle, but not family members")</f>
        <v>People from my circle, but not family members</v>
      </c>
      <c r="F1698" s="1" t="str">
        <f ca="1">IFERROR(__xludf.DUMMYFUNCTION("""COMPUTED_VALUE"""),"No, But if someone could bare the cost I will")</f>
        <v>No, But if someone could bare the cost I will</v>
      </c>
      <c r="G1698" s="1" t="str">
        <f ca="1">IFERROR(__xludf.DUMMYFUNCTION("""COMPUTED_VALUE"""),"This will be hard to do, but if it is the right company I would try")</f>
        <v>This will be hard to do, but if it is the right company I would try</v>
      </c>
      <c r="H1698" s="1" t="str">
        <f ca="1">IFERROR(__xludf.DUMMYFUNCTION("""COMPUTED_VALUE"""),"No")</f>
        <v>No</v>
      </c>
      <c r="I1698" s="1" t="str">
        <f ca="1">IFERROR(__xludf.DUMMYFUNCTION("""COMPUTED_VALUE"""),"Will NOT work for them")</f>
        <v>Will NOT work for them</v>
      </c>
      <c r="J1698" s="1">
        <f ca="1">IFERROR(__xludf.DUMMYFUNCTION("""COMPUTED_VALUE"""),6)</f>
        <v>6</v>
      </c>
      <c r="K1698" s="1" t="str">
        <f ca="1">IFERROR(__xludf.DUMMYFUNCTION("""COMPUTED_VALUE"""),"Hybrid Working Environment with more than 15 days a month at office")</f>
        <v>Hybrid Working Environment with more than 15 days a month at office</v>
      </c>
      <c r="L1698" s="1" t="str">
        <f ca="1">IFERROR(__xludf.DUMMYFUNCTION("""COMPUTED_VALUE"""),"Employer who pushes your limits by enabling an learning environment, and rewards you at the end")</f>
        <v>Employer who pushes your limits by enabling an learning environment, and rewards you at the end</v>
      </c>
      <c r="M169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98" s="1" t="str">
        <f ca="1">IFERROR(__xludf.DUMMYFUNCTION("""COMPUTED_VALUE"""),"Manager who explains what is expected, sets a goal and helps achieve it")</f>
        <v>Manager who explains what is expected, sets a goal and helps achieve it</v>
      </c>
      <c r="P1698" s="1" t="str">
        <f ca="1">IFERROR(__xludf.DUMMYFUNCTION("""COMPUTED_VALUE"""),"Work with 5 to 6 people in my team")</f>
        <v>Work with 5 to 6 people in my team</v>
      </c>
      <c r="Q1698" s="1"/>
    </row>
    <row r="1699" spans="1:17" ht="13.2" x14ac:dyDescent="0.25">
      <c r="A1699" s="2">
        <f ca="1">IFERROR(__xludf.DUMMYFUNCTION("""COMPUTED_VALUE"""),45047.4897973726)</f>
        <v>45047.489797372597</v>
      </c>
      <c r="B1699" s="1" t="str">
        <f ca="1">IFERROR(__xludf.DUMMYFUNCTION("""COMPUTED_VALUE"""),"India")</f>
        <v>India</v>
      </c>
      <c r="C1699" s="1">
        <f ca="1">IFERROR(__xludf.DUMMYFUNCTION("""COMPUTED_VALUE"""),530002)</f>
        <v>530002</v>
      </c>
      <c r="D1699" s="3" t="str">
        <f ca="1">IFERROR(__xludf.DUMMYFUNCTION("""COMPUTED_VALUE"""),"Male")</f>
        <v>Male</v>
      </c>
      <c r="E1699" s="1" t="str">
        <f ca="1">IFERROR(__xludf.DUMMYFUNCTION("""COMPUTED_VALUE"""),"People from my circle, but not family members")</f>
        <v>People from my circle, but not family members</v>
      </c>
      <c r="F1699" s="1" t="str">
        <f ca="1">IFERROR(__xludf.DUMMYFUNCTION("""COMPUTED_VALUE"""),"No, But if someone could bare the cost I will")</f>
        <v>No, But if someone could bare the cost I will</v>
      </c>
      <c r="G1699" s="1" t="str">
        <f ca="1">IFERROR(__xludf.DUMMYFUNCTION("""COMPUTED_VALUE"""),"Will work for 3 years or more")</f>
        <v>Will work for 3 years or more</v>
      </c>
      <c r="H1699" s="1" t="str">
        <f ca="1">IFERROR(__xludf.DUMMYFUNCTION("""COMPUTED_VALUE"""),"No")</f>
        <v>No</v>
      </c>
      <c r="I1699" s="1" t="str">
        <f ca="1">IFERROR(__xludf.DUMMYFUNCTION("""COMPUTED_VALUE"""),"Will NOT work for them")</f>
        <v>Will NOT work for them</v>
      </c>
      <c r="J1699" s="1">
        <f ca="1">IFERROR(__xludf.DUMMYFUNCTION("""COMPUTED_VALUE"""),2)</f>
        <v>2</v>
      </c>
      <c r="K1699" s="1" t="str">
        <f ca="1">IFERROR(__xludf.DUMMYFUNCTION("""COMPUTED_VALUE"""),"Fully Remote with Options to travel as and when needed")</f>
        <v>Fully Remote with Options to travel as and when needed</v>
      </c>
      <c r="L1699" s="1" t="str">
        <f ca="1">IFERROR(__xludf.DUMMYFUNCTION("""COMPUTED_VALUE"""),"Employer who rewards learning and enables that environment")</f>
        <v>Employer who rewards learning and enables that environment</v>
      </c>
      <c r="M169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99" s="1" t="str">
        <f ca="1">IFERROR(__xludf.DUMMYFUNCTION("""COMPUTED_VALUE"""),"Manager who sets goal and helps me achieve it")</f>
        <v>Manager who sets goal and helps me achieve it</v>
      </c>
      <c r="P1699" s="1" t="str">
        <f ca="1">IFERROR(__xludf.DUMMYFUNCTION("""COMPUTED_VALUE"""),"Work with 5 to 6 people in my team")</f>
        <v>Work with 5 to 6 people in my team</v>
      </c>
      <c r="Q1699" s="1"/>
    </row>
    <row r="1700" spans="1:17" ht="13.2" x14ac:dyDescent="0.25">
      <c r="A1700" s="2">
        <f ca="1">IFERROR(__xludf.DUMMYFUNCTION("""COMPUTED_VALUE"""),45047.5106112963)</f>
        <v>45047.510611296297</v>
      </c>
      <c r="B1700" s="1" t="str">
        <f ca="1">IFERROR(__xludf.DUMMYFUNCTION("""COMPUTED_VALUE"""),"India")</f>
        <v>India</v>
      </c>
      <c r="C1700" s="1">
        <f ca="1">IFERROR(__xludf.DUMMYFUNCTION("""COMPUTED_VALUE"""),388001)</f>
        <v>388001</v>
      </c>
      <c r="D1700" s="3" t="str">
        <f ca="1">IFERROR(__xludf.DUMMYFUNCTION("""COMPUTED_VALUE"""),"Female")</f>
        <v>Female</v>
      </c>
      <c r="E1700" s="1" t="str">
        <f ca="1">IFERROR(__xludf.DUMMYFUNCTION("""COMPUTED_VALUE"""),"People from my circle, but not family members")</f>
        <v>People from my circle, but not family members</v>
      </c>
      <c r="F1700" s="1" t="str">
        <f ca="1">IFERROR(__xludf.DUMMYFUNCTION("""COMPUTED_VALUE"""),"No I would not be pursuing Higher Education outside of India")</f>
        <v>No I would not be pursuing Higher Education outside of India</v>
      </c>
      <c r="G1700" s="1" t="str">
        <f ca="1">IFERROR(__xludf.DUMMYFUNCTION("""COMPUTED_VALUE"""),"This will be hard to do, but if it is the right company I would try")</f>
        <v>This will be hard to do, but if it is the right company I would try</v>
      </c>
      <c r="H1700" s="1" t="str">
        <f ca="1">IFERROR(__xludf.DUMMYFUNCTION("""COMPUTED_VALUE"""),"No")</f>
        <v>No</v>
      </c>
      <c r="I1700" s="1" t="str">
        <f ca="1">IFERROR(__xludf.DUMMYFUNCTION("""COMPUTED_VALUE"""),"Will NOT work for them")</f>
        <v>Will NOT work for them</v>
      </c>
      <c r="J1700" s="1">
        <f ca="1">IFERROR(__xludf.DUMMYFUNCTION("""COMPUTED_VALUE"""),6)</f>
        <v>6</v>
      </c>
      <c r="K1700" s="1" t="str">
        <f ca="1">IFERROR(__xludf.DUMMYFUNCTION("""COMPUTED_VALUE"""),"Fully Remote with No option to visit offices")</f>
        <v>Fully Remote with No option to visit offices</v>
      </c>
      <c r="L1700" s="1" t="str">
        <f ca="1">IFERROR(__xludf.DUMMYFUNCTION("""COMPUTED_VALUE"""),"Employer who pushes your limits by enabling an learning environment, and rewards you at the end")</f>
        <v>Employer who pushes your limits by enabling an learning environment, and rewards you at the end</v>
      </c>
      <c r="M17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700" s="1" t="str">
        <f ca="1">IFERROR(__xludf.DUMMYFUNCTION("""COMPUTED_VALUE"""),"Manager who explains what is expected, sets a goal and helps achieve it")</f>
        <v>Manager who explains what is expected, sets a goal and helps achieve it</v>
      </c>
      <c r="P1700" s="1" t="str">
        <f ca="1">IFERROR(__xludf.DUMMYFUNCTION("""COMPUTED_VALUE"""),"Work with 5 to 6 people in my team")</f>
        <v>Work with 5 to 6 people in my team</v>
      </c>
      <c r="Q1700" s="1"/>
    </row>
    <row r="1701" spans="1:17" ht="13.2" x14ac:dyDescent="0.25">
      <c r="A1701" s="2">
        <f ca="1">IFERROR(__xludf.DUMMYFUNCTION("""COMPUTED_VALUE"""),45047.5191983217)</f>
        <v>45047.519198321701</v>
      </c>
      <c r="B1701" s="1" t="str">
        <f ca="1">IFERROR(__xludf.DUMMYFUNCTION("""COMPUTED_VALUE"""),"India")</f>
        <v>India</v>
      </c>
      <c r="C1701" s="1">
        <f ca="1">IFERROR(__xludf.DUMMYFUNCTION("""COMPUTED_VALUE"""),679103)</f>
        <v>679103</v>
      </c>
      <c r="D1701" s="3" t="str">
        <f ca="1">IFERROR(__xludf.DUMMYFUNCTION("""COMPUTED_VALUE"""),"Male")</f>
        <v>Male</v>
      </c>
      <c r="E1701" s="1" t="str">
        <f ca="1">IFERROR(__xludf.DUMMYFUNCTION("""COMPUTED_VALUE"""),"My Parents")</f>
        <v>My Parents</v>
      </c>
      <c r="F1701" s="1" t="str">
        <f ca="1">IFERROR(__xludf.DUMMYFUNCTION("""COMPUTED_VALUE"""),"No I would not be pursuing Higher Education outside of India")</f>
        <v>No I would not be pursuing Higher Education outside of India</v>
      </c>
      <c r="G1701" s="1" t="str">
        <f ca="1">IFERROR(__xludf.DUMMYFUNCTION("""COMPUTED_VALUE"""),"No way")</f>
        <v>No way</v>
      </c>
      <c r="H1701" s="1" t="str">
        <f ca="1">IFERROR(__xludf.DUMMYFUNCTION("""COMPUTED_VALUE"""),"No")</f>
        <v>No</v>
      </c>
      <c r="I1701" s="1" t="str">
        <f ca="1">IFERROR(__xludf.DUMMYFUNCTION("""COMPUTED_VALUE"""),"Will NOT work for them")</f>
        <v>Will NOT work for them</v>
      </c>
      <c r="J1701" s="1">
        <f ca="1">IFERROR(__xludf.DUMMYFUNCTION("""COMPUTED_VALUE"""),6)</f>
        <v>6</v>
      </c>
      <c r="K1701" s="1" t="str">
        <f ca="1">IFERROR(__xludf.DUMMYFUNCTION("""COMPUTED_VALUE"""),"Fully Remote with Options to travel as and when needed")</f>
        <v>Fully Remote with Options to travel as and when needed</v>
      </c>
      <c r="L1701" s="1" t="str">
        <f ca="1">IFERROR(__xludf.DUMMYFUNCTION("""COMPUTED_VALUE"""),"Employers who appreciates learning but doesn't enables an learning environment")</f>
        <v>Employers who appreciates learning but doesn't enables an learning environment</v>
      </c>
      <c r="M1701"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70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01" s="1" t="str">
        <f ca="1">IFERROR(__xludf.DUMMYFUNCTION("""COMPUTED_VALUE"""),"Manager who sets unrealistic targets")</f>
        <v>Manager who sets unrealistic targets</v>
      </c>
      <c r="P1701" s="1" t="str">
        <f ca="1">IFERROR(__xludf.DUMMYFUNCTION("""COMPUTED_VALUE"""),"Work with more than 10 people in my team")</f>
        <v>Work with more than 10 people in my team</v>
      </c>
      <c r="Q1701" s="1"/>
    </row>
    <row r="1702" spans="1:17" ht="13.2" x14ac:dyDescent="0.25">
      <c r="A1702" s="2">
        <f ca="1">IFERROR(__xludf.DUMMYFUNCTION("""COMPUTED_VALUE"""),45047.5199075578)</f>
        <v>45047.519907557798</v>
      </c>
      <c r="B1702" s="1" t="str">
        <f ca="1">IFERROR(__xludf.DUMMYFUNCTION("""COMPUTED_VALUE"""),"India")</f>
        <v>India</v>
      </c>
      <c r="C1702" s="1">
        <f ca="1">IFERROR(__xludf.DUMMYFUNCTION("""COMPUTED_VALUE"""),678008)</f>
        <v>678008</v>
      </c>
      <c r="D1702" s="3" t="str">
        <f ca="1">IFERROR(__xludf.DUMMYFUNCTION("""COMPUTED_VALUE"""),"Male")</f>
        <v>Male</v>
      </c>
      <c r="E1702" s="1" t="str">
        <f ca="1">IFERROR(__xludf.DUMMYFUNCTION("""COMPUTED_VALUE"""),"Social Media like LinkedIn")</f>
        <v>Social Media like LinkedIn</v>
      </c>
      <c r="F1702" s="1" t="str">
        <f ca="1">IFERROR(__xludf.DUMMYFUNCTION("""COMPUTED_VALUE"""),"Yes, I will earn and do that")</f>
        <v>Yes, I will earn and do that</v>
      </c>
      <c r="G1702" s="1" t="str">
        <f ca="1">IFERROR(__xludf.DUMMYFUNCTION("""COMPUTED_VALUE"""),"Will work for 3 years or more")</f>
        <v>Will work for 3 years or more</v>
      </c>
      <c r="H1702" s="1" t="str">
        <f ca="1">IFERROR(__xludf.DUMMYFUNCTION("""COMPUTED_VALUE"""),"No")</f>
        <v>No</v>
      </c>
      <c r="I1702" s="1" t="str">
        <f ca="1">IFERROR(__xludf.DUMMYFUNCTION("""COMPUTED_VALUE"""),"Will NOT work for them")</f>
        <v>Will NOT work for them</v>
      </c>
      <c r="J1702" s="1">
        <f ca="1">IFERROR(__xludf.DUMMYFUNCTION("""COMPUTED_VALUE"""),9)</f>
        <v>9</v>
      </c>
      <c r="K1702" s="1" t="str">
        <f ca="1">IFERROR(__xludf.DUMMYFUNCTION("""COMPUTED_VALUE"""),"Hybrid Working Environment with less than 3 days a month at office")</f>
        <v>Hybrid Working Environment with less than 3 days a month at office</v>
      </c>
      <c r="L1702" s="1" t="str">
        <f ca="1">IFERROR(__xludf.DUMMYFUNCTION("""COMPUTED_VALUE"""),"Employer who appreciates learning and enables that environment")</f>
        <v>Employer who appreciates learning and enables that environment</v>
      </c>
      <c r="M170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0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1702" s="1" t="str">
        <f ca="1">IFERROR(__xludf.DUMMYFUNCTION("""COMPUTED_VALUE"""),"Manager who explains what is expected, sets a goal and helps achieve it")</f>
        <v>Manager who explains what is expected, sets a goal and helps achieve it</v>
      </c>
      <c r="P1702" s="1" t="str">
        <f ca="1">IFERROR(__xludf.DUMMYFUNCTION("""COMPUTED_VALUE"""),"Work with 5 to 6 people in my team")</f>
        <v>Work with 5 to 6 people in my team</v>
      </c>
      <c r="Q1702" s="1"/>
    </row>
    <row r="1703" spans="1:17" ht="13.2" x14ac:dyDescent="0.25">
      <c r="A1703" s="2">
        <f ca="1">IFERROR(__xludf.DUMMYFUNCTION("""COMPUTED_VALUE"""),45047.52076603)</f>
        <v>45047.52076603</v>
      </c>
      <c r="B1703" s="1" t="str">
        <f ca="1">IFERROR(__xludf.DUMMYFUNCTION("""COMPUTED_VALUE"""),"India")</f>
        <v>India</v>
      </c>
      <c r="C1703" s="1">
        <f ca="1">IFERROR(__xludf.DUMMYFUNCTION("""COMPUTED_VALUE"""),560016)</f>
        <v>560016</v>
      </c>
      <c r="D1703" s="3" t="str">
        <f ca="1">IFERROR(__xludf.DUMMYFUNCTION("""COMPUTED_VALUE"""),"Female")</f>
        <v>Female</v>
      </c>
      <c r="E1703" s="1" t="str">
        <f ca="1">IFERROR(__xludf.DUMMYFUNCTION("""COMPUTED_VALUE"""),"Influencers who had successful careers")</f>
        <v>Influencers who had successful careers</v>
      </c>
      <c r="F1703" s="1" t="str">
        <f ca="1">IFERROR(__xludf.DUMMYFUNCTION("""COMPUTED_VALUE"""),"No I would not be pursuing Higher Education outside of India")</f>
        <v>No I would not be pursuing Higher Education outside of India</v>
      </c>
      <c r="G1703" s="1" t="str">
        <f ca="1">IFERROR(__xludf.DUMMYFUNCTION("""COMPUTED_VALUE"""),"Will work for 3 years or more")</f>
        <v>Will work for 3 years or more</v>
      </c>
      <c r="H1703" s="1" t="str">
        <f ca="1">IFERROR(__xludf.DUMMYFUNCTION("""COMPUTED_VALUE"""),"No")</f>
        <v>No</v>
      </c>
      <c r="I1703" s="1" t="str">
        <f ca="1">IFERROR(__xludf.DUMMYFUNCTION("""COMPUTED_VALUE"""),"Will NOT work for them")</f>
        <v>Will NOT work for them</v>
      </c>
      <c r="J1703" s="1">
        <f ca="1">IFERROR(__xludf.DUMMYFUNCTION("""COMPUTED_VALUE"""),5)</f>
        <v>5</v>
      </c>
      <c r="K1703" s="1" t="str">
        <f ca="1">IFERROR(__xludf.DUMMYFUNCTION("""COMPUTED_VALUE"""),"Fully Remote with Options to travel as and when needed")</f>
        <v>Fully Remote with Options to travel as and when needed</v>
      </c>
      <c r="L1703" s="1" t="str">
        <f ca="1">IFERROR(__xludf.DUMMYFUNCTION("""COMPUTED_VALUE"""),"Employer who appreciates learning and enables that environment")</f>
        <v>Employer who appreciates learning and enables that environment</v>
      </c>
      <c r="M170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03"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1703" s="1" t="str">
        <f ca="1">IFERROR(__xludf.DUMMYFUNCTION("""COMPUTED_VALUE"""),"Manager who explains what is expected, sets a goal and helps achieve it")</f>
        <v>Manager who explains what is expected, sets a goal and helps achieve it</v>
      </c>
      <c r="P1703" s="1" t="str">
        <f ca="1">IFERROR(__xludf.DUMMYFUNCTION("""COMPUTED_VALUE"""),"Work with 2 to 3 people in my team, Work with 5 to 6 people in my team")</f>
        <v>Work with 2 to 3 people in my team, Work with 5 to 6 people in my team</v>
      </c>
      <c r="Q1703" s="1"/>
    </row>
    <row r="1704" spans="1:17" ht="13.2" x14ac:dyDescent="0.25">
      <c r="A1704" s="2">
        <f ca="1">IFERROR(__xludf.DUMMYFUNCTION("""COMPUTED_VALUE"""),45047.5449521064)</f>
        <v>45047.5449521064</v>
      </c>
      <c r="B1704" s="1" t="str">
        <f ca="1">IFERROR(__xludf.DUMMYFUNCTION("""COMPUTED_VALUE"""),"India")</f>
        <v>India</v>
      </c>
      <c r="C1704" s="1">
        <f ca="1">IFERROR(__xludf.DUMMYFUNCTION("""COMPUTED_VALUE"""),572120)</f>
        <v>572120</v>
      </c>
      <c r="D1704" s="3" t="str">
        <f ca="1">IFERROR(__xludf.DUMMYFUNCTION("""COMPUTED_VALUE"""),"Male")</f>
        <v>Male</v>
      </c>
      <c r="E1704" s="1" t="str">
        <f ca="1">IFERROR(__xludf.DUMMYFUNCTION("""COMPUTED_VALUE"""),"Social Media like LinkedIn")</f>
        <v>Social Media like LinkedIn</v>
      </c>
      <c r="F1704" s="1" t="str">
        <f ca="1">IFERROR(__xludf.DUMMYFUNCTION("""COMPUTED_VALUE"""),"Yes, I will earn and do that")</f>
        <v>Yes, I will earn and do that</v>
      </c>
      <c r="G1704" s="1" t="str">
        <f ca="1">IFERROR(__xludf.DUMMYFUNCTION("""COMPUTED_VALUE"""),"This will be hard to do, but if it is the right company I would try")</f>
        <v>This will be hard to do, but if it is the right company I would try</v>
      </c>
      <c r="H1704" s="1" t="str">
        <f ca="1">IFERROR(__xludf.DUMMYFUNCTION("""COMPUTED_VALUE"""),"No")</f>
        <v>No</v>
      </c>
      <c r="I1704" s="1" t="str">
        <f ca="1">IFERROR(__xludf.DUMMYFUNCTION("""COMPUTED_VALUE"""),"Will NOT work for them")</f>
        <v>Will NOT work for them</v>
      </c>
      <c r="J1704" s="1">
        <f ca="1">IFERROR(__xludf.DUMMYFUNCTION("""COMPUTED_VALUE"""),8)</f>
        <v>8</v>
      </c>
      <c r="K1704" s="1" t="str">
        <f ca="1">IFERROR(__xludf.DUMMYFUNCTION("""COMPUTED_VALUE"""),"Hybrid Working Environment with more than 15 days a month at office")</f>
        <v>Hybrid Working Environment with more than 15 days a month at office</v>
      </c>
      <c r="L1704" s="1" t="str">
        <f ca="1">IFERROR(__xludf.DUMMYFUNCTION("""COMPUTED_VALUE"""),"Employer who rewards learning and enables that environment")</f>
        <v>Employer who rewards learning and enables that environment</v>
      </c>
      <c r="M1704" s="1" t="str">
        <f ca="1">IFERROR(__xludf.DUMMYFUNCTION("""COMPUTED_VALUE"""),"Instructor or Expert Learning Programs, Learning by observing others, Manager Teaching you")</f>
        <v>Instructor or Expert Learning Programs, Learning by observing others, Manager Teaching you</v>
      </c>
      <c r="N1704" s="1" t="str">
        <f ca="1">IFERROR(__xludf.DUMMYFUNCTION("""COMPUTED_VALUE"""),"Build and develop a Team, Look deeply into Data and generate insights, An Artificial Intelligence Specialist / Talking to Robots, Manufacturing / Oil and Gas/ Construction / Hard Physical Work related")</f>
        <v>Build and develop a Team, Look deeply into Data and generate insights, An Artificial Intelligence Specialist / Talking to Robots, Manufacturing / Oil and Gas/ Construction / Hard Physical Work related</v>
      </c>
      <c r="O1704" s="1" t="str">
        <f ca="1">IFERROR(__xludf.DUMMYFUNCTION("""COMPUTED_VALUE"""),"Manager who sets goal and helps me achieve it")</f>
        <v>Manager who sets goal and helps me achieve it</v>
      </c>
      <c r="P1704" s="1" t="str">
        <f ca="1">IFERROR(__xludf.DUMMYFUNCTION("""COMPUTED_VALUE"""),"Work with 2 to 3 people in my team")</f>
        <v>Work with 2 to 3 people in my team</v>
      </c>
      <c r="Q1704" s="1"/>
    </row>
    <row r="1705" spans="1:17" ht="13.2" x14ac:dyDescent="0.25">
      <c r="A1705" s="2">
        <f ca="1">IFERROR(__xludf.DUMMYFUNCTION("""COMPUTED_VALUE"""),45047.6028984953)</f>
        <v>45047.602898495301</v>
      </c>
      <c r="B1705" s="1" t="str">
        <f ca="1">IFERROR(__xludf.DUMMYFUNCTION("""COMPUTED_VALUE"""),"India")</f>
        <v>India</v>
      </c>
      <c r="C1705" s="1">
        <f ca="1">IFERROR(__xludf.DUMMYFUNCTION("""COMPUTED_VALUE"""),679101)</f>
        <v>679101</v>
      </c>
      <c r="D1705" s="3" t="str">
        <f ca="1">IFERROR(__xludf.DUMMYFUNCTION("""COMPUTED_VALUE"""),"Female")</f>
        <v>Female</v>
      </c>
      <c r="E1705" s="1" t="str">
        <f ca="1">IFERROR(__xludf.DUMMYFUNCTION("""COMPUTED_VALUE"""),"My Parents")</f>
        <v>My Parents</v>
      </c>
      <c r="F1705" s="1" t="str">
        <f ca="1">IFERROR(__xludf.DUMMYFUNCTION("""COMPUTED_VALUE"""),"Yes, I will earn and do that")</f>
        <v>Yes, I will earn and do that</v>
      </c>
      <c r="G1705" s="1" t="str">
        <f ca="1">IFERROR(__xludf.DUMMYFUNCTION("""COMPUTED_VALUE"""),"Will work for 3 years or more")</f>
        <v>Will work for 3 years or more</v>
      </c>
      <c r="H1705" s="1" t="str">
        <f ca="1">IFERROR(__xludf.DUMMYFUNCTION("""COMPUTED_VALUE"""),"Yes")</f>
        <v>Yes</v>
      </c>
      <c r="I1705" s="1" t="str">
        <f ca="1">IFERROR(__xludf.DUMMYFUNCTION("""COMPUTED_VALUE"""),"Will NOT work for them")</f>
        <v>Will NOT work for them</v>
      </c>
      <c r="J1705" s="1">
        <f ca="1">IFERROR(__xludf.DUMMYFUNCTION("""COMPUTED_VALUE"""),1)</f>
        <v>1</v>
      </c>
      <c r="K1705" s="1" t="str">
        <f ca="1">IFERROR(__xludf.DUMMYFUNCTION("""COMPUTED_VALUE"""),"Every Day Office Environment")</f>
        <v>Every Day Office Environment</v>
      </c>
      <c r="L1705" s="1" t="str">
        <f ca="1">IFERROR(__xludf.DUMMYFUNCTION("""COMPUTED_VALUE"""),"Employer who pushes your limits and doesn't enables learning environment and never rewards you")</f>
        <v>Employer who pushes your limits and doesn't enables learning environment and never rewards you</v>
      </c>
      <c r="M1705"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705"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1705" s="1" t="str">
        <f ca="1">IFERROR(__xludf.DUMMYFUNCTION("""COMPUTED_VALUE"""),"Manager who sets goal and helps me achieve it")</f>
        <v>Manager who sets goal and helps me achieve it</v>
      </c>
      <c r="P1705" s="1" t="str">
        <f ca="1">IFERROR(__xludf.DUMMYFUNCTION("""COMPUTED_VALUE"""),"Work with 5 to 6 people in my team")</f>
        <v>Work with 5 to 6 people in my team</v>
      </c>
      <c r="Q1705" s="1"/>
    </row>
    <row r="1706" spans="1:17" ht="13.2" x14ac:dyDescent="0.25">
      <c r="A1706" s="2">
        <f ca="1">IFERROR(__xludf.DUMMYFUNCTION("""COMPUTED_VALUE"""),45047.6218276157)</f>
        <v>45047.621827615701</v>
      </c>
      <c r="B1706" s="1" t="str">
        <f ca="1">IFERROR(__xludf.DUMMYFUNCTION("""COMPUTED_VALUE"""),"India")</f>
        <v>India</v>
      </c>
      <c r="C1706" s="1">
        <f ca="1">IFERROR(__xludf.DUMMYFUNCTION("""COMPUTED_VALUE"""),827012)</f>
        <v>827012</v>
      </c>
      <c r="D1706" s="3" t="str">
        <f ca="1">IFERROR(__xludf.DUMMYFUNCTION("""COMPUTED_VALUE"""),"Male")</f>
        <v>Male</v>
      </c>
      <c r="E1706" s="1" t="str">
        <f ca="1">IFERROR(__xludf.DUMMYFUNCTION("""COMPUTED_VALUE"""),"Social Media like LinkedIn")</f>
        <v>Social Media like LinkedIn</v>
      </c>
      <c r="F1706" s="1" t="str">
        <f ca="1">IFERROR(__xludf.DUMMYFUNCTION("""COMPUTED_VALUE"""),"Yes, I will earn and do that")</f>
        <v>Yes, I will earn and do that</v>
      </c>
      <c r="G1706" s="1" t="str">
        <f ca="1">IFERROR(__xludf.DUMMYFUNCTION("""COMPUTED_VALUE"""),"This will be hard to do, but if it is the right company I would try")</f>
        <v>This will be hard to do, but if it is the right company I would try</v>
      </c>
      <c r="H1706" s="1" t="str">
        <f ca="1">IFERROR(__xludf.DUMMYFUNCTION("""COMPUTED_VALUE"""),"No")</f>
        <v>No</v>
      </c>
      <c r="I1706" s="1" t="str">
        <f ca="1">IFERROR(__xludf.DUMMYFUNCTION("""COMPUTED_VALUE"""),"Will work for them")</f>
        <v>Will work for them</v>
      </c>
      <c r="J1706" s="1">
        <f ca="1">IFERROR(__xludf.DUMMYFUNCTION("""COMPUTED_VALUE"""),6)</f>
        <v>6</v>
      </c>
      <c r="K1706" s="1" t="str">
        <f ca="1">IFERROR(__xludf.DUMMYFUNCTION("""COMPUTED_VALUE"""),"Hybrid Working Environment with less than 3 days a month at office")</f>
        <v>Hybrid Working Environment with less than 3 days a month at office</v>
      </c>
      <c r="L1706" s="1" t="str">
        <f ca="1">IFERROR(__xludf.DUMMYFUNCTION("""COMPUTED_VALUE"""),"Employer who pushes your limits by enabling an learning environment, and rewards you at the end")</f>
        <v>Employer who pushes your limits by enabling an learning environment, and rewards you at the end</v>
      </c>
      <c r="M170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06"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706" s="1" t="str">
        <f ca="1">IFERROR(__xludf.DUMMYFUNCTION("""COMPUTED_VALUE"""),"Manager who explains what is expected, sets a goal and helps achieve it")</f>
        <v>Manager who explains what is expected, sets a goal and helps achieve it</v>
      </c>
      <c r="P1706" s="1" t="str">
        <f ca="1">IFERROR(__xludf.DUMMYFUNCTION("""COMPUTED_VALUE"""),"Work with 7 to 10 or more people in my team")</f>
        <v>Work with 7 to 10 or more people in my team</v>
      </c>
      <c r="Q1706" s="1"/>
    </row>
    <row r="1707" spans="1:17" ht="13.2" x14ac:dyDescent="0.25">
      <c r="A1707" s="2">
        <f ca="1">IFERROR(__xludf.DUMMYFUNCTION("""COMPUTED_VALUE"""),45047.6227852199)</f>
        <v>45047.622785219901</v>
      </c>
      <c r="B1707" s="1" t="str">
        <f ca="1">IFERROR(__xludf.DUMMYFUNCTION("""COMPUTED_VALUE"""),"India")</f>
        <v>India</v>
      </c>
      <c r="C1707" s="1">
        <f ca="1">IFERROR(__xludf.DUMMYFUNCTION("""COMPUTED_VALUE"""),827004)</f>
        <v>827004</v>
      </c>
      <c r="D1707" s="3" t="str">
        <f ca="1">IFERROR(__xludf.DUMMYFUNCTION("""COMPUTED_VALUE"""),"Male")</f>
        <v>Male</v>
      </c>
      <c r="E1707" s="1" t="str">
        <f ca="1">IFERROR(__xludf.DUMMYFUNCTION("""COMPUTED_VALUE"""),"My Parents")</f>
        <v>My Parents</v>
      </c>
      <c r="F1707" s="1" t="str">
        <f ca="1">IFERROR(__xludf.DUMMYFUNCTION("""COMPUTED_VALUE"""),"Yes, I will earn and do that")</f>
        <v>Yes, I will earn and do that</v>
      </c>
      <c r="G1707" s="1" t="str">
        <f ca="1">IFERROR(__xludf.DUMMYFUNCTION("""COMPUTED_VALUE"""),"This will be hard to do, but if it is the right company I would try")</f>
        <v>This will be hard to do, but if it is the right company I would try</v>
      </c>
      <c r="H1707" s="1" t="str">
        <f ca="1">IFERROR(__xludf.DUMMYFUNCTION("""COMPUTED_VALUE"""),"Yes")</f>
        <v>Yes</v>
      </c>
      <c r="I1707" s="1" t="str">
        <f ca="1">IFERROR(__xludf.DUMMYFUNCTION("""COMPUTED_VALUE"""),"Will work for them")</f>
        <v>Will work for them</v>
      </c>
      <c r="J1707" s="1">
        <f ca="1">IFERROR(__xludf.DUMMYFUNCTION("""COMPUTED_VALUE"""),1)</f>
        <v>1</v>
      </c>
      <c r="K1707" s="1" t="str">
        <f ca="1">IFERROR(__xludf.DUMMYFUNCTION("""COMPUTED_VALUE"""),"Every Day Office Environment")</f>
        <v>Every Day Office Environment</v>
      </c>
      <c r="L1707" s="1" t="str">
        <f ca="1">IFERROR(__xludf.DUMMYFUNCTION("""COMPUTED_VALUE"""),"Employer who appreciates learning and enables that environment")</f>
        <v>Employer who appreciates learning and enables that environment</v>
      </c>
      <c r="M1707" s="1" t="str">
        <f ca="1">IFERROR(__xludf.DUMMYFUNCTION("""COMPUTED_VALUE"""),"Self Paced Learning Portals of the Company, Learning by observing others, Manager Teaching you")</f>
        <v>Self Paced Learning Portals of the Company, Learning by observing others, Manager Teaching you</v>
      </c>
      <c r="N1707" s="1" t="str">
        <f ca="1">IFERROR(__xludf.DUMMYFUNCTION("""COMPUTED_VALUE"""),"Design and Creative strategy in any company, Teaching in any of the institutes/colleges/online or offline, Become a content Creator in some platform, I Want to sell things/Sales")</f>
        <v>Design and Creative strategy in any company, Teaching in any of the institutes/colleges/online or offline, Become a content Creator in some platform, I Want to sell things/Sales</v>
      </c>
      <c r="O1707" s="1" t="str">
        <f ca="1">IFERROR(__xludf.DUMMYFUNCTION("""COMPUTED_VALUE"""),"Manager who clearly describes what she/he needs")</f>
        <v>Manager who clearly describes what she/he needs</v>
      </c>
      <c r="P1707" s="1" t="str">
        <f ca="1">IFERROR(__xludf.DUMMYFUNCTION("""COMPUTED_VALUE"""),"Work with more than 10 people in my team")</f>
        <v>Work with more than 10 people in my team</v>
      </c>
      <c r="Q1707" s="1"/>
    </row>
    <row r="1708" spans="1:17" ht="13.2" x14ac:dyDescent="0.25">
      <c r="A1708" s="2">
        <f ca="1">IFERROR(__xludf.DUMMYFUNCTION("""COMPUTED_VALUE"""),45047.6240149537)</f>
        <v>45047.624014953697</v>
      </c>
      <c r="B1708" s="1" t="str">
        <f ca="1">IFERROR(__xludf.DUMMYFUNCTION("""COMPUTED_VALUE"""),"India")</f>
        <v>India</v>
      </c>
      <c r="C1708" s="1">
        <f ca="1">IFERROR(__xludf.DUMMYFUNCTION("""COMPUTED_VALUE"""),827013)</f>
        <v>827013</v>
      </c>
      <c r="D1708" s="3" t="str">
        <f ca="1">IFERROR(__xludf.DUMMYFUNCTION("""COMPUTED_VALUE"""),"Male")</f>
        <v>Male</v>
      </c>
      <c r="E1708" s="1" t="str">
        <f ca="1">IFERROR(__xludf.DUMMYFUNCTION("""COMPUTED_VALUE"""),"My Parents")</f>
        <v>My Parents</v>
      </c>
      <c r="F1708" s="1" t="str">
        <f ca="1">IFERROR(__xludf.DUMMYFUNCTION("""COMPUTED_VALUE"""),"Yes, I will earn and do that")</f>
        <v>Yes, I will earn and do that</v>
      </c>
      <c r="G1708" s="1" t="str">
        <f ca="1">IFERROR(__xludf.DUMMYFUNCTION("""COMPUTED_VALUE"""),"This will be hard to do, but if it is the right company I would try")</f>
        <v>This will be hard to do, but if it is the right company I would try</v>
      </c>
      <c r="H1708" s="1" t="str">
        <f ca="1">IFERROR(__xludf.DUMMYFUNCTION("""COMPUTED_VALUE"""),"No")</f>
        <v>No</v>
      </c>
      <c r="I1708" s="1" t="str">
        <f ca="1">IFERROR(__xludf.DUMMYFUNCTION("""COMPUTED_VALUE"""),"Will NOT work for them")</f>
        <v>Will NOT work for them</v>
      </c>
      <c r="J1708" s="1">
        <f ca="1">IFERROR(__xludf.DUMMYFUNCTION("""COMPUTED_VALUE"""),8)</f>
        <v>8</v>
      </c>
      <c r="K1708" s="1" t="str">
        <f ca="1">IFERROR(__xludf.DUMMYFUNCTION("""COMPUTED_VALUE"""),"Every Day Office Environment")</f>
        <v>Every Day Office Environment</v>
      </c>
      <c r="L1708" s="1" t="str">
        <f ca="1">IFERROR(__xludf.DUMMYFUNCTION("""COMPUTED_VALUE"""),"Employer who appreciates learning and enables that environment")</f>
        <v>Employer who appreciates learning and enables that environment</v>
      </c>
      <c r="M17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0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708" s="1" t="str">
        <f ca="1">IFERROR(__xludf.DUMMYFUNCTION("""COMPUTED_VALUE"""),"Manager who clearly describes what she/he needs")</f>
        <v>Manager who clearly describes what she/he needs</v>
      </c>
      <c r="P1708" s="1" t="str">
        <f ca="1">IFERROR(__xludf.DUMMYFUNCTION("""COMPUTED_VALUE"""),"Work with 5 to 6 people in my team")</f>
        <v>Work with 5 to 6 people in my team</v>
      </c>
      <c r="Q1708" s="1"/>
    </row>
    <row r="1709" spans="1:17" ht="13.2" x14ac:dyDescent="0.25">
      <c r="A1709" s="2">
        <f ca="1">IFERROR(__xludf.DUMMYFUNCTION("""COMPUTED_VALUE"""),45047.626820949)</f>
        <v>45047.626820949001</v>
      </c>
      <c r="B1709" s="1" t="str">
        <f ca="1">IFERROR(__xludf.DUMMYFUNCTION("""COMPUTED_VALUE"""),"India")</f>
        <v>India</v>
      </c>
      <c r="C1709" s="1">
        <f ca="1">IFERROR(__xludf.DUMMYFUNCTION("""COMPUTED_VALUE"""),160030)</f>
        <v>160030</v>
      </c>
      <c r="D1709" s="3" t="str">
        <f ca="1">IFERROR(__xludf.DUMMYFUNCTION("""COMPUTED_VALUE"""),"Female")</f>
        <v>Female</v>
      </c>
      <c r="E1709" s="1" t="str">
        <f ca="1">IFERROR(__xludf.DUMMYFUNCTION("""COMPUTED_VALUE"""),"My Parents")</f>
        <v>My Parents</v>
      </c>
      <c r="F1709" s="1" t="str">
        <f ca="1">IFERROR(__xludf.DUMMYFUNCTION("""COMPUTED_VALUE"""),"No, But if someone could bare the cost I will")</f>
        <v>No, But if someone could bare the cost I will</v>
      </c>
      <c r="G1709" s="1" t="str">
        <f ca="1">IFERROR(__xludf.DUMMYFUNCTION("""COMPUTED_VALUE"""),"This will be hard to do, but if it is the right company I would try")</f>
        <v>This will be hard to do, but if it is the right company I would try</v>
      </c>
      <c r="H1709" s="1" t="str">
        <f ca="1">IFERROR(__xludf.DUMMYFUNCTION("""COMPUTED_VALUE"""),"No")</f>
        <v>No</v>
      </c>
      <c r="I1709" s="1" t="str">
        <f ca="1">IFERROR(__xludf.DUMMYFUNCTION("""COMPUTED_VALUE"""),"Will NOT work for them")</f>
        <v>Will NOT work for them</v>
      </c>
      <c r="J1709" s="1">
        <f ca="1">IFERROR(__xludf.DUMMYFUNCTION("""COMPUTED_VALUE"""),7)</f>
        <v>7</v>
      </c>
      <c r="K1709" s="1" t="str">
        <f ca="1">IFERROR(__xludf.DUMMYFUNCTION("""COMPUTED_VALUE"""),"Hybrid Working Environment with more than 15 days a month at office")</f>
        <v>Hybrid Working Environment with more than 15 days a month at office</v>
      </c>
      <c r="L1709" s="1" t="str">
        <f ca="1">IFERROR(__xludf.DUMMYFUNCTION("""COMPUTED_VALUE"""),"Employer who pushes your limits by enabling an learning environment, and rewards you at the end")</f>
        <v>Employer who pushes your limits by enabling an learning environment, and rewards you at the end</v>
      </c>
      <c r="M170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70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709" s="1" t="str">
        <f ca="1">IFERROR(__xludf.DUMMYFUNCTION("""COMPUTED_VALUE"""),"Manager who explains what is expected, sets a goal and helps achieve it")</f>
        <v>Manager who explains what is expected, sets a goal and helps achieve it</v>
      </c>
      <c r="P1709" s="1" t="str">
        <f ca="1">IFERROR(__xludf.DUMMYFUNCTION("""COMPUTED_VALUE"""),"Work with 5 to 6 people in my team")</f>
        <v>Work with 5 to 6 people in my team</v>
      </c>
      <c r="Q1709" s="1"/>
    </row>
    <row r="1710" spans="1:17" ht="13.2" x14ac:dyDescent="0.25">
      <c r="A1710" s="2">
        <f ca="1">IFERROR(__xludf.DUMMYFUNCTION("""COMPUTED_VALUE"""),45047.6277729861)</f>
        <v>45047.627772986103</v>
      </c>
      <c r="B1710" s="1" t="str">
        <f ca="1">IFERROR(__xludf.DUMMYFUNCTION("""COMPUTED_VALUE"""),"India")</f>
        <v>India</v>
      </c>
      <c r="C1710" s="1">
        <f ca="1">IFERROR(__xludf.DUMMYFUNCTION("""COMPUTED_VALUE"""),678001)</f>
        <v>678001</v>
      </c>
      <c r="D1710" s="3" t="str">
        <f ca="1">IFERROR(__xludf.DUMMYFUNCTION("""COMPUTED_VALUE"""),"Male")</f>
        <v>Male</v>
      </c>
      <c r="E1710" s="1" t="str">
        <f ca="1">IFERROR(__xludf.DUMMYFUNCTION("""COMPUTED_VALUE"""),"Influencers who had successful careers")</f>
        <v>Influencers who had successful careers</v>
      </c>
      <c r="F1710" s="1" t="str">
        <f ca="1">IFERROR(__xludf.DUMMYFUNCTION("""COMPUTED_VALUE"""),"No I would not be pursuing Higher Education outside of India")</f>
        <v>No I would not be pursuing Higher Education outside of India</v>
      </c>
      <c r="G1710" s="1" t="str">
        <f ca="1">IFERROR(__xludf.DUMMYFUNCTION("""COMPUTED_VALUE"""),"This will be hard to do, but if it is the right company I would try")</f>
        <v>This will be hard to do, but if it is the right company I would try</v>
      </c>
      <c r="H1710" s="1" t="str">
        <f ca="1">IFERROR(__xludf.DUMMYFUNCTION("""COMPUTED_VALUE"""),"No")</f>
        <v>No</v>
      </c>
      <c r="I1710" s="1" t="str">
        <f ca="1">IFERROR(__xludf.DUMMYFUNCTION("""COMPUTED_VALUE"""),"Will NOT work for them")</f>
        <v>Will NOT work for them</v>
      </c>
      <c r="J1710" s="1">
        <f ca="1">IFERROR(__xludf.DUMMYFUNCTION("""COMPUTED_VALUE"""),3)</f>
        <v>3</v>
      </c>
      <c r="K1710" s="1" t="str">
        <f ca="1">IFERROR(__xludf.DUMMYFUNCTION("""COMPUTED_VALUE"""),"Fully Remote with Options to travel as and when needed")</f>
        <v>Fully Remote with Options to travel as and when needed</v>
      </c>
      <c r="L1710" s="1" t="str">
        <f ca="1">IFERROR(__xludf.DUMMYFUNCTION("""COMPUTED_VALUE"""),"Employer who pushes your limits by enabling an learning environment, and rewards you at the end")</f>
        <v>Employer who pushes your limits by enabling an learning environment, and rewards you at the end</v>
      </c>
      <c r="M171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10"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710" s="1" t="str">
        <f ca="1">IFERROR(__xludf.DUMMYFUNCTION("""COMPUTED_VALUE"""),"Manager who sets goal and helps me achieve it")</f>
        <v>Manager who sets goal and helps me achieve it</v>
      </c>
      <c r="P1710" s="1" t="str">
        <f ca="1">IFERROR(__xludf.DUMMYFUNCTION("""COMPUTED_VALUE"""),"Work with 7 to 10 or more people in my team")</f>
        <v>Work with 7 to 10 or more people in my team</v>
      </c>
      <c r="Q1710" s="1"/>
    </row>
    <row r="1711" spans="1:17" ht="13.2" x14ac:dyDescent="0.25">
      <c r="A1711" s="2">
        <f ca="1">IFERROR(__xludf.DUMMYFUNCTION("""COMPUTED_VALUE"""),45047.6383055787)</f>
        <v>45047.638305578701</v>
      </c>
      <c r="B1711" s="1" t="str">
        <f ca="1">IFERROR(__xludf.DUMMYFUNCTION("""COMPUTED_VALUE"""),"India")</f>
        <v>India</v>
      </c>
      <c r="C1711" s="1">
        <f ca="1">IFERROR(__xludf.DUMMYFUNCTION("""COMPUTED_VALUE"""),422003)</f>
        <v>422003</v>
      </c>
      <c r="D1711" s="3" t="str">
        <f ca="1">IFERROR(__xludf.DUMMYFUNCTION("""COMPUTED_VALUE"""),"Female")</f>
        <v>Female</v>
      </c>
      <c r="E1711" s="1" t="str">
        <f ca="1">IFERROR(__xludf.DUMMYFUNCTION("""COMPUTED_VALUE"""),"My Parents")</f>
        <v>My Parents</v>
      </c>
      <c r="F1711" s="1" t="str">
        <f ca="1">IFERROR(__xludf.DUMMYFUNCTION("""COMPUTED_VALUE"""),"No, But if someone could bare the cost I will")</f>
        <v>No, But if someone could bare the cost I will</v>
      </c>
      <c r="G1711" s="1" t="str">
        <f ca="1">IFERROR(__xludf.DUMMYFUNCTION("""COMPUTED_VALUE"""),"This will be hard to do, but if it is the right company I would try")</f>
        <v>This will be hard to do, but if it is the right company I would try</v>
      </c>
      <c r="H1711" s="1" t="str">
        <f ca="1">IFERROR(__xludf.DUMMYFUNCTION("""COMPUTED_VALUE"""),"No")</f>
        <v>No</v>
      </c>
      <c r="I1711" s="1" t="str">
        <f ca="1">IFERROR(__xludf.DUMMYFUNCTION("""COMPUTED_VALUE"""),"Will NOT work for them")</f>
        <v>Will NOT work for them</v>
      </c>
      <c r="J1711" s="1">
        <f ca="1">IFERROR(__xludf.DUMMYFUNCTION("""COMPUTED_VALUE"""),4)</f>
        <v>4</v>
      </c>
      <c r="K1711" s="1" t="str">
        <f ca="1">IFERROR(__xludf.DUMMYFUNCTION("""COMPUTED_VALUE"""),"Hybrid Working Environment with less than 3 days a month at office")</f>
        <v>Hybrid Working Environment with less than 3 days a month at office</v>
      </c>
      <c r="L1711" s="1" t="str">
        <f ca="1">IFERROR(__xludf.DUMMYFUNCTION("""COMPUTED_VALUE"""),"Employer who rewards learning and enables that environment")</f>
        <v>Employer who rewards learning and enables that environment</v>
      </c>
      <c r="M17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11" s="1" t="str">
        <f ca="1">IFERROR(__xludf.DUMMYFUNCTION("""COMPUTED_VALUE"""),"Build and develop a Team, Design and Develop amazing software, Become a content Creator in some platform, I Want to sell things/Sales")</f>
        <v>Build and develop a Team, Design and Develop amazing software, Become a content Creator in some platform, I Want to sell things/Sales</v>
      </c>
      <c r="O1711" s="1" t="str">
        <f ca="1">IFERROR(__xludf.DUMMYFUNCTION("""COMPUTED_VALUE"""),"Manager who clearly describes what she/he needs")</f>
        <v>Manager who clearly describes what she/he needs</v>
      </c>
      <c r="P1711" s="1" t="str">
        <f ca="1">IFERROR(__xludf.DUMMYFUNCTION("""COMPUTED_VALUE"""),"Work with 2 to 3 people in my team")</f>
        <v>Work with 2 to 3 people in my team</v>
      </c>
      <c r="Q1711" s="1"/>
    </row>
    <row r="1712" spans="1:17" ht="13.2" x14ac:dyDescent="0.25">
      <c r="A1712" s="2">
        <f ca="1">IFERROR(__xludf.DUMMYFUNCTION("""COMPUTED_VALUE"""),45047.646368368)</f>
        <v>45047.646368367998</v>
      </c>
      <c r="B1712" s="1" t="str">
        <f ca="1">IFERROR(__xludf.DUMMYFUNCTION("""COMPUTED_VALUE"""),"India")</f>
        <v>India</v>
      </c>
      <c r="C1712" s="1">
        <f ca="1">IFERROR(__xludf.DUMMYFUNCTION("""COMPUTED_VALUE"""),827012)</f>
        <v>827012</v>
      </c>
      <c r="D1712" s="3" t="str">
        <f ca="1">IFERROR(__xludf.DUMMYFUNCTION("""COMPUTED_VALUE"""),"Male")</f>
        <v>Male</v>
      </c>
      <c r="E1712" s="1" t="str">
        <f ca="1">IFERROR(__xludf.DUMMYFUNCTION("""COMPUTED_VALUE"""),"Social Media like LinkedIn")</f>
        <v>Social Media like LinkedIn</v>
      </c>
      <c r="F1712" s="1" t="str">
        <f ca="1">IFERROR(__xludf.DUMMYFUNCTION("""COMPUTED_VALUE"""),"Yes, I will earn and do that")</f>
        <v>Yes, I will earn and do that</v>
      </c>
      <c r="G1712" s="1" t="str">
        <f ca="1">IFERROR(__xludf.DUMMYFUNCTION("""COMPUTED_VALUE"""),"This will be hard to do, but if it is the right company I would try")</f>
        <v>This will be hard to do, but if it is the right company I would try</v>
      </c>
      <c r="H1712" s="1" t="str">
        <f ca="1">IFERROR(__xludf.DUMMYFUNCTION("""COMPUTED_VALUE"""),"No")</f>
        <v>No</v>
      </c>
      <c r="I1712" s="1" t="str">
        <f ca="1">IFERROR(__xludf.DUMMYFUNCTION("""COMPUTED_VALUE"""),"Will NOT work for them")</f>
        <v>Will NOT work for them</v>
      </c>
      <c r="J1712" s="1">
        <f ca="1">IFERROR(__xludf.DUMMYFUNCTION("""COMPUTED_VALUE"""),7)</f>
        <v>7</v>
      </c>
      <c r="K1712" s="1" t="str">
        <f ca="1">IFERROR(__xludf.DUMMYFUNCTION("""COMPUTED_VALUE"""),"Hybrid Working Environment with more than 15 days a month at office")</f>
        <v>Hybrid Working Environment with more than 15 days a month at office</v>
      </c>
      <c r="L1712" s="1" t="str">
        <f ca="1">IFERROR(__xludf.DUMMYFUNCTION("""COMPUTED_VALUE"""),"Employer who pushes your limits by enabling an learning environment, and rewards you at the end")</f>
        <v>Employer who pushes your limits by enabling an learning environment, and rewards you at the end</v>
      </c>
      <c r="M1712" s="1" t="str">
        <f ca="1">IFERROR(__xludf.DUMMYFUNCTION("""COMPUTED_VALUE"""),"Self Paced Learning Portals of the Company, Learning by observing others, Manager Teaching you")</f>
        <v>Self Paced Learning Portals of the Company, Learning by observing others, Manager Teaching you</v>
      </c>
      <c r="N1712"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712" s="1" t="str">
        <f ca="1">IFERROR(__xludf.DUMMYFUNCTION("""COMPUTED_VALUE"""),"Manager who explains what is expected, sets a goal and helps achieve it")</f>
        <v>Manager who explains what is expected, sets a goal and helps achieve it</v>
      </c>
      <c r="P1712" s="1" t="str">
        <f ca="1">IFERROR(__xludf.DUMMYFUNCTION("""COMPUTED_VALUE"""),"Work with 2 to 3 people in my team")</f>
        <v>Work with 2 to 3 people in my team</v>
      </c>
      <c r="Q1712" s="1"/>
    </row>
    <row r="1713" spans="1:17" ht="13.2" x14ac:dyDescent="0.25">
      <c r="A1713" s="2">
        <f ca="1">IFERROR(__xludf.DUMMYFUNCTION("""COMPUTED_VALUE"""),45047.6676305555)</f>
        <v>45047.667630555501</v>
      </c>
      <c r="B1713" s="1" t="str">
        <f ca="1">IFERROR(__xludf.DUMMYFUNCTION("""COMPUTED_VALUE"""),"India")</f>
        <v>India</v>
      </c>
      <c r="C1713" s="1">
        <f ca="1">IFERROR(__xludf.DUMMYFUNCTION("""COMPUTED_VALUE"""),700023)</f>
        <v>700023</v>
      </c>
      <c r="D1713" s="3" t="str">
        <f ca="1">IFERROR(__xludf.DUMMYFUNCTION("""COMPUTED_VALUE"""),"Female")</f>
        <v>Female</v>
      </c>
      <c r="E1713" s="1" t="str">
        <f ca="1">IFERROR(__xludf.DUMMYFUNCTION("""COMPUTED_VALUE"""),"People from my circle, but not family members")</f>
        <v>People from my circle, but not family members</v>
      </c>
      <c r="F1713" s="1" t="str">
        <f ca="1">IFERROR(__xludf.DUMMYFUNCTION("""COMPUTED_VALUE"""),"Yes, I will earn and do that")</f>
        <v>Yes, I will earn and do that</v>
      </c>
      <c r="G1713" s="1" t="str">
        <f ca="1">IFERROR(__xludf.DUMMYFUNCTION("""COMPUTED_VALUE"""),"Will work for 3 years or more")</f>
        <v>Will work for 3 years or more</v>
      </c>
      <c r="H1713" s="1" t="str">
        <f ca="1">IFERROR(__xludf.DUMMYFUNCTION("""COMPUTED_VALUE"""),"No")</f>
        <v>No</v>
      </c>
      <c r="I1713" s="1" t="str">
        <f ca="1">IFERROR(__xludf.DUMMYFUNCTION("""COMPUTED_VALUE"""),"Will NOT work for them")</f>
        <v>Will NOT work for them</v>
      </c>
      <c r="J1713" s="1">
        <f ca="1">IFERROR(__xludf.DUMMYFUNCTION("""COMPUTED_VALUE"""),9)</f>
        <v>9</v>
      </c>
      <c r="K1713" s="1" t="str">
        <f ca="1">IFERROR(__xludf.DUMMYFUNCTION("""COMPUTED_VALUE"""),"Hybrid Working Environment with less than 3 days a month at office")</f>
        <v>Hybrid Working Environment with less than 3 days a month at office</v>
      </c>
      <c r="L1713" s="1" t="str">
        <f ca="1">IFERROR(__xludf.DUMMYFUNCTION("""COMPUTED_VALUE"""),"Employer who pushes your limits by enabling an learning environment, and rewards you at the end")</f>
        <v>Employer who pushes your limits by enabling an learning environment, and rewards you at the end</v>
      </c>
      <c r="M171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13"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1713" s="1" t="str">
        <f ca="1">IFERROR(__xludf.DUMMYFUNCTION("""COMPUTED_VALUE"""),"Manager who sets goal and helps me achieve it")</f>
        <v>Manager who sets goal and helps me achieve it</v>
      </c>
      <c r="P1713" s="1" t="str">
        <f ca="1">IFERROR(__xludf.DUMMYFUNCTION("""COMPUTED_VALUE"""),"Work with 5 to 6 people in my team")</f>
        <v>Work with 5 to 6 people in my team</v>
      </c>
      <c r="Q1713" s="1"/>
    </row>
    <row r="1714" spans="1:17" ht="13.2" x14ac:dyDescent="0.25">
      <c r="A1714" s="2">
        <f ca="1">IFERROR(__xludf.DUMMYFUNCTION("""COMPUTED_VALUE"""),45047.6686354398)</f>
        <v>45047.668635439797</v>
      </c>
      <c r="B1714" s="1" t="str">
        <f ca="1">IFERROR(__xludf.DUMMYFUNCTION("""COMPUTED_VALUE"""),"India")</f>
        <v>India</v>
      </c>
      <c r="C1714" s="1">
        <f ca="1">IFERROR(__xludf.DUMMYFUNCTION("""COMPUTED_VALUE"""),605010)</f>
        <v>605010</v>
      </c>
      <c r="D1714" s="3" t="str">
        <f ca="1">IFERROR(__xludf.DUMMYFUNCTION("""COMPUTED_VALUE"""),"Male")</f>
        <v>Male</v>
      </c>
      <c r="E1714" s="1" t="str">
        <f ca="1">IFERROR(__xludf.DUMMYFUNCTION("""COMPUTED_VALUE"""),"My Parents")</f>
        <v>My Parents</v>
      </c>
      <c r="F1714" s="1" t="str">
        <f ca="1">IFERROR(__xludf.DUMMYFUNCTION("""COMPUTED_VALUE"""),"No I would not be pursuing Higher Education outside of India")</f>
        <v>No I would not be pursuing Higher Education outside of India</v>
      </c>
      <c r="G1714" s="1" t="str">
        <f ca="1">IFERROR(__xludf.DUMMYFUNCTION("""COMPUTED_VALUE"""),"Will work for 3 years or more")</f>
        <v>Will work for 3 years or more</v>
      </c>
      <c r="H1714" s="1" t="str">
        <f ca="1">IFERROR(__xludf.DUMMYFUNCTION("""COMPUTED_VALUE"""),"No")</f>
        <v>No</v>
      </c>
      <c r="I1714" s="1" t="str">
        <f ca="1">IFERROR(__xludf.DUMMYFUNCTION("""COMPUTED_VALUE"""),"Will NOT work for them")</f>
        <v>Will NOT work for them</v>
      </c>
      <c r="J1714" s="1">
        <f ca="1">IFERROR(__xludf.DUMMYFUNCTION("""COMPUTED_VALUE"""),5)</f>
        <v>5</v>
      </c>
      <c r="K1714" s="1" t="str">
        <f ca="1">IFERROR(__xludf.DUMMYFUNCTION("""COMPUTED_VALUE"""),"Hybrid Working Environment with more than 15 days a month at office")</f>
        <v>Hybrid Working Environment with more than 15 days a month at office</v>
      </c>
      <c r="L1714" s="1" t="str">
        <f ca="1">IFERROR(__xludf.DUMMYFUNCTION("""COMPUTED_VALUE"""),"Employer who appreciates learning and enables that environment")</f>
        <v>Employer who appreciates learning and enables that environment</v>
      </c>
      <c r="M17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14"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714" s="1" t="str">
        <f ca="1">IFERROR(__xludf.DUMMYFUNCTION("""COMPUTED_VALUE"""),"Manager who sets goal and helps me achieve it")</f>
        <v>Manager who sets goal and helps me achieve it</v>
      </c>
      <c r="P1714" s="1" t="str">
        <f ca="1">IFERROR(__xludf.DUMMYFUNCTION("""COMPUTED_VALUE"""),"Work with more than 10 people in my team")</f>
        <v>Work with more than 10 people in my team</v>
      </c>
      <c r="Q1714" s="1"/>
    </row>
    <row r="1715" spans="1:17" ht="13.2" x14ac:dyDescent="0.25">
      <c r="A1715" s="2">
        <f ca="1">IFERROR(__xludf.DUMMYFUNCTION("""COMPUTED_VALUE"""),45047.7061130787)</f>
        <v>45047.706113078697</v>
      </c>
      <c r="B1715" s="1" t="str">
        <f ca="1">IFERROR(__xludf.DUMMYFUNCTION("""COMPUTED_VALUE"""),"India")</f>
        <v>India</v>
      </c>
      <c r="C1715" s="1">
        <f ca="1">IFERROR(__xludf.DUMMYFUNCTION("""COMPUTED_VALUE"""),7)</f>
        <v>7</v>
      </c>
      <c r="D1715" s="3" t="str">
        <f ca="1">IFERROR(__xludf.DUMMYFUNCTION("""COMPUTED_VALUE"""),"Female")</f>
        <v>Female</v>
      </c>
      <c r="E1715" s="1" t="str">
        <f ca="1">IFERROR(__xludf.DUMMYFUNCTION("""COMPUTED_VALUE"""),"People who have changed the world for better")</f>
        <v>People who have changed the world for better</v>
      </c>
      <c r="F1715" s="1" t="str">
        <f ca="1">IFERROR(__xludf.DUMMYFUNCTION("""COMPUTED_VALUE"""),"No, But if someone could bare the cost I will")</f>
        <v>No, But if someone could bare the cost I will</v>
      </c>
      <c r="G1715" s="1" t="str">
        <f ca="1">IFERROR(__xludf.DUMMYFUNCTION("""COMPUTED_VALUE"""),"This will be hard to do, but if it is the right company I would try")</f>
        <v>This will be hard to do, but if it is the right company I would try</v>
      </c>
      <c r="H1715" s="1" t="str">
        <f ca="1">IFERROR(__xludf.DUMMYFUNCTION("""COMPUTED_VALUE"""),"Yes")</f>
        <v>Yes</v>
      </c>
      <c r="I1715" s="1" t="str">
        <f ca="1">IFERROR(__xludf.DUMMYFUNCTION("""COMPUTED_VALUE"""),"Will NOT work for them")</f>
        <v>Will NOT work for them</v>
      </c>
      <c r="J1715" s="1">
        <f ca="1">IFERROR(__xludf.DUMMYFUNCTION("""COMPUTED_VALUE"""),4)</f>
        <v>4</v>
      </c>
      <c r="K1715" s="1" t="str">
        <f ca="1">IFERROR(__xludf.DUMMYFUNCTION("""COMPUTED_VALUE"""),"Hybrid Working Environment with less than 3 days a month at office")</f>
        <v>Hybrid Working Environment with less than 3 days a month at office</v>
      </c>
      <c r="L1715" s="1" t="str">
        <f ca="1">IFERROR(__xludf.DUMMYFUNCTION("""COMPUTED_VALUE"""),"Employer who pushes your limits by enabling an learning environment, and rewards you at the end")</f>
        <v>Employer who pushes your limits by enabling an learning environment, and rewards you at the end</v>
      </c>
      <c r="M171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71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715" s="1" t="str">
        <f ca="1">IFERROR(__xludf.DUMMYFUNCTION("""COMPUTED_VALUE"""),"Manager who explains what is expected, sets a goal and helps achieve it")</f>
        <v>Manager who explains what is expected, sets a goal and helps achieve it</v>
      </c>
      <c r="P1715" s="1" t="str">
        <f ca="1">IFERROR(__xludf.DUMMYFUNCTION("""COMPUTED_VALUE"""),"Work with 5 to 6 people in my team")</f>
        <v>Work with 5 to 6 people in my team</v>
      </c>
      <c r="Q1715" s="1"/>
    </row>
    <row r="1716" spans="1:17" ht="13.2" x14ac:dyDescent="0.25">
      <c r="A1716" s="2">
        <f ca="1">IFERROR(__xludf.DUMMYFUNCTION("""COMPUTED_VALUE"""),45047.729737824)</f>
        <v>45047.729737823996</v>
      </c>
      <c r="B1716" s="1" t="str">
        <f ca="1">IFERROR(__xludf.DUMMYFUNCTION("""COMPUTED_VALUE"""),"India")</f>
        <v>India</v>
      </c>
      <c r="C1716" s="1">
        <f ca="1">IFERROR(__xludf.DUMMYFUNCTION("""COMPUTED_VALUE"""),700000)</f>
        <v>700000</v>
      </c>
      <c r="D1716" s="3" t="str">
        <f ca="1">IFERROR(__xludf.DUMMYFUNCTION("""COMPUTED_VALUE"""),"Female")</f>
        <v>Female</v>
      </c>
      <c r="E1716" s="1" t="str">
        <f ca="1">IFERROR(__xludf.DUMMYFUNCTION("""COMPUTED_VALUE"""),"People who have changed the world for better")</f>
        <v>People who have changed the world for better</v>
      </c>
      <c r="F1716" s="1" t="str">
        <f ca="1">IFERROR(__xludf.DUMMYFUNCTION("""COMPUTED_VALUE"""),"No, But if someone could bare the cost I will")</f>
        <v>No, But if someone could bare the cost I will</v>
      </c>
      <c r="G1716" s="1" t="str">
        <f ca="1">IFERROR(__xludf.DUMMYFUNCTION("""COMPUTED_VALUE"""),"This will be hard to do, but if it is the right company I would try")</f>
        <v>This will be hard to do, but if it is the right company I would try</v>
      </c>
      <c r="H1716" s="1" t="str">
        <f ca="1">IFERROR(__xludf.DUMMYFUNCTION("""COMPUTED_VALUE"""),"Yes")</f>
        <v>Yes</v>
      </c>
      <c r="I1716" s="1" t="str">
        <f ca="1">IFERROR(__xludf.DUMMYFUNCTION("""COMPUTED_VALUE"""),"Will NOT work for them")</f>
        <v>Will NOT work for them</v>
      </c>
      <c r="J1716" s="1">
        <f ca="1">IFERROR(__xludf.DUMMYFUNCTION("""COMPUTED_VALUE"""),4)</f>
        <v>4</v>
      </c>
      <c r="K1716" s="1" t="str">
        <f ca="1">IFERROR(__xludf.DUMMYFUNCTION("""COMPUTED_VALUE"""),"Fully Remote with Options to travel as and when needed")</f>
        <v>Fully Remote with Options to travel as and when needed</v>
      </c>
      <c r="L1716" s="1" t="str">
        <f ca="1">IFERROR(__xludf.DUMMYFUNCTION("""COMPUTED_VALUE"""),"Employer who rewards learning and enables that environment")</f>
        <v>Employer who rewards learning and enables that environment</v>
      </c>
      <c r="M1716" s="1" t="str">
        <f ca="1">IFERROR(__xludf.DUMMYFUNCTION("""COMPUTED_VALUE"""),"Self Paced Learning Portals of the Company, Learning by observing others, Manager Teaching you")</f>
        <v>Self Paced Learning Portals of the Company, Learning by observing others, Manager Teaching you</v>
      </c>
      <c r="N1716"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16" s="1" t="str">
        <f ca="1">IFERROR(__xludf.DUMMYFUNCTION("""COMPUTED_VALUE"""),"Manager who clearly describes what she/he needs")</f>
        <v>Manager who clearly describes what she/he needs</v>
      </c>
      <c r="P1716" s="1" t="str">
        <f ca="1">IFERROR(__xludf.DUMMYFUNCTION("""COMPUTED_VALUE"""),"Work with 2 to 3 people in my team")</f>
        <v>Work with 2 to 3 people in my team</v>
      </c>
      <c r="Q1716" s="1"/>
    </row>
    <row r="1717" spans="1:17" ht="13.2" x14ac:dyDescent="0.25">
      <c r="A1717" s="2">
        <f ca="1">IFERROR(__xludf.DUMMYFUNCTION("""COMPUTED_VALUE"""),45047.7772984143)</f>
        <v>45047.777298414301</v>
      </c>
      <c r="B1717" s="1" t="str">
        <f ca="1">IFERROR(__xludf.DUMMYFUNCTION("""COMPUTED_VALUE"""),"India")</f>
        <v>India</v>
      </c>
      <c r="C1717" s="1">
        <f ca="1">IFERROR(__xludf.DUMMYFUNCTION("""COMPUTED_VALUE"""),474006)</f>
        <v>474006</v>
      </c>
      <c r="D1717" s="3" t="str">
        <f ca="1">IFERROR(__xludf.DUMMYFUNCTION("""COMPUTED_VALUE"""),"Male")</f>
        <v>Male</v>
      </c>
      <c r="E1717" s="1" t="str">
        <f ca="1">IFERROR(__xludf.DUMMYFUNCTION("""COMPUTED_VALUE"""),"Influencers who had successful careers")</f>
        <v>Influencers who had successful careers</v>
      </c>
      <c r="F1717" s="1" t="str">
        <f ca="1">IFERROR(__xludf.DUMMYFUNCTION("""COMPUTED_VALUE"""),"Yes, I will earn and do that")</f>
        <v>Yes, I will earn and do that</v>
      </c>
      <c r="G1717" s="1" t="str">
        <f ca="1">IFERROR(__xludf.DUMMYFUNCTION("""COMPUTED_VALUE"""),"This will be hard to do, but if it is the right company I would try")</f>
        <v>This will be hard to do, but if it is the right company I would try</v>
      </c>
      <c r="H1717" s="1" t="str">
        <f ca="1">IFERROR(__xludf.DUMMYFUNCTION("""COMPUTED_VALUE"""),"No")</f>
        <v>No</v>
      </c>
      <c r="I1717" s="1" t="str">
        <f ca="1">IFERROR(__xludf.DUMMYFUNCTION("""COMPUTED_VALUE"""),"Will NOT work for them")</f>
        <v>Will NOT work for them</v>
      </c>
      <c r="J1717" s="1">
        <f ca="1">IFERROR(__xludf.DUMMYFUNCTION("""COMPUTED_VALUE"""),3)</f>
        <v>3</v>
      </c>
      <c r="K1717" s="1" t="str">
        <f ca="1">IFERROR(__xludf.DUMMYFUNCTION("""COMPUTED_VALUE"""),"Hybrid Working Environment with more than 15 days a month at office")</f>
        <v>Hybrid Working Environment with more than 15 days a month at office</v>
      </c>
      <c r="L1717" s="1" t="str">
        <f ca="1">IFERROR(__xludf.DUMMYFUNCTION("""COMPUTED_VALUE"""),"Employer who pushes your limits by enabling an learning environment, and rewards you at the end")</f>
        <v>Employer who pushes your limits by enabling an learning environment, and rewards you at the end</v>
      </c>
      <c r="M171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717"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717" s="1" t="str">
        <f ca="1">IFERROR(__xludf.DUMMYFUNCTION("""COMPUTED_VALUE"""),"Manager who explains what is expected, sets a goal and helps achieve it")</f>
        <v>Manager who explains what is expected, sets a goal and helps achieve it</v>
      </c>
      <c r="P1717" s="1" t="str">
        <f ca="1">IFERROR(__xludf.DUMMYFUNCTION("""COMPUTED_VALUE"""),"Work with 2 to 3 people in my team")</f>
        <v>Work with 2 to 3 people in my team</v>
      </c>
      <c r="Q1717" s="1"/>
    </row>
    <row r="1718" spans="1:17" ht="13.2" x14ac:dyDescent="0.25">
      <c r="A1718" s="2">
        <f ca="1">IFERROR(__xludf.DUMMYFUNCTION("""COMPUTED_VALUE"""),45047.8053951388)</f>
        <v>45047.805395138799</v>
      </c>
      <c r="B1718" s="1" t="str">
        <f ca="1">IFERROR(__xludf.DUMMYFUNCTION("""COMPUTED_VALUE"""),"India")</f>
        <v>India</v>
      </c>
      <c r="C1718" s="1">
        <f ca="1">IFERROR(__xludf.DUMMYFUNCTION("""COMPUTED_VALUE"""),700032)</f>
        <v>700032</v>
      </c>
      <c r="D1718" s="3" t="str">
        <f ca="1">IFERROR(__xludf.DUMMYFUNCTION("""COMPUTED_VALUE"""),"Male")</f>
        <v>Male</v>
      </c>
      <c r="E1718" s="1" t="str">
        <f ca="1">IFERROR(__xludf.DUMMYFUNCTION("""COMPUTED_VALUE"""),"Influencers who had successful careers")</f>
        <v>Influencers who had successful careers</v>
      </c>
      <c r="F1718" s="1" t="str">
        <f ca="1">IFERROR(__xludf.DUMMYFUNCTION("""COMPUTED_VALUE"""),"Yes, I will earn and do that")</f>
        <v>Yes, I will earn and do that</v>
      </c>
      <c r="G1718" s="1" t="str">
        <f ca="1">IFERROR(__xludf.DUMMYFUNCTION("""COMPUTED_VALUE"""),"Will work for 3 years or more")</f>
        <v>Will work for 3 years or more</v>
      </c>
      <c r="H1718" s="1" t="str">
        <f ca="1">IFERROR(__xludf.DUMMYFUNCTION("""COMPUTED_VALUE"""),"No")</f>
        <v>No</v>
      </c>
      <c r="I1718" s="1" t="str">
        <f ca="1">IFERROR(__xludf.DUMMYFUNCTION("""COMPUTED_VALUE"""),"Will NOT work for them")</f>
        <v>Will NOT work for them</v>
      </c>
      <c r="J1718" s="1">
        <f ca="1">IFERROR(__xludf.DUMMYFUNCTION("""COMPUTED_VALUE"""),1)</f>
        <v>1</v>
      </c>
      <c r="K1718" s="1" t="str">
        <f ca="1">IFERROR(__xludf.DUMMYFUNCTION("""COMPUTED_VALUE"""),"Hybrid Working Environment with more than 15 days a month at office")</f>
        <v>Hybrid Working Environment with more than 15 days a month at office</v>
      </c>
      <c r="L1718" s="1" t="str">
        <f ca="1">IFERROR(__xludf.DUMMYFUNCTION("""COMPUTED_VALUE"""),"Employer who pushes your limits by enabling an learning environment, and rewards you at the end")</f>
        <v>Employer who pushes your limits by enabling an learning environment, and rewards you at the end</v>
      </c>
      <c r="M171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718"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1718" s="1" t="str">
        <f ca="1">IFERROR(__xludf.DUMMYFUNCTION("""COMPUTED_VALUE"""),"Manager who explains what is expected, sets a goal and helps achieve it")</f>
        <v>Manager who explains what is expected, sets a goal and helps achieve it</v>
      </c>
      <c r="P1718" s="1" t="str">
        <f ca="1">IFERROR(__xludf.DUMMYFUNCTION("""COMPUTED_VALUE"""),"Work with 5 to 6 people in my team")</f>
        <v>Work with 5 to 6 people in my team</v>
      </c>
      <c r="Q1718" s="1"/>
    </row>
    <row r="1719" spans="1:17" ht="13.2" x14ac:dyDescent="0.25">
      <c r="A1719" s="2">
        <f ca="1">IFERROR(__xludf.DUMMYFUNCTION("""COMPUTED_VALUE"""),45047.8368315972)</f>
        <v>45047.836831597197</v>
      </c>
      <c r="B1719" s="1" t="str">
        <f ca="1">IFERROR(__xludf.DUMMYFUNCTION("""COMPUTED_VALUE"""),"India")</f>
        <v>India</v>
      </c>
      <c r="C1719" s="1">
        <f ca="1">IFERROR(__xludf.DUMMYFUNCTION("""COMPUTED_VALUE"""),829111)</f>
        <v>829111</v>
      </c>
      <c r="D1719" s="3" t="str">
        <f ca="1">IFERROR(__xludf.DUMMYFUNCTION("""COMPUTED_VALUE"""),"Male")</f>
        <v>Male</v>
      </c>
      <c r="E1719" s="1" t="str">
        <f ca="1">IFERROR(__xludf.DUMMYFUNCTION("""COMPUTED_VALUE"""),"Social Media like LinkedIn")</f>
        <v>Social Media like LinkedIn</v>
      </c>
      <c r="F1719" s="1" t="str">
        <f ca="1">IFERROR(__xludf.DUMMYFUNCTION("""COMPUTED_VALUE"""),"No, But if someone could bare the cost I will")</f>
        <v>No, But if someone could bare the cost I will</v>
      </c>
      <c r="G1719" s="1" t="str">
        <f ca="1">IFERROR(__xludf.DUMMYFUNCTION("""COMPUTED_VALUE"""),"Will work for 3 years or more")</f>
        <v>Will work for 3 years or more</v>
      </c>
      <c r="H1719" s="1" t="str">
        <f ca="1">IFERROR(__xludf.DUMMYFUNCTION("""COMPUTED_VALUE"""),"Yes")</f>
        <v>Yes</v>
      </c>
      <c r="I1719" s="1" t="str">
        <f ca="1">IFERROR(__xludf.DUMMYFUNCTION("""COMPUTED_VALUE"""),"Will work for them")</f>
        <v>Will work for them</v>
      </c>
      <c r="J1719" s="1">
        <f ca="1">IFERROR(__xludf.DUMMYFUNCTION("""COMPUTED_VALUE"""),8)</f>
        <v>8</v>
      </c>
      <c r="K1719" s="1" t="str">
        <f ca="1">IFERROR(__xludf.DUMMYFUNCTION("""COMPUTED_VALUE"""),"Every Day Office Environment")</f>
        <v>Every Day Office Environment</v>
      </c>
      <c r="L1719" s="1" t="str">
        <f ca="1">IFERROR(__xludf.DUMMYFUNCTION("""COMPUTED_VALUE"""),"Employer who appreciates learning and enables that environment")</f>
        <v>Employer who appreciates learning and enables that environment</v>
      </c>
      <c r="M17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1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719" s="1" t="str">
        <f ca="1">IFERROR(__xludf.DUMMYFUNCTION("""COMPUTED_VALUE"""),"Manager who sets goal and helps me achieve it")</f>
        <v>Manager who sets goal and helps me achieve it</v>
      </c>
      <c r="P1719" s="1" t="str">
        <f ca="1">IFERROR(__xludf.DUMMYFUNCTION("""COMPUTED_VALUE"""),"Work with more than 10 people in my team")</f>
        <v>Work with more than 10 people in my team</v>
      </c>
      <c r="Q1719" s="1"/>
    </row>
    <row r="1720" spans="1:17" ht="13.2" x14ac:dyDescent="0.25">
      <c r="A1720" s="2">
        <f ca="1">IFERROR(__xludf.DUMMYFUNCTION("""COMPUTED_VALUE"""),45047.9071817824)</f>
        <v>45047.907181782401</v>
      </c>
      <c r="B1720" s="1" t="str">
        <f ca="1">IFERROR(__xludf.DUMMYFUNCTION("""COMPUTED_VALUE"""),"India")</f>
        <v>India</v>
      </c>
      <c r="C1720" s="1">
        <f ca="1">IFERROR(__xludf.DUMMYFUNCTION("""COMPUTED_VALUE"""),110019)</f>
        <v>110019</v>
      </c>
      <c r="D1720" s="3" t="str">
        <f ca="1">IFERROR(__xludf.DUMMYFUNCTION("""COMPUTED_VALUE"""),"Male")</f>
        <v>Male</v>
      </c>
      <c r="E1720" s="1" t="str">
        <f ca="1">IFERROR(__xludf.DUMMYFUNCTION("""COMPUTED_VALUE"""),"People who have changed the world for better")</f>
        <v>People who have changed the world for better</v>
      </c>
      <c r="F1720" s="1" t="str">
        <f ca="1">IFERROR(__xludf.DUMMYFUNCTION("""COMPUTED_VALUE"""),"No, But if someone could bare the cost I will")</f>
        <v>No, But if someone could bare the cost I will</v>
      </c>
      <c r="G1720" s="1" t="str">
        <f ca="1">IFERROR(__xludf.DUMMYFUNCTION("""COMPUTED_VALUE"""),"This will be hard to do, but if it is the right company I would try")</f>
        <v>This will be hard to do, but if it is the right company I would try</v>
      </c>
      <c r="H1720" s="1" t="str">
        <f ca="1">IFERROR(__xludf.DUMMYFUNCTION("""COMPUTED_VALUE"""),"Yes")</f>
        <v>Yes</v>
      </c>
      <c r="I1720" s="1" t="str">
        <f ca="1">IFERROR(__xludf.DUMMYFUNCTION("""COMPUTED_VALUE"""),"Will NOT work for them")</f>
        <v>Will NOT work for them</v>
      </c>
      <c r="J1720" s="1">
        <f ca="1">IFERROR(__xludf.DUMMYFUNCTION("""COMPUTED_VALUE"""),5)</f>
        <v>5</v>
      </c>
      <c r="K1720" s="1" t="str">
        <f ca="1">IFERROR(__xludf.DUMMYFUNCTION("""COMPUTED_VALUE"""),"Hybrid Working Environment with more than 15 days a month at office")</f>
        <v>Hybrid Working Environment with more than 15 days a month at office</v>
      </c>
      <c r="L1720" s="1" t="str">
        <f ca="1">IFERROR(__xludf.DUMMYFUNCTION("""COMPUTED_VALUE"""),"Employer who pushes your limits by enabling an learning environment, and rewards you at the end")</f>
        <v>Employer who pushes your limits by enabling an learning environment, and rewards you at the end</v>
      </c>
      <c r="M17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2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0" s="1" t="str">
        <f ca="1">IFERROR(__xludf.DUMMYFUNCTION("""COMPUTED_VALUE"""),"Manager who explains what is expected, sets a goal and helps achieve it")</f>
        <v>Manager who explains what is expected, sets a goal and helps achieve it</v>
      </c>
      <c r="P1720" s="1" t="str">
        <f ca="1">IFERROR(__xludf.DUMMYFUNCTION("""COMPUTED_VALUE"""),"Work with 5 to 6 people in my team")</f>
        <v>Work with 5 to 6 people in my team</v>
      </c>
      <c r="Q1720" s="1"/>
    </row>
    <row r="1721" spans="1:17" ht="13.2" x14ac:dyDescent="0.25">
      <c r="A1721" s="2">
        <f ca="1">IFERROR(__xludf.DUMMYFUNCTION("""COMPUTED_VALUE"""),45047.9081729976)</f>
        <v>45047.908172997602</v>
      </c>
      <c r="B1721" s="1" t="str">
        <f ca="1">IFERROR(__xludf.DUMMYFUNCTION("""COMPUTED_VALUE"""),"India")</f>
        <v>India</v>
      </c>
      <c r="C1721" s="1">
        <f ca="1">IFERROR(__xludf.DUMMYFUNCTION("""COMPUTED_VALUE"""),382421)</f>
        <v>382421</v>
      </c>
      <c r="D1721" s="3" t="str">
        <f ca="1">IFERROR(__xludf.DUMMYFUNCTION("""COMPUTED_VALUE"""),"Male")</f>
        <v>Male</v>
      </c>
      <c r="E1721" s="1" t="str">
        <f ca="1">IFERROR(__xludf.DUMMYFUNCTION("""COMPUTED_VALUE"""),"My Parents")</f>
        <v>My Parents</v>
      </c>
      <c r="F1721" s="1" t="str">
        <f ca="1">IFERROR(__xludf.DUMMYFUNCTION("""COMPUTED_VALUE"""),"Yes, I will earn and do that")</f>
        <v>Yes, I will earn and do that</v>
      </c>
      <c r="G1721" s="1" t="str">
        <f ca="1">IFERROR(__xludf.DUMMYFUNCTION("""COMPUTED_VALUE"""),"Will work for 3 years or more")</f>
        <v>Will work for 3 years or more</v>
      </c>
      <c r="H1721" s="1" t="str">
        <f ca="1">IFERROR(__xludf.DUMMYFUNCTION("""COMPUTED_VALUE"""),"No")</f>
        <v>No</v>
      </c>
      <c r="I1721" s="1" t="str">
        <f ca="1">IFERROR(__xludf.DUMMYFUNCTION("""COMPUTED_VALUE"""),"Will NOT work for them")</f>
        <v>Will NOT work for them</v>
      </c>
      <c r="J1721" s="1">
        <f ca="1">IFERROR(__xludf.DUMMYFUNCTION("""COMPUTED_VALUE"""),3)</f>
        <v>3</v>
      </c>
      <c r="K1721" s="1" t="str">
        <f ca="1">IFERROR(__xludf.DUMMYFUNCTION("""COMPUTED_VALUE"""),"Every Day Office Environment")</f>
        <v>Every Day Office Environment</v>
      </c>
      <c r="L1721" s="1" t="str">
        <f ca="1">IFERROR(__xludf.DUMMYFUNCTION("""COMPUTED_VALUE"""),"Employer who pushes your limits by enabling an learning environment, and rewards you at the end")</f>
        <v>Employer who pushes your limits by enabling an learning environment, and rewards you at the end</v>
      </c>
      <c r="M172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1"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1721" s="1" t="str">
        <f ca="1">IFERROR(__xludf.DUMMYFUNCTION("""COMPUTED_VALUE"""),"Manager who clearly describes what she/he needs")</f>
        <v>Manager who clearly describes what she/he needs</v>
      </c>
      <c r="P1721" s="1" t="str">
        <f ca="1">IFERROR(__xludf.DUMMYFUNCTION("""COMPUTED_VALUE"""),"Work with 7 to 10 or more people in my team")</f>
        <v>Work with 7 to 10 or more people in my team</v>
      </c>
      <c r="Q1721" s="1"/>
    </row>
    <row r="1722" spans="1:17" ht="13.2" x14ac:dyDescent="0.25">
      <c r="A1722" s="2">
        <f ca="1">IFERROR(__xludf.DUMMYFUNCTION("""COMPUTED_VALUE"""),45047.91073875)</f>
        <v>45047.910738749997</v>
      </c>
      <c r="B1722" s="1" t="str">
        <f ca="1">IFERROR(__xludf.DUMMYFUNCTION("""COMPUTED_VALUE"""),"India")</f>
        <v>India</v>
      </c>
      <c r="C1722" s="1">
        <f ca="1">IFERROR(__xludf.DUMMYFUNCTION("""COMPUTED_VALUE"""),382470)</f>
        <v>382470</v>
      </c>
      <c r="D1722" s="3" t="str">
        <f ca="1">IFERROR(__xludf.DUMMYFUNCTION("""COMPUTED_VALUE"""),"Male")</f>
        <v>Male</v>
      </c>
      <c r="E1722" s="1" t="str">
        <f ca="1">IFERROR(__xludf.DUMMYFUNCTION("""COMPUTED_VALUE"""),"People from my circle, but not family members")</f>
        <v>People from my circle, but not family members</v>
      </c>
      <c r="F1722" s="1" t="str">
        <f ca="1">IFERROR(__xludf.DUMMYFUNCTION("""COMPUTED_VALUE"""),"No I would not be pursuing Higher Education outside of India")</f>
        <v>No I would not be pursuing Higher Education outside of India</v>
      </c>
      <c r="G1722" s="1" t="str">
        <f ca="1">IFERROR(__xludf.DUMMYFUNCTION("""COMPUTED_VALUE"""),"Will work for 3 years or more")</f>
        <v>Will work for 3 years or more</v>
      </c>
      <c r="H1722" s="1" t="str">
        <f ca="1">IFERROR(__xludf.DUMMYFUNCTION("""COMPUTED_VALUE"""),"No")</f>
        <v>No</v>
      </c>
      <c r="I1722" s="1" t="str">
        <f ca="1">IFERROR(__xludf.DUMMYFUNCTION("""COMPUTED_VALUE"""),"Will NOT work for them")</f>
        <v>Will NOT work for them</v>
      </c>
      <c r="J1722" s="1">
        <f ca="1">IFERROR(__xludf.DUMMYFUNCTION("""COMPUTED_VALUE"""),5)</f>
        <v>5</v>
      </c>
      <c r="K1722" s="1" t="str">
        <f ca="1">IFERROR(__xludf.DUMMYFUNCTION("""COMPUTED_VALUE"""),"Every Day Office Environment")</f>
        <v>Every Day Office Environment</v>
      </c>
      <c r="L1722" s="1" t="str">
        <f ca="1">IFERROR(__xludf.DUMMYFUNCTION("""COMPUTED_VALUE"""),"Employer who appreciates learning and enables that environment")</f>
        <v>Employer who appreciates learning and enables that environment</v>
      </c>
      <c r="M1722" s="1" t="str">
        <f ca="1">IFERROR(__xludf.DUMMYFUNCTION("""COMPUTED_VALUE"""),"Self Paced Learning Portals of the Company, Instructor or Expert Learning Programs, Manager Teaching you")</f>
        <v>Self Paced Learning Portals of the Company, Instructor or Expert Learning Programs, Manager Teaching you</v>
      </c>
      <c r="N1722"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722" s="1" t="str">
        <f ca="1">IFERROR(__xludf.DUMMYFUNCTION("""COMPUTED_VALUE"""),"Manager who sets goal and helps me achieve it")</f>
        <v>Manager who sets goal and helps me achieve it</v>
      </c>
      <c r="P1722" s="1" t="str">
        <f ca="1">IFERROR(__xludf.DUMMYFUNCTION("""COMPUTED_VALUE"""),"Work with more than 10 people in my team")</f>
        <v>Work with more than 10 people in my team</v>
      </c>
      <c r="Q1722" s="1"/>
    </row>
    <row r="1723" spans="1:17" ht="13.2" x14ac:dyDescent="0.25">
      <c r="A1723" s="2">
        <f ca="1">IFERROR(__xludf.DUMMYFUNCTION("""COMPUTED_VALUE"""),45047.9135722685)</f>
        <v>45047.913572268502</v>
      </c>
      <c r="B1723" s="1" t="str">
        <f ca="1">IFERROR(__xludf.DUMMYFUNCTION("""COMPUTED_VALUE"""),"India")</f>
        <v>India</v>
      </c>
      <c r="C1723" s="1">
        <f ca="1">IFERROR(__xludf.DUMMYFUNCTION("""COMPUTED_VALUE"""),380005)</f>
        <v>380005</v>
      </c>
      <c r="D1723" s="3" t="str">
        <f ca="1">IFERROR(__xludf.DUMMYFUNCTION("""COMPUTED_VALUE"""),"Male")</f>
        <v>Male</v>
      </c>
      <c r="E1723" s="1" t="str">
        <f ca="1">IFERROR(__xludf.DUMMYFUNCTION("""COMPUTED_VALUE"""),"People who have changed the world for better")</f>
        <v>People who have changed the world for better</v>
      </c>
      <c r="F1723" s="1" t="str">
        <f ca="1">IFERROR(__xludf.DUMMYFUNCTION("""COMPUTED_VALUE"""),"No I would not be pursuing Higher Education outside of India")</f>
        <v>No I would not be pursuing Higher Education outside of India</v>
      </c>
      <c r="G1723" s="1" t="str">
        <f ca="1">IFERROR(__xludf.DUMMYFUNCTION("""COMPUTED_VALUE"""),"Will work for 3 years or more")</f>
        <v>Will work for 3 years or more</v>
      </c>
      <c r="H1723" s="1" t="str">
        <f ca="1">IFERROR(__xludf.DUMMYFUNCTION("""COMPUTED_VALUE"""),"No")</f>
        <v>No</v>
      </c>
      <c r="I1723" s="1" t="str">
        <f ca="1">IFERROR(__xludf.DUMMYFUNCTION("""COMPUTED_VALUE"""),"Will NOT work for them")</f>
        <v>Will NOT work for them</v>
      </c>
      <c r="J1723" s="1">
        <f ca="1">IFERROR(__xludf.DUMMYFUNCTION("""COMPUTED_VALUE"""),2)</f>
        <v>2</v>
      </c>
      <c r="K1723" s="1" t="str">
        <f ca="1">IFERROR(__xludf.DUMMYFUNCTION("""COMPUTED_VALUE"""),"Hybrid Working Environment with less than 3 days a month at office")</f>
        <v>Hybrid Working Environment with less than 3 days a month at office</v>
      </c>
      <c r="L1723" s="1" t="str">
        <f ca="1">IFERROR(__xludf.DUMMYFUNCTION("""COMPUTED_VALUE"""),"Employer who pushes your limits by enabling an learning environment, and rewards you at the end")</f>
        <v>Employer who pushes your limits by enabling an learning environment, and rewards you at the end</v>
      </c>
      <c r="M1723" s="1" t="str">
        <f ca="1">IFERROR(__xludf.DUMMYFUNCTION("""COMPUTED_VALUE"""),"Instructor or Expert Learning Programs, Learning by observing others, Manager Teaching you")</f>
        <v>Instructor or Expert Learning Programs, Learning by observing others, Manager Teaching you</v>
      </c>
      <c r="N172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723" s="1" t="str">
        <f ca="1">IFERROR(__xludf.DUMMYFUNCTION("""COMPUTED_VALUE"""),"Manager who explains what is expected, sets a goal and helps achieve it")</f>
        <v>Manager who explains what is expected, sets a goal and helps achieve it</v>
      </c>
      <c r="P1723" s="1" t="str">
        <f ca="1">IFERROR(__xludf.DUMMYFUNCTION("""COMPUTED_VALUE"""),"Work with 7 to 10 or more people in my team")</f>
        <v>Work with 7 to 10 or more people in my team</v>
      </c>
      <c r="Q1723" s="1"/>
    </row>
    <row r="1724" spans="1:17" ht="13.2" x14ac:dyDescent="0.25">
      <c r="A1724" s="2">
        <f ca="1">IFERROR(__xludf.DUMMYFUNCTION("""COMPUTED_VALUE"""),45047.9185322222)</f>
        <v>45047.918532222197</v>
      </c>
      <c r="B1724" s="1" t="str">
        <f ca="1">IFERROR(__xludf.DUMMYFUNCTION("""COMPUTED_VALUE"""),"India")</f>
        <v>India</v>
      </c>
      <c r="C1724" s="1">
        <f ca="1">IFERROR(__xludf.DUMMYFUNCTION("""COMPUTED_VALUE"""),382424)</f>
        <v>382424</v>
      </c>
      <c r="D1724" s="3" t="str">
        <f ca="1">IFERROR(__xludf.DUMMYFUNCTION("""COMPUTED_VALUE"""),"Male")</f>
        <v>Male</v>
      </c>
      <c r="E1724" s="1" t="str">
        <f ca="1">IFERROR(__xludf.DUMMYFUNCTION("""COMPUTED_VALUE"""),"My Parents")</f>
        <v>My Parents</v>
      </c>
      <c r="F1724" s="1" t="str">
        <f ca="1">IFERROR(__xludf.DUMMYFUNCTION("""COMPUTED_VALUE"""),"No, But if someone could bare the cost I will")</f>
        <v>No, But if someone could bare the cost I will</v>
      </c>
      <c r="G1724" s="1" t="str">
        <f ca="1">IFERROR(__xludf.DUMMYFUNCTION("""COMPUTED_VALUE"""),"This will be hard to do, but if it is the right company I would try")</f>
        <v>This will be hard to do, but if it is the right company I would try</v>
      </c>
      <c r="H1724" s="1" t="str">
        <f ca="1">IFERROR(__xludf.DUMMYFUNCTION("""COMPUTED_VALUE"""),"No")</f>
        <v>No</v>
      </c>
      <c r="I1724" s="1" t="str">
        <f ca="1">IFERROR(__xludf.DUMMYFUNCTION("""COMPUTED_VALUE"""),"Will NOT work for them")</f>
        <v>Will NOT work for them</v>
      </c>
      <c r="J1724" s="1">
        <f ca="1">IFERROR(__xludf.DUMMYFUNCTION("""COMPUTED_VALUE"""),8)</f>
        <v>8</v>
      </c>
      <c r="K1724" s="1" t="str">
        <f ca="1">IFERROR(__xludf.DUMMYFUNCTION("""COMPUTED_VALUE"""),"Hybrid Working Environment with less than 3 days a month at office")</f>
        <v>Hybrid Working Environment with less than 3 days a month at office</v>
      </c>
      <c r="L1724" s="1" t="str">
        <f ca="1">IFERROR(__xludf.DUMMYFUNCTION("""COMPUTED_VALUE"""),"Employer who rewards learning and enables that environment")</f>
        <v>Employer who rewards learning and enables that environment</v>
      </c>
      <c r="M172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2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724" s="1" t="str">
        <f ca="1">IFERROR(__xludf.DUMMYFUNCTION("""COMPUTED_VALUE"""),"Manager who explains what is expected, sets a goal and helps achieve it")</f>
        <v>Manager who explains what is expected, sets a goal and helps achieve it</v>
      </c>
      <c r="P1724" s="1" t="str">
        <f ca="1">IFERROR(__xludf.DUMMYFUNCTION("""COMPUTED_VALUE"""),"Work with 5 to 6 people in my team")</f>
        <v>Work with 5 to 6 people in my team</v>
      </c>
      <c r="Q1724" s="1"/>
    </row>
    <row r="1725" spans="1:17" ht="13.2" x14ac:dyDescent="0.25">
      <c r="A1725" s="2">
        <f ca="1">IFERROR(__xludf.DUMMYFUNCTION("""COMPUTED_VALUE"""),45047.9193210879)</f>
        <v>45047.919321087902</v>
      </c>
      <c r="B1725" s="1" t="str">
        <f ca="1">IFERROR(__xludf.DUMMYFUNCTION("""COMPUTED_VALUE"""),"India")</f>
        <v>India</v>
      </c>
      <c r="C1725" s="1">
        <f ca="1">IFERROR(__xludf.DUMMYFUNCTION("""COMPUTED_VALUE"""),382424)</f>
        <v>382424</v>
      </c>
      <c r="D1725" s="3" t="str">
        <f ca="1">IFERROR(__xludf.DUMMYFUNCTION("""COMPUTED_VALUE"""),"Male")</f>
        <v>Male</v>
      </c>
      <c r="E1725" s="1" t="str">
        <f ca="1">IFERROR(__xludf.DUMMYFUNCTION("""COMPUTED_VALUE"""),"My Parents")</f>
        <v>My Parents</v>
      </c>
      <c r="F1725" s="1" t="str">
        <f ca="1">IFERROR(__xludf.DUMMYFUNCTION("""COMPUTED_VALUE"""),"No, But if someone could bare the cost I will")</f>
        <v>No, But if someone could bare the cost I will</v>
      </c>
      <c r="G1725" s="1" t="str">
        <f ca="1">IFERROR(__xludf.DUMMYFUNCTION("""COMPUTED_VALUE"""),"Will work for 3 years or more")</f>
        <v>Will work for 3 years or more</v>
      </c>
      <c r="H1725" s="1" t="str">
        <f ca="1">IFERROR(__xludf.DUMMYFUNCTION("""COMPUTED_VALUE"""),"No")</f>
        <v>No</v>
      </c>
      <c r="I1725" s="1" t="str">
        <f ca="1">IFERROR(__xludf.DUMMYFUNCTION("""COMPUTED_VALUE"""),"Will NOT work for them")</f>
        <v>Will NOT work for them</v>
      </c>
      <c r="J1725" s="1">
        <f ca="1">IFERROR(__xludf.DUMMYFUNCTION("""COMPUTED_VALUE"""),10)</f>
        <v>10</v>
      </c>
      <c r="K1725" s="1" t="str">
        <f ca="1">IFERROR(__xludf.DUMMYFUNCTION("""COMPUTED_VALUE"""),"Hybrid Working Environment with more than 15 days a month at office")</f>
        <v>Hybrid Working Environment with more than 15 days a month at office</v>
      </c>
      <c r="L1725" s="1" t="str">
        <f ca="1">IFERROR(__xludf.DUMMYFUNCTION("""COMPUTED_VALUE"""),"Employer who pushes your limits by enabling an learning environment, and rewards you at the end")</f>
        <v>Employer who pushes your limits by enabling an learning environment, and rewards you at the end</v>
      </c>
      <c r="M1725" s="1" t="str">
        <f ca="1">IFERROR(__xludf.DUMMYFUNCTION("""COMPUTED_VALUE"""),"Self Paced Learning Portals of the Company, Instructor or Expert Learning Programs, Manager Teaching you")</f>
        <v>Self Paced Learning Portals of the Company, Instructor or Expert Learning Programs, Manager Teaching you</v>
      </c>
      <c r="N1725"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5" s="1" t="str">
        <f ca="1">IFERROR(__xludf.DUMMYFUNCTION("""COMPUTED_VALUE"""),"Manager who sets goal and helps me achieve it")</f>
        <v>Manager who sets goal and helps me achieve it</v>
      </c>
      <c r="P1725" s="1" t="str">
        <f ca="1">IFERROR(__xludf.DUMMYFUNCTION("""COMPUTED_VALUE"""),"Work with more than 10 people in my team")</f>
        <v>Work with more than 10 people in my team</v>
      </c>
      <c r="Q1725" s="1"/>
    </row>
    <row r="1726" spans="1:17" ht="13.2" x14ac:dyDescent="0.25">
      <c r="A1726" s="2">
        <f ca="1">IFERROR(__xludf.DUMMYFUNCTION("""COMPUTED_VALUE"""),45047.9219332291)</f>
        <v>45047.921933229103</v>
      </c>
      <c r="B1726" s="1" t="str">
        <f ca="1">IFERROR(__xludf.DUMMYFUNCTION("""COMPUTED_VALUE"""),"India")</f>
        <v>India</v>
      </c>
      <c r="C1726" s="1">
        <f ca="1">IFERROR(__xludf.DUMMYFUNCTION("""COMPUTED_VALUE"""),382421)</f>
        <v>382421</v>
      </c>
      <c r="D1726" s="3" t="str">
        <f ca="1">IFERROR(__xludf.DUMMYFUNCTION("""COMPUTED_VALUE"""),"Male")</f>
        <v>Male</v>
      </c>
      <c r="E1726" s="1" t="str">
        <f ca="1">IFERROR(__xludf.DUMMYFUNCTION("""COMPUTED_VALUE"""),"People from my circle, but not family members")</f>
        <v>People from my circle, but not family members</v>
      </c>
      <c r="F1726" s="1" t="str">
        <f ca="1">IFERROR(__xludf.DUMMYFUNCTION("""COMPUTED_VALUE"""),"Yes, I will earn and do that")</f>
        <v>Yes, I will earn and do that</v>
      </c>
      <c r="G1726" s="1" t="str">
        <f ca="1">IFERROR(__xludf.DUMMYFUNCTION("""COMPUTED_VALUE"""),"No way")</f>
        <v>No way</v>
      </c>
      <c r="H1726" s="1" t="str">
        <f ca="1">IFERROR(__xludf.DUMMYFUNCTION("""COMPUTED_VALUE"""),"Yes")</f>
        <v>Yes</v>
      </c>
      <c r="I1726" s="1" t="str">
        <f ca="1">IFERROR(__xludf.DUMMYFUNCTION("""COMPUTED_VALUE"""),"Will NOT work for them")</f>
        <v>Will NOT work for them</v>
      </c>
      <c r="J1726" s="1">
        <f ca="1">IFERROR(__xludf.DUMMYFUNCTION("""COMPUTED_VALUE"""),3)</f>
        <v>3</v>
      </c>
      <c r="K1726" s="1" t="str">
        <f ca="1">IFERROR(__xludf.DUMMYFUNCTION("""COMPUTED_VALUE"""),"Fully Remote with Options to travel as and when needed")</f>
        <v>Fully Remote with Options to travel as and when needed</v>
      </c>
      <c r="L1726" s="1" t="str">
        <f ca="1">IFERROR(__xludf.DUMMYFUNCTION("""COMPUTED_VALUE"""),"Employer who appreciates learning and enables that environment")</f>
        <v>Employer who appreciates learning and enables that environment</v>
      </c>
      <c r="M17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726" s="1" t="str">
        <f ca="1">IFERROR(__xludf.DUMMYFUNCTION("""COMPUTED_VALUE"""),"Manager who explains what is expected, sets a goal and helps achieve it")</f>
        <v>Manager who explains what is expected, sets a goal and helps achieve it</v>
      </c>
      <c r="P1726" s="1" t="str">
        <f ca="1">IFERROR(__xludf.DUMMYFUNCTION("""COMPUTED_VALUE"""),"Work with 2 to 3 people in my team")</f>
        <v>Work with 2 to 3 people in my team</v>
      </c>
      <c r="Q1726" s="1"/>
    </row>
    <row r="1727" spans="1:17" ht="13.2" x14ac:dyDescent="0.25">
      <c r="A1727" s="2">
        <f ca="1">IFERROR(__xludf.DUMMYFUNCTION("""COMPUTED_VALUE"""),45047.9250033912)</f>
        <v>45047.925003391203</v>
      </c>
      <c r="B1727" s="1" t="str">
        <f ca="1">IFERROR(__xludf.DUMMYFUNCTION("""COMPUTED_VALUE"""),"India")</f>
        <v>India</v>
      </c>
      <c r="C1727" s="1">
        <f ca="1">IFERROR(__xludf.DUMMYFUNCTION("""COMPUTED_VALUE"""),380019)</f>
        <v>380019</v>
      </c>
      <c r="D1727" s="3" t="str">
        <f ca="1">IFERROR(__xludf.DUMMYFUNCTION("""COMPUTED_VALUE"""),"Male")</f>
        <v>Male</v>
      </c>
      <c r="E1727" s="1" t="str">
        <f ca="1">IFERROR(__xludf.DUMMYFUNCTION("""COMPUTED_VALUE"""),"People from my circle, but not family members")</f>
        <v>People from my circle, but not family members</v>
      </c>
      <c r="F1727" s="1" t="str">
        <f ca="1">IFERROR(__xludf.DUMMYFUNCTION("""COMPUTED_VALUE"""),"Yes, I will earn and do that")</f>
        <v>Yes, I will earn and do that</v>
      </c>
      <c r="G1727" s="1" t="str">
        <f ca="1">IFERROR(__xludf.DUMMYFUNCTION("""COMPUTED_VALUE"""),"Will work for 3 years or more")</f>
        <v>Will work for 3 years or more</v>
      </c>
      <c r="H1727" s="1" t="str">
        <f ca="1">IFERROR(__xludf.DUMMYFUNCTION("""COMPUTED_VALUE"""),"No")</f>
        <v>No</v>
      </c>
      <c r="I1727" s="1" t="str">
        <f ca="1">IFERROR(__xludf.DUMMYFUNCTION("""COMPUTED_VALUE"""),"Will work for them")</f>
        <v>Will work for them</v>
      </c>
      <c r="J1727" s="1">
        <f ca="1">IFERROR(__xludf.DUMMYFUNCTION("""COMPUTED_VALUE"""),5)</f>
        <v>5</v>
      </c>
      <c r="K1727" s="1" t="str">
        <f ca="1">IFERROR(__xludf.DUMMYFUNCTION("""COMPUTED_VALUE"""),"Hybrid Working Environment with less than 3 days a month at office")</f>
        <v>Hybrid Working Environment with less than 3 days a month at office</v>
      </c>
      <c r="L1727" s="1" t="str">
        <f ca="1">IFERROR(__xludf.DUMMYFUNCTION("""COMPUTED_VALUE"""),"Employer who pushes your limits by enabling an learning environment, and rewards you at the end")</f>
        <v>Employer who pushes your limits by enabling an learning environment, and rewards you at the end</v>
      </c>
      <c r="M17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7"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727" s="1" t="str">
        <f ca="1">IFERROR(__xludf.DUMMYFUNCTION("""COMPUTED_VALUE"""),"Manager who sets goal and helps me achieve it")</f>
        <v>Manager who sets goal and helps me achieve it</v>
      </c>
      <c r="P172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727" s="1"/>
    </row>
    <row r="1728" spans="1:17" ht="13.2" x14ac:dyDescent="0.25">
      <c r="A1728" s="2">
        <f ca="1">IFERROR(__xludf.DUMMYFUNCTION("""COMPUTED_VALUE"""),45047.9434096296)</f>
        <v>45047.943409629603</v>
      </c>
      <c r="B1728" s="1" t="str">
        <f ca="1">IFERROR(__xludf.DUMMYFUNCTION("""COMPUTED_VALUE"""),"India")</f>
        <v>India</v>
      </c>
      <c r="C1728" s="1">
        <f ca="1">IFERROR(__xludf.DUMMYFUNCTION("""COMPUTED_VALUE"""),382421)</f>
        <v>382421</v>
      </c>
      <c r="D1728" s="3" t="str">
        <f ca="1">IFERROR(__xludf.DUMMYFUNCTION("""COMPUTED_VALUE"""),"Male")</f>
        <v>Male</v>
      </c>
      <c r="E1728" s="1" t="str">
        <f ca="1">IFERROR(__xludf.DUMMYFUNCTION("""COMPUTED_VALUE"""),"My Parents")</f>
        <v>My Parents</v>
      </c>
      <c r="F1728" s="1" t="str">
        <f ca="1">IFERROR(__xludf.DUMMYFUNCTION("""COMPUTED_VALUE"""),"No I would not be pursuing Higher Education outside of India")</f>
        <v>No I would not be pursuing Higher Education outside of India</v>
      </c>
      <c r="G1728" s="1" t="str">
        <f ca="1">IFERROR(__xludf.DUMMYFUNCTION("""COMPUTED_VALUE"""),"This will be hard to do, but if it is the right company I would try")</f>
        <v>This will be hard to do, but if it is the right company I would try</v>
      </c>
      <c r="H1728" s="1" t="str">
        <f ca="1">IFERROR(__xludf.DUMMYFUNCTION("""COMPUTED_VALUE"""),"No")</f>
        <v>No</v>
      </c>
      <c r="I1728" s="1" t="str">
        <f ca="1">IFERROR(__xludf.DUMMYFUNCTION("""COMPUTED_VALUE"""),"Will NOT work for them")</f>
        <v>Will NOT work for them</v>
      </c>
      <c r="J1728" s="1">
        <f ca="1">IFERROR(__xludf.DUMMYFUNCTION("""COMPUTED_VALUE"""),1)</f>
        <v>1</v>
      </c>
      <c r="K1728" s="1" t="str">
        <f ca="1">IFERROR(__xludf.DUMMYFUNCTION("""COMPUTED_VALUE"""),"Every Day Office Environment")</f>
        <v>Every Day Office Environment</v>
      </c>
      <c r="L1728" s="1" t="str">
        <f ca="1">IFERROR(__xludf.DUMMYFUNCTION("""COMPUTED_VALUE"""),"Employer who rewards learning and enables that environment")</f>
        <v>Employer who rewards learning and enables that environment</v>
      </c>
      <c r="M172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28"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728" s="1" t="str">
        <f ca="1">IFERROR(__xludf.DUMMYFUNCTION("""COMPUTED_VALUE"""),"Manager who clearly describes what she/he needs")</f>
        <v>Manager who clearly describes what she/he needs</v>
      </c>
      <c r="P1728" s="1" t="str">
        <f ca="1">IFERROR(__xludf.DUMMYFUNCTION("""COMPUTED_VALUE"""),"Work with 5 to 6 people in my team, Work with 7 to 10 or more people in my team")</f>
        <v>Work with 5 to 6 people in my team, Work with 7 to 10 or more people in my team</v>
      </c>
      <c r="Q1728" s="1"/>
    </row>
    <row r="1729" spans="1:17" ht="13.2" x14ac:dyDescent="0.25">
      <c r="A1729" s="2">
        <f ca="1">IFERROR(__xludf.DUMMYFUNCTION("""COMPUTED_VALUE"""),45048.2153501388)</f>
        <v>45048.215350138802</v>
      </c>
      <c r="B1729" s="1" t="str">
        <f ca="1">IFERROR(__xludf.DUMMYFUNCTION("""COMPUTED_VALUE"""),"India")</f>
        <v>India</v>
      </c>
      <c r="C1729" s="1">
        <f ca="1">IFERROR(__xludf.DUMMYFUNCTION("""COMPUTED_VALUE"""),144411)</f>
        <v>144411</v>
      </c>
      <c r="D1729" s="3" t="str">
        <f ca="1">IFERROR(__xludf.DUMMYFUNCTION("""COMPUTED_VALUE"""),"Male")</f>
        <v>Male</v>
      </c>
      <c r="E1729" s="1" t="str">
        <f ca="1">IFERROR(__xludf.DUMMYFUNCTION("""COMPUTED_VALUE"""),"My Parents")</f>
        <v>My Parents</v>
      </c>
      <c r="F1729" s="1" t="str">
        <f ca="1">IFERROR(__xludf.DUMMYFUNCTION("""COMPUTED_VALUE"""),"No, But if someone could bare the cost I will")</f>
        <v>No, But if someone could bare the cost I will</v>
      </c>
      <c r="G1729" s="1" t="str">
        <f ca="1">IFERROR(__xludf.DUMMYFUNCTION("""COMPUTED_VALUE"""),"This will be hard to do, but if it is the right company I would try")</f>
        <v>This will be hard to do, but if it is the right company I would try</v>
      </c>
      <c r="H1729" s="1" t="str">
        <f ca="1">IFERROR(__xludf.DUMMYFUNCTION("""COMPUTED_VALUE"""),"No")</f>
        <v>No</v>
      </c>
      <c r="I1729" s="1" t="str">
        <f ca="1">IFERROR(__xludf.DUMMYFUNCTION("""COMPUTED_VALUE"""),"Will NOT work for them")</f>
        <v>Will NOT work for them</v>
      </c>
      <c r="J1729" s="1">
        <f ca="1">IFERROR(__xludf.DUMMYFUNCTION("""COMPUTED_VALUE"""),1)</f>
        <v>1</v>
      </c>
      <c r="K1729" s="1" t="str">
        <f ca="1">IFERROR(__xludf.DUMMYFUNCTION("""COMPUTED_VALUE"""),"Every Day Office Environment")</f>
        <v>Every Day Office Environment</v>
      </c>
      <c r="L1729" s="1" t="str">
        <f ca="1">IFERROR(__xludf.DUMMYFUNCTION("""COMPUTED_VALUE"""),"Employer who pushes your limits by enabling an learning environment, and rewards you at the end")</f>
        <v>Employer who pushes your limits by enabling an learning environment, and rewards you at the end</v>
      </c>
      <c r="M172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729" s="1" t="str">
        <f ca="1">IFERROR(__xludf.DUMMYFUNCTION("""COMPUTED_VALUE"""),"Manager who explains what is expected, sets a goal and helps achieve it")</f>
        <v>Manager who explains what is expected, sets a goal and helps achieve it</v>
      </c>
      <c r="P1729" s="1" t="str">
        <f ca="1">IFERROR(__xludf.DUMMYFUNCTION("""COMPUTED_VALUE"""),"Work with 5 to 6 people in my team")</f>
        <v>Work with 5 to 6 people in my team</v>
      </c>
      <c r="Q1729" s="1"/>
    </row>
    <row r="1730" spans="1:17" ht="13.2" x14ac:dyDescent="0.25">
      <c r="A1730" s="2">
        <f ca="1">IFERROR(__xludf.DUMMYFUNCTION("""COMPUTED_VALUE"""),45048.2312286921)</f>
        <v>45048.231228692101</v>
      </c>
      <c r="B1730" s="1" t="str">
        <f ca="1">IFERROR(__xludf.DUMMYFUNCTION("""COMPUTED_VALUE"""),"India")</f>
        <v>India</v>
      </c>
      <c r="C1730" s="1">
        <f ca="1">IFERROR(__xludf.DUMMYFUNCTION("""COMPUTED_VALUE"""),600122)</f>
        <v>600122</v>
      </c>
      <c r="D1730" s="3" t="str">
        <f ca="1">IFERROR(__xludf.DUMMYFUNCTION("""COMPUTED_VALUE"""),"Male")</f>
        <v>Male</v>
      </c>
      <c r="E1730" s="1" t="str">
        <f ca="1">IFERROR(__xludf.DUMMYFUNCTION("""COMPUTED_VALUE"""),"People from my circle, but not family members")</f>
        <v>People from my circle, but not family members</v>
      </c>
      <c r="F1730" s="1" t="str">
        <f ca="1">IFERROR(__xludf.DUMMYFUNCTION("""COMPUTED_VALUE"""),"No, But if someone could bare the cost I will")</f>
        <v>No, But if someone could bare the cost I will</v>
      </c>
      <c r="G1730" s="1" t="str">
        <f ca="1">IFERROR(__xludf.DUMMYFUNCTION("""COMPUTED_VALUE"""),"This will be hard to do, but if it is the right company I would try")</f>
        <v>This will be hard to do, but if it is the right company I would try</v>
      </c>
      <c r="H1730" s="1" t="str">
        <f ca="1">IFERROR(__xludf.DUMMYFUNCTION("""COMPUTED_VALUE"""),"No")</f>
        <v>No</v>
      </c>
      <c r="I1730" s="1" t="str">
        <f ca="1">IFERROR(__xludf.DUMMYFUNCTION("""COMPUTED_VALUE"""),"Will NOT work for them")</f>
        <v>Will NOT work for them</v>
      </c>
      <c r="J1730" s="1">
        <f ca="1">IFERROR(__xludf.DUMMYFUNCTION("""COMPUTED_VALUE"""),4)</f>
        <v>4</v>
      </c>
      <c r="K1730" s="1" t="str">
        <f ca="1">IFERROR(__xludf.DUMMYFUNCTION("""COMPUTED_VALUE"""),"Hybrid Working Environment with more than 15 days a month at office")</f>
        <v>Hybrid Working Environment with more than 15 days a month at office</v>
      </c>
      <c r="L1730" s="1" t="str">
        <f ca="1">IFERROR(__xludf.DUMMYFUNCTION("""COMPUTED_VALUE"""),"Employer who appreciates learning and enables that environment")</f>
        <v>Employer who appreciates learning and enables that environment</v>
      </c>
      <c r="M173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30"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30" s="1" t="str">
        <f ca="1">IFERROR(__xludf.DUMMYFUNCTION("""COMPUTED_VALUE"""),"Manager who clearly describes what she/he needs")</f>
        <v>Manager who clearly describes what she/he needs</v>
      </c>
      <c r="P1730" s="1" t="str">
        <f ca="1">IFERROR(__xludf.DUMMYFUNCTION("""COMPUTED_VALUE"""),"Work with 5 to 6 people in my team")</f>
        <v>Work with 5 to 6 people in my team</v>
      </c>
      <c r="Q1730" s="1"/>
    </row>
    <row r="1731" spans="1:17" ht="13.2" x14ac:dyDescent="0.25">
      <c r="A1731" s="2">
        <f ca="1">IFERROR(__xludf.DUMMYFUNCTION("""COMPUTED_VALUE"""),45048.2640454745)</f>
        <v>45048.264045474498</v>
      </c>
      <c r="B1731" s="1" t="str">
        <f ca="1">IFERROR(__xludf.DUMMYFUNCTION("""COMPUTED_VALUE"""),"India")</f>
        <v>India</v>
      </c>
      <c r="C1731" s="1">
        <f ca="1">IFERROR(__xludf.DUMMYFUNCTION("""COMPUTED_VALUE"""),380005)</f>
        <v>380005</v>
      </c>
      <c r="D1731" s="3" t="str">
        <f ca="1">IFERROR(__xludf.DUMMYFUNCTION("""COMPUTED_VALUE"""),"Male")</f>
        <v>Male</v>
      </c>
      <c r="E1731" s="1" t="str">
        <f ca="1">IFERROR(__xludf.DUMMYFUNCTION("""COMPUTED_VALUE"""),"Influencers who had successful careers")</f>
        <v>Influencers who had successful careers</v>
      </c>
      <c r="F1731" s="1" t="str">
        <f ca="1">IFERROR(__xludf.DUMMYFUNCTION("""COMPUTED_VALUE"""),"No, But if someone could bare the cost I will")</f>
        <v>No, But if someone could bare the cost I will</v>
      </c>
      <c r="G1731" s="1" t="str">
        <f ca="1">IFERROR(__xludf.DUMMYFUNCTION("""COMPUTED_VALUE"""),"Will work for 3 years or more")</f>
        <v>Will work for 3 years or more</v>
      </c>
      <c r="H1731" s="1" t="str">
        <f ca="1">IFERROR(__xludf.DUMMYFUNCTION("""COMPUTED_VALUE"""),"No")</f>
        <v>No</v>
      </c>
      <c r="I1731" s="1" t="str">
        <f ca="1">IFERROR(__xludf.DUMMYFUNCTION("""COMPUTED_VALUE"""),"Will work for them")</f>
        <v>Will work for them</v>
      </c>
      <c r="J1731" s="1">
        <f ca="1">IFERROR(__xludf.DUMMYFUNCTION("""COMPUTED_VALUE"""),8)</f>
        <v>8</v>
      </c>
      <c r="K1731" s="1" t="str">
        <f ca="1">IFERROR(__xludf.DUMMYFUNCTION("""COMPUTED_VALUE"""),"Hybrid Working Environment with more than 15 days a month at office")</f>
        <v>Hybrid Working Environment with more than 15 days a month at office</v>
      </c>
      <c r="L1731" s="1" t="str">
        <f ca="1">IFERROR(__xludf.DUMMYFUNCTION("""COMPUTED_VALUE"""),"Employer who appreciates learning and enables that environment")</f>
        <v>Employer who appreciates learning and enables that environment</v>
      </c>
      <c r="M1731"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31" s="1" t="str">
        <f ca="1">IFERROR(__xludf.DUMMYFUNCTION("""COMPUTED_VALUE"""),"Business Operations in any organization, Manage and drive End-to-End Projects or Products, Work in a BPO setup for some well known client, Entrepreneur or Start Up")</f>
        <v>Business Operations in any organization, Manage and drive End-to-End Projects or Products, Work in a BPO setup for some well known client, Entrepreneur or Start Up</v>
      </c>
      <c r="O1731" s="1" t="str">
        <f ca="1">IFERROR(__xludf.DUMMYFUNCTION("""COMPUTED_VALUE"""),"Manager who clearly describes what she/he needs")</f>
        <v>Manager who clearly describes what she/he needs</v>
      </c>
      <c r="P1731" s="1" t="str">
        <f ca="1">IFERROR(__xludf.DUMMYFUNCTION("""COMPUTED_VALUE"""),"Work with 5 to 6 people in my team")</f>
        <v>Work with 5 to 6 people in my team</v>
      </c>
      <c r="Q1731" s="1"/>
    </row>
    <row r="1732" spans="1:17" ht="13.2" x14ac:dyDescent="0.25">
      <c r="A1732" s="2">
        <f ca="1">IFERROR(__xludf.DUMMYFUNCTION("""COMPUTED_VALUE"""),45048.3342632638)</f>
        <v>45048.334263263801</v>
      </c>
      <c r="B1732" s="1" t="str">
        <f ca="1">IFERROR(__xludf.DUMMYFUNCTION("""COMPUTED_VALUE"""),"India")</f>
        <v>India</v>
      </c>
      <c r="C1732" s="1">
        <f ca="1">IFERROR(__xludf.DUMMYFUNCTION("""COMPUTED_VALUE"""),515870)</f>
        <v>515870</v>
      </c>
      <c r="D1732" s="3" t="str">
        <f ca="1">IFERROR(__xludf.DUMMYFUNCTION("""COMPUTED_VALUE"""),"Male")</f>
        <v>Male</v>
      </c>
      <c r="E1732" s="1" t="str">
        <f ca="1">IFERROR(__xludf.DUMMYFUNCTION("""COMPUTED_VALUE"""),"Influencers who had successful careers")</f>
        <v>Influencers who had successful careers</v>
      </c>
      <c r="F1732" s="1" t="str">
        <f ca="1">IFERROR(__xludf.DUMMYFUNCTION("""COMPUTED_VALUE"""),"No I would not be pursuing Higher Education outside of India")</f>
        <v>No I would not be pursuing Higher Education outside of India</v>
      </c>
      <c r="G1732" s="1" t="str">
        <f ca="1">IFERROR(__xludf.DUMMYFUNCTION("""COMPUTED_VALUE"""),"This will be hard to do, but if it is the right company I would try")</f>
        <v>This will be hard to do, but if it is the right company I would try</v>
      </c>
      <c r="H1732" s="1" t="str">
        <f ca="1">IFERROR(__xludf.DUMMYFUNCTION("""COMPUTED_VALUE"""),"No")</f>
        <v>No</v>
      </c>
      <c r="I1732" s="1" t="str">
        <f ca="1">IFERROR(__xludf.DUMMYFUNCTION("""COMPUTED_VALUE"""),"Will NOT work for them")</f>
        <v>Will NOT work for them</v>
      </c>
      <c r="J1732" s="1">
        <f ca="1">IFERROR(__xludf.DUMMYFUNCTION("""COMPUTED_VALUE"""),4)</f>
        <v>4</v>
      </c>
      <c r="K1732" s="1" t="str">
        <f ca="1">IFERROR(__xludf.DUMMYFUNCTION("""COMPUTED_VALUE"""),"Fully Remote with Options to travel as and when needed")</f>
        <v>Fully Remote with Options to travel as and when needed</v>
      </c>
      <c r="L1732" s="1" t="str">
        <f ca="1">IFERROR(__xludf.DUMMYFUNCTION("""COMPUTED_VALUE"""),"Employer who rewards learning and enables that environment")</f>
        <v>Employer who rewards learning and enables that environment</v>
      </c>
      <c r="M173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32" s="1" t="str">
        <f ca="1">IFERROR(__xludf.DUMMYFUNCTION("""COMPUTED_VALUE"""),"Business Operations in any organization, Look deeply into Data and generate insights, Work in a BPO setup for some well known client, Become a content Creator in some platform")</f>
        <v>Business Operations in any organization, Look deeply into Data and generate insights, Work in a BPO setup for some well known client, Become a content Creator in some platform</v>
      </c>
      <c r="O1732" s="1" t="str">
        <f ca="1">IFERROR(__xludf.DUMMYFUNCTION("""COMPUTED_VALUE"""),"Manager who explains what is expected, sets a goal and helps achieve it")</f>
        <v>Manager who explains what is expected, sets a goal and helps achieve it</v>
      </c>
      <c r="P1732" s="1" t="str">
        <f ca="1">IFERROR(__xludf.DUMMYFUNCTION("""COMPUTED_VALUE"""),"Work with more than 10 people in my team")</f>
        <v>Work with more than 10 people in my team</v>
      </c>
      <c r="Q1732" s="1"/>
    </row>
    <row r="1733" spans="1:17" ht="13.2" x14ac:dyDescent="0.25">
      <c r="A1733" s="2">
        <f ca="1">IFERROR(__xludf.DUMMYFUNCTION("""COMPUTED_VALUE"""),45048.412455405)</f>
        <v>45048.412455404999</v>
      </c>
      <c r="B1733" s="1" t="str">
        <f ca="1">IFERROR(__xludf.DUMMYFUNCTION("""COMPUTED_VALUE"""),"India")</f>
        <v>India</v>
      </c>
      <c r="C1733" s="1">
        <f ca="1">IFERROR(__xludf.DUMMYFUNCTION("""COMPUTED_VALUE"""),515870)</f>
        <v>515870</v>
      </c>
      <c r="D1733" s="3" t="str">
        <f ca="1">IFERROR(__xludf.DUMMYFUNCTION("""COMPUTED_VALUE"""),"Male")</f>
        <v>Male</v>
      </c>
      <c r="E1733" s="1" t="str">
        <f ca="1">IFERROR(__xludf.DUMMYFUNCTION("""COMPUTED_VALUE"""),"My Parents")</f>
        <v>My Parents</v>
      </c>
      <c r="F1733" s="1" t="str">
        <f ca="1">IFERROR(__xludf.DUMMYFUNCTION("""COMPUTED_VALUE"""),"No, But if someone could bare the cost I will")</f>
        <v>No, But if someone could bare the cost I will</v>
      </c>
      <c r="G1733" s="1" t="str">
        <f ca="1">IFERROR(__xludf.DUMMYFUNCTION("""COMPUTED_VALUE"""),"Will work for 3 years or more")</f>
        <v>Will work for 3 years or more</v>
      </c>
      <c r="H1733" s="1" t="str">
        <f ca="1">IFERROR(__xludf.DUMMYFUNCTION("""COMPUTED_VALUE"""),"Yes")</f>
        <v>Yes</v>
      </c>
      <c r="I1733" s="1" t="str">
        <f ca="1">IFERROR(__xludf.DUMMYFUNCTION("""COMPUTED_VALUE"""),"Will NOT work for them")</f>
        <v>Will NOT work for them</v>
      </c>
      <c r="J1733" s="1">
        <f ca="1">IFERROR(__xludf.DUMMYFUNCTION("""COMPUTED_VALUE"""),8)</f>
        <v>8</v>
      </c>
      <c r="K1733" s="1" t="str">
        <f ca="1">IFERROR(__xludf.DUMMYFUNCTION("""COMPUTED_VALUE"""),"Hybrid Working Environment with less than 3 days a month at office")</f>
        <v>Hybrid Working Environment with less than 3 days a month at office</v>
      </c>
      <c r="L1733" s="1" t="str">
        <f ca="1">IFERROR(__xludf.DUMMYFUNCTION("""COMPUTED_VALUE"""),"Employer who pushes your limits by enabling an learning environment, and rewards you at the end")</f>
        <v>Employer who pushes your limits by enabling an learning environment, and rewards you at the end</v>
      </c>
      <c r="M173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33"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733" s="1" t="str">
        <f ca="1">IFERROR(__xludf.DUMMYFUNCTION("""COMPUTED_VALUE"""),"Manager who explains what is expected, sets a goal and helps achieve it")</f>
        <v>Manager who explains what is expected, sets a goal and helps achieve it</v>
      </c>
      <c r="P1733" s="1" t="str">
        <f ca="1">IFERROR(__xludf.DUMMYFUNCTION("""COMPUTED_VALUE"""),"Work with more than 10 people in my team")</f>
        <v>Work with more than 10 people in my team</v>
      </c>
      <c r="Q1733" s="1"/>
    </row>
    <row r="1734" spans="1:17" ht="13.2" x14ac:dyDescent="0.25">
      <c r="A1734" s="2">
        <f ca="1">IFERROR(__xludf.DUMMYFUNCTION("""COMPUTED_VALUE"""),45048.5657092592)</f>
        <v>45048.565709259201</v>
      </c>
      <c r="B1734" s="1" t="str">
        <f ca="1">IFERROR(__xludf.DUMMYFUNCTION("""COMPUTED_VALUE"""),"India")</f>
        <v>India</v>
      </c>
      <c r="C1734" s="1">
        <f ca="1">IFERROR(__xludf.DUMMYFUNCTION("""COMPUTED_VALUE"""),560098)</f>
        <v>560098</v>
      </c>
      <c r="D1734" s="3" t="str">
        <f ca="1">IFERROR(__xludf.DUMMYFUNCTION("""COMPUTED_VALUE"""),"Male")</f>
        <v>Male</v>
      </c>
      <c r="E1734" s="1" t="str">
        <f ca="1">IFERROR(__xludf.DUMMYFUNCTION("""COMPUTED_VALUE"""),"My Parents")</f>
        <v>My Parents</v>
      </c>
      <c r="F1734" s="1" t="str">
        <f ca="1">IFERROR(__xludf.DUMMYFUNCTION("""COMPUTED_VALUE"""),"Yes, I will earn and do that")</f>
        <v>Yes, I will earn and do that</v>
      </c>
      <c r="G1734" s="1" t="str">
        <f ca="1">IFERROR(__xludf.DUMMYFUNCTION("""COMPUTED_VALUE"""),"This will be hard to do, but if it is the right company I would try")</f>
        <v>This will be hard to do, but if it is the right company I would try</v>
      </c>
      <c r="H1734" s="1" t="str">
        <f ca="1">IFERROR(__xludf.DUMMYFUNCTION("""COMPUTED_VALUE"""),"No")</f>
        <v>No</v>
      </c>
      <c r="I1734" s="1" t="str">
        <f ca="1">IFERROR(__xludf.DUMMYFUNCTION("""COMPUTED_VALUE"""),"Will NOT work for them")</f>
        <v>Will NOT work for them</v>
      </c>
      <c r="J1734" s="1">
        <f ca="1">IFERROR(__xludf.DUMMYFUNCTION("""COMPUTED_VALUE"""),2)</f>
        <v>2</v>
      </c>
      <c r="K1734" s="1" t="str">
        <f ca="1">IFERROR(__xludf.DUMMYFUNCTION("""COMPUTED_VALUE"""),"Fully Remote with Options to travel as and when needed")</f>
        <v>Fully Remote with Options to travel as and when needed</v>
      </c>
      <c r="L1734" s="1" t="str">
        <f ca="1">IFERROR(__xludf.DUMMYFUNCTION("""COMPUTED_VALUE"""),"Employer who rewards learning and enables that environment")</f>
        <v>Employer who rewards learning and enables that environment</v>
      </c>
      <c r="M173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34"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734" s="1" t="str">
        <f ca="1">IFERROR(__xludf.DUMMYFUNCTION("""COMPUTED_VALUE"""),"Manager who explains what is expected, sets a goal and helps achieve it")</f>
        <v>Manager who explains what is expected, sets a goal and helps achieve it</v>
      </c>
      <c r="P1734" s="1" t="str">
        <f ca="1">IFERROR(__xludf.DUMMYFUNCTION("""COMPUTED_VALUE"""),"Work with 2 to 3 people in my team")</f>
        <v>Work with 2 to 3 people in my team</v>
      </c>
      <c r="Q1734" s="1"/>
    </row>
    <row r="1735" spans="1:17" ht="13.2" x14ac:dyDescent="0.25">
      <c r="A1735" s="2">
        <f ca="1">IFERROR(__xludf.DUMMYFUNCTION("""COMPUTED_VALUE"""),45048.5770787151)</f>
        <v>45048.577078715098</v>
      </c>
      <c r="B1735" s="1" t="str">
        <f ca="1">IFERROR(__xludf.DUMMYFUNCTION("""COMPUTED_VALUE"""),"India")</f>
        <v>India</v>
      </c>
      <c r="C1735" s="1">
        <f ca="1">IFERROR(__xludf.DUMMYFUNCTION("""COMPUTED_VALUE"""),793007)</f>
        <v>793007</v>
      </c>
      <c r="D1735" s="3" t="str">
        <f ca="1">IFERROR(__xludf.DUMMYFUNCTION("""COMPUTED_VALUE"""),"Male")</f>
        <v>Male</v>
      </c>
      <c r="E1735" s="1" t="str">
        <f ca="1">IFERROR(__xludf.DUMMYFUNCTION("""COMPUTED_VALUE"""),"People who have changed the world for better")</f>
        <v>People who have changed the world for better</v>
      </c>
      <c r="F1735" s="1" t="str">
        <f ca="1">IFERROR(__xludf.DUMMYFUNCTION("""COMPUTED_VALUE"""),"No I would not be pursuing Higher Education outside of India")</f>
        <v>No I would not be pursuing Higher Education outside of India</v>
      </c>
      <c r="G1735" s="1" t="str">
        <f ca="1">IFERROR(__xludf.DUMMYFUNCTION("""COMPUTED_VALUE"""),"Will work for 3 years or more")</f>
        <v>Will work for 3 years or more</v>
      </c>
      <c r="H1735" s="1" t="str">
        <f ca="1">IFERROR(__xludf.DUMMYFUNCTION("""COMPUTED_VALUE"""),"Yes")</f>
        <v>Yes</v>
      </c>
      <c r="I1735" s="1" t="str">
        <f ca="1">IFERROR(__xludf.DUMMYFUNCTION("""COMPUTED_VALUE"""),"Will work for them")</f>
        <v>Will work for them</v>
      </c>
      <c r="J1735" s="1">
        <f ca="1">IFERROR(__xludf.DUMMYFUNCTION("""COMPUTED_VALUE"""),5)</f>
        <v>5</v>
      </c>
      <c r="K1735" s="1" t="str">
        <f ca="1">IFERROR(__xludf.DUMMYFUNCTION("""COMPUTED_VALUE"""),"Fully Remote with Options to travel as and when needed")</f>
        <v>Fully Remote with Options to travel as and when needed</v>
      </c>
      <c r="L1735" s="1" t="str">
        <f ca="1">IFERROR(__xludf.DUMMYFUNCTION("""COMPUTED_VALUE"""),"Employer who pushes your limits by enabling an learning environment, and rewards you at the end")</f>
        <v>Employer who pushes your limits by enabling an learning environment, and rewards you at the end</v>
      </c>
      <c r="M1735" s="1" t="str">
        <f ca="1">IFERROR(__xludf.DUMMYFUNCTION("""COMPUTED_VALUE"""),"Instructor or Expert Learning Programs, Learning by observing others, Manager Teaching you")</f>
        <v>Instructor or Expert Learning Programs, Learning by observing others, Manager Teaching you</v>
      </c>
      <c r="N1735"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735" s="1" t="str">
        <f ca="1">IFERROR(__xludf.DUMMYFUNCTION("""COMPUTED_VALUE"""),"Manager who clearly describes what she/he needs")</f>
        <v>Manager who clearly describes what she/he needs</v>
      </c>
      <c r="P1735" s="1" t="str">
        <f ca="1">IFERROR(__xludf.DUMMYFUNCTION("""COMPUTED_VALUE"""),"Work with 2 to 3 people in my team")</f>
        <v>Work with 2 to 3 people in my team</v>
      </c>
      <c r="Q1735" s="1"/>
    </row>
    <row r="1736" spans="1:17" ht="13.2" x14ac:dyDescent="0.25">
      <c r="A1736" s="2">
        <f ca="1">IFERROR(__xludf.DUMMYFUNCTION("""COMPUTED_VALUE"""),45048.5917379398)</f>
        <v>45048.591737939802</v>
      </c>
      <c r="B1736" s="1" t="str">
        <f ca="1">IFERROR(__xludf.DUMMYFUNCTION("""COMPUTED_VALUE"""),"India")</f>
        <v>India</v>
      </c>
      <c r="C1736" s="1">
        <f ca="1">IFERROR(__xludf.DUMMYFUNCTION("""COMPUTED_VALUE"""),793006)</f>
        <v>793006</v>
      </c>
      <c r="D1736" s="3" t="str">
        <f ca="1">IFERROR(__xludf.DUMMYFUNCTION("""COMPUTED_VALUE"""),"Female")</f>
        <v>Female</v>
      </c>
      <c r="E1736" s="1" t="str">
        <f ca="1">IFERROR(__xludf.DUMMYFUNCTION("""COMPUTED_VALUE"""),"Influencers who had successful careers")</f>
        <v>Influencers who had successful careers</v>
      </c>
      <c r="F1736" s="1" t="str">
        <f ca="1">IFERROR(__xludf.DUMMYFUNCTION("""COMPUTED_VALUE"""),"Yes, I will earn and do that")</f>
        <v>Yes, I will earn and do that</v>
      </c>
      <c r="G1736" s="1" t="str">
        <f ca="1">IFERROR(__xludf.DUMMYFUNCTION("""COMPUTED_VALUE"""),"This will be hard to do, but if it is the right company I would try")</f>
        <v>This will be hard to do, but if it is the right company I would try</v>
      </c>
      <c r="H1736" s="1" t="str">
        <f ca="1">IFERROR(__xludf.DUMMYFUNCTION("""COMPUTED_VALUE"""),"No")</f>
        <v>No</v>
      </c>
      <c r="I1736" s="1" t="str">
        <f ca="1">IFERROR(__xludf.DUMMYFUNCTION("""COMPUTED_VALUE"""),"Will NOT work for them")</f>
        <v>Will NOT work for them</v>
      </c>
      <c r="J1736" s="1">
        <f ca="1">IFERROR(__xludf.DUMMYFUNCTION("""COMPUTED_VALUE"""),2)</f>
        <v>2</v>
      </c>
      <c r="K1736" s="1" t="str">
        <f ca="1">IFERROR(__xludf.DUMMYFUNCTION("""COMPUTED_VALUE"""),"Hybrid Working Environment with more than 15 days a month at office")</f>
        <v>Hybrid Working Environment with more than 15 days a month at office</v>
      </c>
      <c r="L1736" s="1" t="str">
        <f ca="1">IFERROR(__xludf.DUMMYFUNCTION("""COMPUTED_VALUE"""),"Employer who pushes your limits by enabling an learning environment, and rewards you at the end")</f>
        <v>Employer who pushes your limits by enabling an learning environment, and rewards you at the end</v>
      </c>
      <c r="M173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36"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736" s="1" t="str">
        <f ca="1">IFERROR(__xludf.DUMMYFUNCTION("""COMPUTED_VALUE"""),"Manager who explains what is expected, sets a goal and helps achieve it")</f>
        <v>Manager who explains what is expected, sets a goal and helps achieve it</v>
      </c>
      <c r="P1736" s="1" t="str">
        <f ca="1">IFERROR(__xludf.DUMMYFUNCTION("""COMPUTED_VALUE"""),"Work with 2 to 3 people in my team")</f>
        <v>Work with 2 to 3 people in my team</v>
      </c>
      <c r="Q1736" s="1"/>
    </row>
    <row r="1737" spans="1:17" ht="13.2" x14ac:dyDescent="0.25">
      <c r="A1737" s="2">
        <f ca="1">IFERROR(__xludf.DUMMYFUNCTION("""COMPUTED_VALUE"""),45048.5935423726)</f>
        <v>45048.593542372597</v>
      </c>
      <c r="B1737" s="1" t="str">
        <f ca="1">IFERROR(__xludf.DUMMYFUNCTION("""COMPUTED_VALUE"""),"India")</f>
        <v>India</v>
      </c>
      <c r="C1737" s="1">
        <f ca="1">IFERROR(__xludf.DUMMYFUNCTION("""COMPUTED_VALUE"""),793002)</f>
        <v>793002</v>
      </c>
      <c r="D1737" s="3" t="str">
        <f ca="1">IFERROR(__xludf.DUMMYFUNCTION("""COMPUTED_VALUE"""),"Male")</f>
        <v>Male</v>
      </c>
      <c r="E1737" s="1" t="str">
        <f ca="1">IFERROR(__xludf.DUMMYFUNCTION("""COMPUTED_VALUE"""),"My Parents")</f>
        <v>My Parents</v>
      </c>
      <c r="F1737" s="1" t="str">
        <f ca="1">IFERROR(__xludf.DUMMYFUNCTION("""COMPUTED_VALUE"""),"Yes, I will earn and do that")</f>
        <v>Yes, I will earn and do that</v>
      </c>
      <c r="G1737" s="1" t="str">
        <f ca="1">IFERROR(__xludf.DUMMYFUNCTION("""COMPUTED_VALUE"""),"This will be hard to do, but if it is the right company I would try")</f>
        <v>This will be hard to do, but if it is the right company I would try</v>
      </c>
      <c r="H1737" s="1" t="str">
        <f ca="1">IFERROR(__xludf.DUMMYFUNCTION("""COMPUTED_VALUE"""),"Yes")</f>
        <v>Yes</v>
      </c>
      <c r="I1737" s="1" t="str">
        <f ca="1">IFERROR(__xludf.DUMMYFUNCTION("""COMPUTED_VALUE"""),"Will work for them")</f>
        <v>Will work for them</v>
      </c>
      <c r="J1737" s="1">
        <f ca="1">IFERROR(__xludf.DUMMYFUNCTION("""COMPUTED_VALUE"""),4)</f>
        <v>4</v>
      </c>
      <c r="K1737" s="1" t="str">
        <f ca="1">IFERROR(__xludf.DUMMYFUNCTION("""COMPUTED_VALUE"""),"Hybrid Working Environment with less than 3 days a month at office")</f>
        <v>Hybrid Working Environment with less than 3 days a month at office</v>
      </c>
      <c r="L1737" s="1" t="str">
        <f ca="1">IFERROR(__xludf.DUMMYFUNCTION("""COMPUTED_VALUE"""),"Employer who pushes your limits by enabling an learning environment, and rewards you at the end")</f>
        <v>Employer who pushes your limits by enabling an learning environment, and rewards you at the end</v>
      </c>
      <c r="M1737" s="1" t="str">
        <f ca="1">IFERROR(__xludf.DUMMYFUNCTION("""COMPUTED_VALUE"""),"Instructor or Expert Learning Programs, Learning by observing others, Manager Teaching you")</f>
        <v>Instructor or Expert Learning Programs, Learning by observing others, Manager Teaching you</v>
      </c>
      <c r="N1737"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1737" s="1" t="str">
        <f ca="1">IFERROR(__xludf.DUMMYFUNCTION("""COMPUTED_VALUE"""),"Manager who explains what is expected, sets a goal and helps achieve it")</f>
        <v>Manager who explains what is expected, sets a goal and helps achieve it</v>
      </c>
      <c r="P1737" s="1" t="str">
        <f ca="1">IFERROR(__xludf.DUMMYFUNCTION("""COMPUTED_VALUE"""),"Work with 5 to 6 people in my team")</f>
        <v>Work with 5 to 6 people in my team</v>
      </c>
      <c r="Q1737" s="1"/>
    </row>
    <row r="1738" spans="1:17" ht="13.2" x14ac:dyDescent="0.25">
      <c r="A1738" s="2">
        <f ca="1">IFERROR(__xludf.DUMMYFUNCTION("""COMPUTED_VALUE"""),45048.6025830555)</f>
        <v>45048.602583055501</v>
      </c>
      <c r="B1738" s="1" t="str">
        <f ca="1">IFERROR(__xludf.DUMMYFUNCTION("""COMPUTED_VALUE"""),"India")</f>
        <v>India</v>
      </c>
      <c r="C1738" s="1">
        <f ca="1">IFERROR(__xludf.DUMMYFUNCTION("""COMPUTED_VALUE"""),793009)</f>
        <v>793009</v>
      </c>
      <c r="D1738" s="3" t="str">
        <f ca="1">IFERROR(__xludf.DUMMYFUNCTION("""COMPUTED_VALUE"""),"Female")</f>
        <v>Female</v>
      </c>
      <c r="E1738" s="1" t="str">
        <f ca="1">IFERROR(__xludf.DUMMYFUNCTION("""COMPUTED_VALUE"""),"People who have changed the world for better")</f>
        <v>People who have changed the world for better</v>
      </c>
      <c r="F1738" s="1" t="str">
        <f ca="1">IFERROR(__xludf.DUMMYFUNCTION("""COMPUTED_VALUE"""),"Yes, I will earn and do that")</f>
        <v>Yes, I will earn and do that</v>
      </c>
      <c r="G1738" s="1" t="str">
        <f ca="1">IFERROR(__xludf.DUMMYFUNCTION("""COMPUTED_VALUE"""),"Will work for 3 years or more")</f>
        <v>Will work for 3 years or more</v>
      </c>
      <c r="H1738" s="1" t="str">
        <f ca="1">IFERROR(__xludf.DUMMYFUNCTION("""COMPUTED_VALUE"""),"No")</f>
        <v>No</v>
      </c>
      <c r="I1738" s="1" t="str">
        <f ca="1">IFERROR(__xludf.DUMMYFUNCTION("""COMPUTED_VALUE"""),"Will NOT work for them")</f>
        <v>Will NOT work for them</v>
      </c>
      <c r="J1738" s="1">
        <f ca="1">IFERROR(__xludf.DUMMYFUNCTION("""COMPUTED_VALUE"""),1)</f>
        <v>1</v>
      </c>
      <c r="K1738" s="1" t="str">
        <f ca="1">IFERROR(__xludf.DUMMYFUNCTION("""COMPUTED_VALUE"""),"Fully Remote with Options to travel as and when needed")</f>
        <v>Fully Remote with Options to travel as and when needed</v>
      </c>
      <c r="L1738" s="1" t="str">
        <f ca="1">IFERROR(__xludf.DUMMYFUNCTION("""COMPUTED_VALUE"""),"Employer who pushes your limits by enabling an learning environment, and rewards you at the end")</f>
        <v>Employer who pushes your limits by enabling an learning environment, and rewards you at the end</v>
      </c>
      <c r="M17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38"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738" s="1" t="str">
        <f ca="1">IFERROR(__xludf.DUMMYFUNCTION("""COMPUTED_VALUE"""),"Manager who explains what is expected, sets a goal and helps achieve it")</f>
        <v>Manager who explains what is expected, sets a goal and helps achieve it</v>
      </c>
      <c r="P1738" s="1" t="str">
        <f ca="1">IFERROR(__xludf.DUMMYFUNCTION("""COMPUTED_VALUE"""),"Work alone, Work with 2 to 3 people in my team")</f>
        <v>Work alone, Work with 2 to 3 people in my team</v>
      </c>
      <c r="Q1738" s="1"/>
    </row>
    <row r="1739" spans="1:17" ht="13.2" x14ac:dyDescent="0.25">
      <c r="A1739" s="2">
        <f ca="1">IFERROR(__xludf.DUMMYFUNCTION("""COMPUTED_VALUE"""),45048.6031778125)</f>
        <v>45048.603177812503</v>
      </c>
      <c r="B1739" s="1" t="str">
        <f ca="1">IFERROR(__xludf.DUMMYFUNCTION("""COMPUTED_VALUE"""),"India")</f>
        <v>India</v>
      </c>
      <c r="C1739" s="1">
        <f ca="1">IFERROR(__xludf.DUMMYFUNCTION("""COMPUTED_VALUE"""),793021)</f>
        <v>793021</v>
      </c>
      <c r="D1739" s="3" t="str">
        <f ca="1">IFERROR(__xludf.DUMMYFUNCTION("""COMPUTED_VALUE"""),"Female")</f>
        <v>Female</v>
      </c>
      <c r="E1739" s="1" t="str">
        <f ca="1">IFERROR(__xludf.DUMMYFUNCTION("""COMPUTED_VALUE"""),"My Parents")</f>
        <v>My Parents</v>
      </c>
      <c r="F1739" s="1" t="str">
        <f ca="1">IFERROR(__xludf.DUMMYFUNCTION("""COMPUTED_VALUE"""),"No I would not be pursuing Higher Education outside of India")</f>
        <v>No I would not be pursuing Higher Education outside of India</v>
      </c>
      <c r="G1739" s="1" t="str">
        <f ca="1">IFERROR(__xludf.DUMMYFUNCTION("""COMPUTED_VALUE"""),"This will be hard to do, but if it is the right company I would try")</f>
        <v>This will be hard to do, but if it is the right company I would try</v>
      </c>
      <c r="H1739" s="1" t="str">
        <f ca="1">IFERROR(__xludf.DUMMYFUNCTION("""COMPUTED_VALUE"""),"Yes")</f>
        <v>Yes</v>
      </c>
      <c r="I1739" s="1" t="str">
        <f ca="1">IFERROR(__xludf.DUMMYFUNCTION("""COMPUTED_VALUE"""),"Will NOT work for them")</f>
        <v>Will NOT work for them</v>
      </c>
      <c r="J1739" s="1">
        <f ca="1">IFERROR(__xludf.DUMMYFUNCTION("""COMPUTED_VALUE"""),3)</f>
        <v>3</v>
      </c>
      <c r="K1739" s="1" t="str">
        <f ca="1">IFERROR(__xludf.DUMMYFUNCTION("""COMPUTED_VALUE"""),"Fully Remote with No option to visit offices")</f>
        <v>Fully Remote with No option to visit offices</v>
      </c>
      <c r="L1739" s="1" t="str">
        <f ca="1">IFERROR(__xludf.DUMMYFUNCTION("""COMPUTED_VALUE"""),"Employer who rewards learning and enables that environment")</f>
        <v>Employer who rewards learning and enables that environment</v>
      </c>
      <c r="M173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39" s="1" t="str">
        <f ca="1">IFERROR(__xludf.DUMMYFUNCTION("""COMPUTED_VALUE"""),"Build and develop a Team, Look deeply into Data and generate insights, Become a content Creator in some platform, Manufacturing / Oil and Gas/ Construction / Hard Physical Work related")</f>
        <v>Build and develop a Team, Look deeply into Data and generate insights, Become a content Creator in some platform, Manufacturing / Oil and Gas/ Construction / Hard Physical Work related</v>
      </c>
      <c r="O1739" s="1" t="str">
        <f ca="1">IFERROR(__xludf.DUMMYFUNCTION("""COMPUTED_VALUE"""),"Manager who explains what is expected, sets a goal and helps achieve it")</f>
        <v>Manager who explains what is expected, sets a goal and helps achieve it</v>
      </c>
      <c r="P1739" s="1" t="str">
        <f ca="1">IFERROR(__xludf.DUMMYFUNCTION("""COMPUTED_VALUE"""),"Work with 5 to 6 people in my team")</f>
        <v>Work with 5 to 6 people in my team</v>
      </c>
      <c r="Q1739" s="1"/>
    </row>
    <row r="1740" spans="1:17" ht="13.2" x14ac:dyDescent="0.25">
      <c r="A1740" s="2">
        <f ca="1">IFERROR(__xludf.DUMMYFUNCTION("""COMPUTED_VALUE"""),45048.6108131713)</f>
        <v>45048.610813171297</v>
      </c>
      <c r="B1740" s="1" t="str">
        <f ca="1">IFERROR(__xludf.DUMMYFUNCTION("""COMPUTED_VALUE"""),"India")</f>
        <v>India</v>
      </c>
      <c r="C1740" s="1">
        <f ca="1">IFERROR(__xludf.DUMMYFUNCTION("""COMPUTED_VALUE"""),411004)</f>
        <v>411004</v>
      </c>
      <c r="D1740" s="3" t="str">
        <f ca="1">IFERROR(__xludf.DUMMYFUNCTION("""COMPUTED_VALUE"""),"Female")</f>
        <v>Female</v>
      </c>
      <c r="E1740" s="1" t="str">
        <f ca="1">IFERROR(__xludf.DUMMYFUNCTION("""COMPUTED_VALUE"""),"People who have changed the world for better")</f>
        <v>People who have changed the world for better</v>
      </c>
      <c r="F1740" s="1" t="str">
        <f ca="1">IFERROR(__xludf.DUMMYFUNCTION("""COMPUTED_VALUE"""),"No, But if someone could bare the cost I will")</f>
        <v>No, But if someone could bare the cost I will</v>
      </c>
      <c r="G1740" s="1" t="str">
        <f ca="1">IFERROR(__xludf.DUMMYFUNCTION("""COMPUTED_VALUE"""),"This will be hard to do, but if it is the right company I would try")</f>
        <v>This will be hard to do, but if it is the right company I would try</v>
      </c>
      <c r="H1740" s="1" t="str">
        <f ca="1">IFERROR(__xludf.DUMMYFUNCTION("""COMPUTED_VALUE"""),"No")</f>
        <v>No</v>
      </c>
      <c r="I1740" s="1" t="str">
        <f ca="1">IFERROR(__xludf.DUMMYFUNCTION("""COMPUTED_VALUE"""),"Will NOT work for them")</f>
        <v>Will NOT work for them</v>
      </c>
      <c r="J1740" s="1">
        <f ca="1">IFERROR(__xludf.DUMMYFUNCTION("""COMPUTED_VALUE"""),8)</f>
        <v>8</v>
      </c>
      <c r="K1740" s="1" t="str">
        <f ca="1">IFERROR(__xludf.DUMMYFUNCTION("""COMPUTED_VALUE"""),"Fully Remote with Options to travel as and when needed")</f>
        <v>Fully Remote with Options to travel as and when needed</v>
      </c>
      <c r="L1740" s="1" t="str">
        <f ca="1">IFERROR(__xludf.DUMMYFUNCTION("""COMPUTED_VALUE"""),"Employer who pushes your limits by enabling an learning environment, and rewards you at the end")</f>
        <v>Employer who pushes your limits by enabling an learning environment, and rewards you at the end</v>
      </c>
      <c r="M174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740"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740" s="1" t="str">
        <f ca="1">IFERROR(__xludf.DUMMYFUNCTION("""COMPUTED_VALUE"""),"Manager who sets targets and expects me to achieve it")</f>
        <v>Manager who sets targets and expects me to achieve it</v>
      </c>
      <c r="P1740" s="1" t="str">
        <f ca="1">IFERROR(__xludf.DUMMYFUNCTION("""COMPUTED_VALUE"""),"Work with 5 to 6 people in my team")</f>
        <v>Work with 5 to 6 people in my team</v>
      </c>
      <c r="Q1740" s="1"/>
    </row>
    <row r="1741" spans="1:17" ht="13.2" x14ac:dyDescent="0.25">
      <c r="A1741" s="2">
        <f ca="1">IFERROR(__xludf.DUMMYFUNCTION("""COMPUTED_VALUE"""),45048.6146675578)</f>
        <v>45048.614667557798</v>
      </c>
      <c r="B1741" s="1" t="str">
        <f ca="1">IFERROR(__xludf.DUMMYFUNCTION("""COMPUTED_VALUE"""),"India")</f>
        <v>India</v>
      </c>
      <c r="C1741" s="1">
        <f ca="1">IFERROR(__xludf.DUMMYFUNCTION("""COMPUTED_VALUE"""),793001)</f>
        <v>793001</v>
      </c>
      <c r="D1741" s="3" t="str">
        <f ca="1">IFERROR(__xludf.DUMMYFUNCTION("""COMPUTED_VALUE"""),"Male")</f>
        <v>Male</v>
      </c>
      <c r="E1741" s="1" t="str">
        <f ca="1">IFERROR(__xludf.DUMMYFUNCTION("""COMPUTED_VALUE"""),"Influencers who had successful careers")</f>
        <v>Influencers who had successful careers</v>
      </c>
      <c r="F1741" s="1" t="str">
        <f ca="1">IFERROR(__xludf.DUMMYFUNCTION("""COMPUTED_VALUE"""),"Yes, I will earn and do that")</f>
        <v>Yes, I will earn and do that</v>
      </c>
      <c r="G1741" s="1" t="str">
        <f ca="1">IFERROR(__xludf.DUMMYFUNCTION("""COMPUTED_VALUE"""),"This will be hard to do, but if it is the right company I would try")</f>
        <v>This will be hard to do, but if it is the right company I would try</v>
      </c>
      <c r="H1741" s="1" t="str">
        <f ca="1">IFERROR(__xludf.DUMMYFUNCTION("""COMPUTED_VALUE"""),"No")</f>
        <v>No</v>
      </c>
      <c r="I1741" s="1" t="str">
        <f ca="1">IFERROR(__xludf.DUMMYFUNCTION("""COMPUTED_VALUE"""),"Will NOT work for them")</f>
        <v>Will NOT work for them</v>
      </c>
      <c r="J1741" s="1">
        <f ca="1">IFERROR(__xludf.DUMMYFUNCTION("""COMPUTED_VALUE"""),2)</f>
        <v>2</v>
      </c>
      <c r="K1741" s="1" t="str">
        <f ca="1">IFERROR(__xludf.DUMMYFUNCTION("""COMPUTED_VALUE"""),"Fully Remote with Options to travel as and when needed")</f>
        <v>Fully Remote with Options to travel as and when needed</v>
      </c>
      <c r="L1741" s="1" t="str">
        <f ca="1">IFERROR(__xludf.DUMMYFUNCTION("""COMPUTED_VALUE"""),"Employer who appreciates learning and enables that environment")</f>
        <v>Employer who appreciates learning and enables that environment</v>
      </c>
      <c r="M174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41"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41" s="1" t="str">
        <f ca="1">IFERROR(__xludf.DUMMYFUNCTION("""COMPUTED_VALUE"""),"Manager who explains what is expected, sets a goal and helps achieve it")</f>
        <v>Manager who explains what is expected, sets a goal and helps achieve it</v>
      </c>
      <c r="P1741" s="1" t="str">
        <f ca="1">IFERROR(__xludf.DUMMYFUNCTION("""COMPUTED_VALUE"""),"Work with 5 to 6 people in my team")</f>
        <v>Work with 5 to 6 people in my team</v>
      </c>
      <c r="Q1741" s="1"/>
    </row>
    <row r="1742" spans="1:17" ht="13.2" x14ac:dyDescent="0.25">
      <c r="A1742" s="2">
        <f ca="1">IFERROR(__xludf.DUMMYFUNCTION("""COMPUTED_VALUE"""),45048.6178744675)</f>
        <v>45048.617874467498</v>
      </c>
      <c r="B1742" s="1" t="str">
        <f ca="1">IFERROR(__xludf.DUMMYFUNCTION("""COMPUTED_VALUE"""),"India")</f>
        <v>India</v>
      </c>
      <c r="C1742" s="1">
        <f ca="1">IFERROR(__xludf.DUMMYFUNCTION("""COMPUTED_VALUE"""),793006)</f>
        <v>793006</v>
      </c>
      <c r="D1742" s="3" t="str">
        <f ca="1">IFERROR(__xludf.DUMMYFUNCTION("""COMPUTED_VALUE"""),"Female")</f>
        <v>Female</v>
      </c>
      <c r="E1742" s="1" t="str">
        <f ca="1">IFERROR(__xludf.DUMMYFUNCTION("""COMPUTED_VALUE"""),"My Parents")</f>
        <v>My Parents</v>
      </c>
      <c r="F1742" s="1" t="str">
        <f ca="1">IFERROR(__xludf.DUMMYFUNCTION("""COMPUTED_VALUE"""),"Yes, I will earn and do that")</f>
        <v>Yes, I will earn and do that</v>
      </c>
      <c r="G1742" s="1" t="str">
        <f ca="1">IFERROR(__xludf.DUMMYFUNCTION("""COMPUTED_VALUE"""),"This will be hard to do, but if it is the right company I would try")</f>
        <v>This will be hard to do, but if it is the right company I would try</v>
      </c>
      <c r="H1742" s="1" t="str">
        <f ca="1">IFERROR(__xludf.DUMMYFUNCTION("""COMPUTED_VALUE"""),"Yes")</f>
        <v>Yes</v>
      </c>
      <c r="I1742" s="1" t="str">
        <f ca="1">IFERROR(__xludf.DUMMYFUNCTION("""COMPUTED_VALUE"""),"Will NOT work for them")</f>
        <v>Will NOT work for them</v>
      </c>
      <c r="J1742" s="1">
        <f ca="1">IFERROR(__xludf.DUMMYFUNCTION("""COMPUTED_VALUE"""),1)</f>
        <v>1</v>
      </c>
      <c r="K1742" s="1" t="str">
        <f ca="1">IFERROR(__xludf.DUMMYFUNCTION("""COMPUTED_VALUE"""),"Fully Remote with Options to travel as and when needed")</f>
        <v>Fully Remote with Options to travel as and when needed</v>
      </c>
      <c r="L1742" s="1" t="str">
        <f ca="1">IFERROR(__xludf.DUMMYFUNCTION("""COMPUTED_VALUE"""),"Employer who pushes your limits by enabling an learning environment, and rewards you at the end")</f>
        <v>Employer who pushes your limits by enabling an learning environment, and rewards you at the end</v>
      </c>
      <c r="M1742"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742"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1742" s="1" t="str">
        <f ca="1">IFERROR(__xludf.DUMMYFUNCTION("""COMPUTED_VALUE"""),"Manager who explains what is expected, sets a goal and helps achieve it")</f>
        <v>Manager who explains what is expected, sets a goal and helps achieve it</v>
      </c>
      <c r="P1742" s="1" t="str">
        <f ca="1">IFERROR(__xludf.DUMMYFUNCTION("""COMPUTED_VALUE"""),"Work with 2 to 3 people in my team")</f>
        <v>Work with 2 to 3 people in my team</v>
      </c>
      <c r="Q1742" s="1"/>
    </row>
    <row r="1743" spans="1:17" ht="13.2" x14ac:dyDescent="0.25">
      <c r="A1743" s="2">
        <f ca="1">IFERROR(__xludf.DUMMYFUNCTION("""COMPUTED_VALUE"""),45048.6188695023)</f>
        <v>45048.618869502301</v>
      </c>
      <c r="B1743" s="1" t="str">
        <f ca="1">IFERROR(__xludf.DUMMYFUNCTION("""COMPUTED_VALUE"""),"India")</f>
        <v>India</v>
      </c>
      <c r="C1743" s="1">
        <f ca="1">IFERROR(__xludf.DUMMYFUNCTION("""COMPUTED_VALUE"""),737136)</f>
        <v>737136</v>
      </c>
      <c r="D1743" s="3" t="str">
        <f ca="1">IFERROR(__xludf.DUMMYFUNCTION("""COMPUTED_VALUE"""),"Female")</f>
        <v>Female</v>
      </c>
      <c r="E1743" s="1" t="str">
        <f ca="1">IFERROR(__xludf.DUMMYFUNCTION("""COMPUTED_VALUE"""),"People who have changed the world for better")</f>
        <v>People who have changed the world for better</v>
      </c>
      <c r="F1743" s="1" t="str">
        <f ca="1">IFERROR(__xludf.DUMMYFUNCTION("""COMPUTED_VALUE"""),"Yes, I will earn and do that")</f>
        <v>Yes, I will earn and do that</v>
      </c>
      <c r="G1743" s="1" t="str">
        <f ca="1">IFERROR(__xludf.DUMMYFUNCTION("""COMPUTED_VALUE"""),"This will be hard to do, but if it is the right company I would try")</f>
        <v>This will be hard to do, but if it is the right company I would try</v>
      </c>
      <c r="H1743" s="1" t="str">
        <f ca="1">IFERROR(__xludf.DUMMYFUNCTION("""COMPUTED_VALUE"""),"No")</f>
        <v>No</v>
      </c>
      <c r="I1743" s="1" t="str">
        <f ca="1">IFERROR(__xludf.DUMMYFUNCTION("""COMPUTED_VALUE"""),"Will NOT work for them")</f>
        <v>Will NOT work for them</v>
      </c>
      <c r="J1743" s="1">
        <f ca="1">IFERROR(__xludf.DUMMYFUNCTION("""COMPUTED_VALUE"""),4)</f>
        <v>4</v>
      </c>
      <c r="K1743" s="1" t="str">
        <f ca="1">IFERROR(__xludf.DUMMYFUNCTION("""COMPUTED_VALUE"""),"Hybrid Working Environment with less than 3 days a month at office")</f>
        <v>Hybrid Working Environment with less than 3 days a month at office</v>
      </c>
      <c r="L1743" s="1" t="str">
        <f ca="1">IFERROR(__xludf.DUMMYFUNCTION("""COMPUTED_VALUE"""),"Employer who appreciates learning and enables that environment")</f>
        <v>Employer who appreciates learning and enables that environment</v>
      </c>
      <c r="M1743" s="1" t="str">
        <f ca="1">IFERROR(__xludf.DUMMYFUNCTION("""COMPUTED_VALUE"""),"Self Paced Learning Portals of the Company, Instructor or Expert Learning Programs, Manager Teaching you")</f>
        <v>Self Paced Learning Portals of the Company, Instructor or Expert Learning Programs, Manager Teaching you</v>
      </c>
      <c r="N1743"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743" s="1" t="str">
        <f ca="1">IFERROR(__xludf.DUMMYFUNCTION("""COMPUTED_VALUE"""),"Manager who explains what is expected, sets a goal and helps achieve it")</f>
        <v>Manager who explains what is expected, sets a goal and helps achieve it</v>
      </c>
      <c r="P1743" s="1" t="str">
        <f ca="1">IFERROR(__xludf.DUMMYFUNCTION("""COMPUTED_VALUE"""),"Work with 2 to 3 people in my team")</f>
        <v>Work with 2 to 3 people in my team</v>
      </c>
      <c r="Q1743" s="1"/>
    </row>
    <row r="1744" spans="1:17" ht="13.2" x14ac:dyDescent="0.25">
      <c r="A1744" s="2">
        <f ca="1">IFERROR(__xludf.DUMMYFUNCTION("""COMPUTED_VALUE"""),45048.626502199)</f>
        <v>45048.626502198997</v>
      </c>
      <c r="B1744" s="1" t="str">
        <f ca="1">IFERROR(__xludf.DUMMYFUNCTION("""COMPUTED_VALUE"""),"India")</f>
        <v>India</v>
      </c>
      <c r="C1744" s="1">
        <f ca="1">IFERROR(__xludf.DUMMYFUNCTION("""COMPUTED_VALUE"""),793006)</f>
        <v>793006</v>
      </c>
      <c r="D1744" s="3" t="str">
        <f ca="1">IFERROR(__xludf.DUMMYFUNCTION("""COMPUTED_VALUE"""),"Male")</f>
        <v>Male</v>
      </c>
      <c r="E1744" s="1" t="str">
        <f ca="1">IFERROR(__xludf.DUMMYFUNCTION("""COMPUTED_VALUE"""),"People who have changed the world for better")</f>
        <v>People who have changed the world for better</v>
      </c>
      <c r="F1744" s="1" t="str">
        <f ca="1">IFERROR(__xludf.DUMMYFUNCTION("""COMPUTED_VALUE"""),"No I would not be pursuing Higher Education outside of India")</f>
        <v>No I would not be pursuing Higher Education outside of India</v>
      </c>
      <c r="G1744" s="1" t="str">
        <f ca="1">IFERROR(__xludf.DUMMYFUNCTION("""COMPUTED_VALUE"""),"This will be hard to do, but if it is the right company I would try")</f>
        <v>This will be hard to do, but if it is the right company I would try</v>
      </c>
      <c r="H1744" s="1" t="str">
        <f ca="1">IFERROR(__xludf.DUMMYFUNCTION("""COMPUTED_VALUE"""),"Yes")</f>
        <v>Yes</v>
      </c>
      <c r="I1744" s="1" t="str">
        <f ca="1">IFERROR(__xludf.DUMMYFUNCTION("""COMPUTED_VALUE"""),"Will work for them")</f>
        <v>Will work for them</v>
      </c>
      <c r="J1744" s="1">
        <f ca="1">IFERROR(__xludf.DUMMYFUNCTION("""COMPUTED_VALUE"""),10)</f>
        <v>10</v>
      </c>
      <c r="K1744" s="1" t="str">
        <f ca="1">IFERROR(__xludf.DUMMYFUNCTION("""COMPUTED_VALUE"""),"Hybrid Working Environment with more than 15 days a month at office")</f>
        <v>Hybrid Working Environment with more than 15 days a month at office</v>
      </c>
      <c r="L1744" s="1" t="str">
        <f ca="1">IFERROR(__xludf.DUMMYFUNCTION("""COMPUTED_VALUE"""),"Employer who pushes your limits by enabling an learning environment, and rewards you at the end")</f>
        <v>Employer who pushes your limits by enabling an learning environment, and rewards you at the end</v>
      </c>
      <c r="M174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44"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744" s="1" t="str">
        <f ca="1">IFERROR(__xludf.DUMMYFUNCTION("""COMPUTED_VALUE"""),"Manager who sets targets and expects me to achieve it")</f>
        <v>Manager who sets targets and expects me to achieve it</v>
      </c>
      <c r="P1744" s="1" t="str">
        <f ca="1">IFERROR(__xludf.DUMMYFUNCTION("""COMPUTED_VALUE"""),"Work with 5 to 6 people in my team")</f>
        <v>Work with 5 to 6 people in my team</v>
      </c>
      <c r="Q1744" s="1"/>
    </row>
    <row r="1745" spans="1:17" ht="13.2" x14ac:dyDescent="0.25">
      <c r="A1745" s="2">
        <f ca="1">IFERROR(__xludf.DUMMYFUNCTION("""COMPUTED_VALUE"""),45048.6277116666)</f>
        <v>45048.627711666602</v>
      </c>
      <c r="B1745" s="1" t="str">
        <f ca="1">IFERROR(__xludf.DUMMYFUNCTION("""COMPUTED_VALUE"""),"India")</f>
        <v>India</v>
      </c>
      <c r="C1745" s="1">
        <f ca="1">IFERROR(__xludf.DUMMYFUNCTION("""COMPUTED_VALUE"""),111018)</f>
        <v>111018</v>
      </c>
      <c r="D1745" s="3" t="str">
        <f ca="1">IFERROR(__xludf.DUMMYFUNCTION("""COMPUTED_VALUE"""),"Male")</f>
        <v>Male</v>
      </c>
      <c r="E1745" s="1" t="str">
        <f ca="1">IFERROR(__xludf.DUMMYFUNCTION("""COMPUTED_VALUE"""),"My Parents")</f>
        <v>My Parents</v>
      </c>
      <c r="F1745" s="1" t="str">
        <f ca="1">IFERROR(__xludf.DUMMYFUNCTION("""COMPUTED_VALUE"""),"No I would not be pursuing Higher Education outside of India")</f>
        <v>No I would not be pursuing Higher Education outside of India</v>
      </c>
      <c r="G1745" s="1" t="str">
        <f ca="1">IFERROR(__xludf.DUMMYFUNCTION("""COMPUTED_VALUE"""),"This will be hard to do, but if it is the right company I would try")</f>
        <v>This will be hard to do, but if it is the right company I would try</v>
      </c>
      <c r="H1745" s="1" t="str">
        <f ca="1">IFERROR(__xludf.DUMMYFUNCTION("""COMPUTED_VALUE"""),"Yes")</f>
        <v>Yes</v>
      </c>
      <c r="I1745" s="1" t="str">
        <f ca="1">IFERROR(__xludf.DUMMYFUNCTION("""COMPUTED_VALUE"""),"Will NOT work for them")</f>
        <v>Will NOT work for them</v>
      </c>
      <c r="J1745" s="1">
        <f ca="1">IFERROR(__xludf.DUMMYFUNCTION("""COMPUTED_VALUE"""),4)</f>
        <v>4</v>
      </c>
      <c r="K1745" s="1" t="str">
        <f ca="1">IFERROR(__xludf.DUMMYFUNCTION("""COMPUTED_VALUE"""),"Hybrid Working Environment with less than 3 days a month at office")</f>
        <v>Hybrid Working Environment with less than 3 days a month at office</v>
      </c>
      <c r="L1745" s="1" t="str">
        <f ca="1">IFERROR(__xludf.DUMMYFUNCTION("""COMPUTED_VALUE"""),"Employer who pushes your limits by enabling an learning environment, and rewards you at the end")</f>
        <v>Employer who pushes your limits by enabling an learning environment, and rewards you at the end</v>
      </c>
      <c r="M1745" s="1" t="str">
        <f ca="1">IFERROR(__xludf.DUMMYFUNCTION("""COMPUTED_VALUE"""),"Instructor or Expert Learning Programs, Learning by observing others, Manager Teaching you")</f>
        <v>Instructor or Expert Learning Programs, Learning by observing others, Manager Teaching you</v>
      </c>
      <c r="N174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745" s="1" t="str">
        <f ca="1">IFERROR(__xludf.DUMMYFUNCTION("""COMPUTED_VALUE"""),"Manager who sets goal and helps me achieve it")</f>
        <v>Manager who sets goal and helps me achieve it</v>
      </c>
      <c r="P1745" s="1" t="str">
        <f ca="1">IFERROR(__xludf.DUMMYFUNCTION("""COMPUTED_VALUE"""),"Work with 5 to 6 people in my team")</f>
        <v>Work with 5 to 6 people in my team</v>
      </c>
      <c r="Q1745" s="1"/>
    </row>
    <row r="1746" spans="1:17" ht="13.2" x14ac:dyDescent="0.25">
      <c r="A1746" s="2">
        <f ca="1">IFERROR(__xludf.DUMMYFUNCTION("""COMPUTED_VALUE"""),45048.6290957523)</f>
        <v>45048.629095752302</v>
      </c>
      <c r="B1746" s="1" t="str">
        <f ca="1">IFERROR(__xludf.DUMMYFUNCTION("""COMPUTED_VALUE"""),"India")</f>
        <v>India</v>
      </c>
      <c r="C1746" s="1">
        <f ca="1">IFERROR(__xludf.DUMMYFUNCTION("""COMPUTED_VALUE"""),794001)</f>
        <v>794001</v>
      </c>
      <c r="D1746" s="3" t="str">
        <f ca="1">IFERROR(__xludf.DUMMYFUNCTION("""COMPUTED_VALUE"""),"Male")</f>
        <v>Male</v>
      </c>
      <c r="E1746" s="1" t="str">
        <f ca="1">IFERROR(__xludf.DUMMYFUNCTION("""COMPUTED_VALUE"""),"My Parents")</f>
        <v>My Parents</v>
      </c>
      <c r="F1746" s="1" t="str">
        <f ca="1">IFERROR(__xludf.DUMMYFUNCTION("""COMPUTED_VALUE"""),"No, But if someone could bare the cost I will")</f>
        <v>No, But if someone could bare the cost I will</v>
      </c>
      <c r="G1746" s="1" t="str">
        <f ca="1">IFERROR(__xludf.DUMMYFUNCTION("""COMPUTED_VALUE"""),"Will work for 3 years or more")</f>
        <v>Will work for 3 years or more</v>
      </c>
      <c r="H1746" s="1" t="str">
        <f ca="1">IFERROR(__xludf.DUMMYFUNCTION("""COMPUTED_VALUE"""),"No")</f>
        <v>No</v>
      </c>
      <c r="I1746" s="1" t="str">
        <f ca="1">IFERROR(__xludf.DUMMYFUNCTION("""COMPUTED_VALUE"""),"Will NOT work for them")</f>
        <v>Will NOT work for them</v>
      </c>
      <c r="J1746" s="1">
        <f ca="1">IFERROR(__xludf.DUMMYFUNCTION("""COMPUTED_VALUE"""),3)</f>
        <v>3</v>
      </c>
      <c r="K1746" s="1" t="str">
        <f ca="1">IFERROR(__xludf.DUMMYFUNCTION("""COMPUTED_VALUE"""),"Fully Remote with No option to visit offices")</f>
        <v>Fully Remote with No option to visit offices</v>
      </c>
      <c r="L1746" s="1" t="str">
        <f ca="1">IFERROR(__xludf.DUMMYFUNCTION("""COMPUTED_VALUE"""),"Employer who appreciates learning and enables that environment")</f>
        <v>Employer who appreciates learning and enables that environment</v>
      </c>
      <c r="M174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46"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746" s="1" t="str">
        <f ca="1">IFERROR(__xludf.DUMMYFUNCTION("""COMPUTED_VALUE"""),"Manager who sets unrealistic targets")</f>
        <v>Manager who sets unrealistic targets</v>
      </c>
      <c r="P1746" s="1" t="str">
        <f ca="1">IFERROR(__xludf.DUMMYFUNCTION("""COMPUTED_VALUE"""),"Work alone, Work with 2 to 3 people in my team")</f>
        <v>Work alone, Work with 2 to 3 people in my team</v>
      </c>
      <c r="Q1746" s="1"/>
    </row>
    <row r="1747" spans="1:17" ht="13.2" x14ac:dyDescent="0.25">
      <c r="A1747" s="2">
        <f ca="1">IFERROR(__xludf.DUMMYFUNCTION("""COMPUTED_VALUE"""),45048.6721538425)</f>
        <v>45048.672153842497</v>
      </c>
      <c r="B1747" s="1" t="str">
        <f ca="1">IFERROR(__xludf.DUMMYFUNCTION("""COMPUTED_VALUE"""),"India")</f>
        <v>India</v>
      </c>
      <c r="C1747" s="1">
        <f ca="1">IFERROR(__xludf.DUMMYFUNCTION("""COMPUTED_VALUE"""),110070)</f>
        <v>110070</v>
      </c>
      <c r="D1747" s="3" t="str">
        <f ca="1">IFERROR(__xludf.DUMMYFUNCTION("""COMPUTED_VALUE"""),"Male")</f>
        <v>Male</v>
      </c>
      <c r="E1747" s="1" t="str">
        <f ca="1">IFERROR(__xludf.DUMMYFUNCTION("""COMPUTED_VALUE"""),"People who have changed the world for better")</f>
        <v>People who have changed the world for better</v>
      </c>
      <c r="F1747" s="1" t="str">
        <f ca="1">IFERROR(__xludf.DUMMYFUNCTION("""COMPUTED_VALUE"""),"No I would not be pursuing Higher Education outside of India")</f>
        <v>No I would not be pursuing Higher Education outside of India</v>
      </c>
      <c r="G1747" s="1" t="str">
        <f ca="1">IFERROR(__xludf.DUMMYFUNCTION("""COMPUTED_VALUE"""),"This will be hard to do, but if it is the right company I would try")</f>
        <v>This will be hard to do, but if it is the right company I would try</v>
      </c>
      <c r="H1747" s="1" t="str">
        <f ca="1">IFERROR(__xludf.DUMMYFUNCTION("""COMPUTED_VALUE"""),"No")</f>
        <v>No</v>
      </c>
      <c r="I1747" s="1" t="str">
        <f ca="1">IFERROR(__xludf.DUMMYFUNCTION("""COMPUTED_VALUE"""),"Will NOT work for them")</f>
        <v>Will NOT work for them</v>
      </c>
      <c r="J1747" s="1">
        <f ca="1">IFERROR(__xludf.DUMMYFUNCTION("""COMPUTED_VALUE"""),4)</f>
        <v>4</v>
      </c>
      <c r="K1747" s="1" t="str">
        <f ca="1">IFERROR(__xludf.DUMMYFUNCTION("""COMPUTED_VALUE"""),"Fully Remote with Options to travel as and when needed")</f>
        <v>Fully Remote with Options to travel as and when needed</v>
      </c>
      <c r="L1747" s="1" t="str">
        <f ca="1">IFERROR(__xludf.DUMMYFUNCTION("""COMPUTED_VALUE"""),"Employer who pushes your limits by enabling an learning environment, and rewards you at the end")</f>
        <v>Employer who pushes your limits by enabling an learning environment, and rewards you at the end</v>
      </c>
      <c r="M1747" s="1" t="str">
        <f ca="1">IFERROR(__xludf.DUMMYFUNCTION("""COMPUTED_VALUE"""),"Instructor or Expert Learning Programs, Learning by observing others, Manager Teaching you")</f>
        <v>Instructor or Expert Learning Programs, Learning by observing others, Manager Teaching you</v>
      </c>
      <c r="N1747" s="1" t="str">
        <f ca="1">IFERROR(__xludf.DUMMYFUNCTION("""COMPUTED_VALUE"""),"Design and Creative strategy in any company, Work in a BPO setup for some well known client, Work as a freelancer and do my thing my way, Entrepreneur or Start Up")</f>
        <v>Design and Creative strategy in any company, Work in a BPO setup for some well known client, Work as a freelancer and do my thing my way, Entrepreneur or Start Up</v>
      </c>
      <c r="O1747" s="1" t="str">
        <f ca="1">IFERROR(__xludf.DUMMYFUNCTION("""COMPUTED_VALUE"""),"Manager who sets goal and helps me achieve it")</f>
        <v>Manager who sets goal and helps me achieve it</v>
      </c>
      <c r="P1747" s="1" t="str">
        <f ca="1">IFERROR(__xludf.DUMMYFUNCTION("""COMPUTED_VALUE"""),"Work with 5 to 6 people in my team")</f>
        <v>Work with 5 to 6 people in my team</v>
      </c>
      <c r="Q1747" s="1"/>
    </row>
    <row r="1748" spans="1:17" ht="13.2" x14ac:dyDescent="0.25">
      <c r="A1748" s="2">
        <f ca="1">IFERROR(__xludf.DUMMYFUNCTION("""COMPUTED_VALUE"""),45048.6817630324)</f>
        <v>45048.6817630324</v>
      </c>
      <c r="B1748" s="1" t="str">
        <f ca="1">IFERROR(__xludf.DUMMYFUNCTION("""COMPUTED_VALUE"""),"India")</f>
        <v>India</v>
      </c>
      <c r="C1748" s="1">
        <f ca="1">IFERROR(__xludf.DUMMYFUNCTION("""COMPUTED_VALUE"""),560029)</f>
        <v>560029</v>
      </c>
      <c r="D1748" s="3" t="str">
        <f ca="1">IFERROR(__xludf.DUMMYFUNCTION("""COMPUTED_VALUE"""),"Female")</f>
        <v>Female</v>
      </c>
      <c r="E1748" s="1" t="str">
        <f ca="1">IFERROR(__xludf.DUMMYFUNCTION("""COMPUTED_VALUE"""),"My Parents")</f>
        <v>My Parents</v>
      </c>
      <c r="F1748" s="1" t="str">
        <f ca="1">IFERROR(__xludf.DUMMYFUNCTION("""COMPUTED_VALUE"""),"No I would not be pursuing Higher Education outside of India")</f>
        <v>No I would not be pursuing Higher Education outside of India</v>
      </c>
      <c r="G1748" s="1" t="str">
        <f ca="1">IFERROR(__xludf.DUMMYFUNCTION("""COMPUTED_VALUE"""),"This will be hard to do, but if it is the right company I would try")</f>
        <v>This will be hard to do, but if it is the right company I would try</v>
      </c>
      <c r="H1748" s="1" t="str">
        <f ca="1">IFERROR(__xludf.DUMMYFUNCTION("""COMPUTED_VALUE"""),"No")</f>
        <v>No</v>
      </c>
      <c r="I1748" s="1" t="str">
        <f ca="1">IFERROR(__xludf.DUMMYFUNCTION("""COMPUTED_VALUE"""),"Will NOT work for them")</f>
        <v>Will NOT work for them</v>
      </c>
      <c r="J1748" s="1">
        <f ca="1">IFERROR(__xludf.DUMMYFUNCTION("""COMPUTED_VALUE"""),3)</f>
        <v>3</v>
      </c>
      <c r="K1748" s="1" t="str">
        <f ca="1">IFERROR(__xludf.DUMMYFUNCTION("""COMPUTED_VALUE"""),"Fully Remote with No option to visit offices")</f>
        <v>Fully Remote with No option to visit offices</v>
      </c>
      <c r="L1748" s="1" t="str">
        <f ca="1">IFERROR(__xludf.DUMMYFUNCTION("""COMPUTED_VALUE"""),"Employer who pushes your limits by enabling an learning environment, and rewards you at the end")</f>
        <v>Employer who pushes your limits by enabling an learning environment, and rewards you at the end</v>
      </c>
      <c r="M1748" s="1" t="str">
        <f ca="1">IFERROR(__xludf.DUMMYFUNCTION("""COMPUTED_VALUE"""),"Self Paced Learning Portals of the Company, Instructor or Expert Learning Programs, Manager Teaching you")</f>
        <v>Self Paced Learning Portals of the Company, Instructor or Expert Learning Programs, Manager Teaching you</v>
      </c>
      <c r="N1748"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748" s="1" t="str">
        <f ca="1">IFERROR(__xludf.DUMMYFUNCTION("""COMPUTED_VALUE"""),"Manager who sets goal and helps me achieve it")</f>
        <v>Manager who sets goal and helps me achieve it</v>
      </c>
      <c r="P1748" s="1" t="str">
        <f ca="1">IFERROR(__xludf.DUMMYFUNCTION("""COMPUTED_VALUE"""),"Work with 5 to 6 people in my team")</f>
        <v>Work with 5 to 6 people in my team</v>
      </c>
      <c r="Q1748" s="1"/>
    </row>
    <row r="1749" spans="1:17" ht="13.2" x14ac:dyDescent="0.25">
      <c r="A1749" s="2">
        <f ca="1">IFERROR(__xludf.DUMMYFUNCTION("""COMPUTED_VALUE"""),45048.6870161226)</f>
        <v>45048.687016122603</v>
      </c>
      <c r="B1749" s="1" t="str">
        <f ca="1">IFERROR(__xludf.DUMMYFUNCTION("""COMPUTED_VALUE"""),"India")</f>
        <v>India</v>
      </c>
      <c r="C1749" s="1">
        <f ca="1">IFERROR(__xludf.DUMMYFUNCTION("""COMPUTED_VALUE"""),787001)</f>
        <v>787001</v>
      </c>
      <c r="D1749" s="3" t="str">
        <f ca="1">IFERROR(__xludf.DUMMYFUNCTION("""COMPUTED_VALUE"""),"Male")</f>
        <v>Male</v>
      </c>
      <c r="E1749" s="1" t="str">
        <f ca="1">IFERROR(__xludf.DUMMYFUNCTION("""COMPUTED_VALUE"""),"People from my circle, but not family members")</f>
        <v>People from my circle, but not family members</v>
      </c>
      <c r="F1749" s="1" t="str">
        <f ca="1">IFERROR(__xludf.DUMMYFUNCTION("""COMPUTED_VALUE"""),"No I would not be pursuing Higher Education outside of India")</f>
        <v>No I would not be pursuing Higher Education outside of India</v>
      </c>
      <c r="G1749" s="1" t="str">
        <f ca="1">IFERROR(__xludf.DUMMYFUNCTION("""COMPUTED_VALUE"""),"This will be hard to do, but if it is the right company I would try")</f>
        <v>This will be hard to do, but if it is the right company I would try</v>
      </c>
      <c r="H1749" s="1" t="str">
        <f ca="1">IFERROR(__xludf.DUMMYFUNCTION("""COMPUTED_VALUE"""),"No")</f>
        <v>No</v>
      </c>
      <c r="I1749" s="1" t="str">
        <f ca="1">IFERROR(__xludf.DUMMYFUNCTION("""COMPUTED_VALUE"""),"Will NOT work for them")</f>
        <v>Will NOT work for them</v>
      </c>
      <c r="J1749" s="1">
        <f ca="1">IFERROR(__xludf.DUMMYFUNCTION("""COMPUTED_VALUE"""),3)</f>
        <v>3</v>
      </c>
      <c r="K1749" s="1" t="str">
        <f ca="1">IFERROR(__xludf.DUMMYFUNCTION("""COMPUTED_VALUE"""),"Hybrid Working Environment with less than 3 days a month at office")</f>
        <v>Hybrid Working Environment with less than 3 days a month at office</v>
      </c>
      <c r="L1749" s="1" t="str">
        <f ca="1">IFERROR(__xludf.DUMMYFUNCTION("""COMPUTED_VALUE"""),"Employer who pushes your limits by enabling an learning environment, and rewards you at the end")</f>
        <v>Employer who pushes your limits by enabling an learning environment, and rewards you at the end</v>
      </c>
      <c r="M17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4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1749" s="1" t="str">
        <f ca="1">IFERROR(__xludf.DUMMYFUNCTION("""COMPUTED_VALUE"""),"Manager who sets goal and helps me achieve it")</f>
        <v>Manager who sets goal and helps me achieve it</v>
      </c>
      <c r="P1749" s="1" t="str">
        <f ca="1">IFERROR(__xludf.DUMMYFUNCTION("""COMPUTED_VALUE"""),"Work with 2 to 3 people in my team")</f>
        <v>Work with 2 to 3 people in my team</v>
      </c>
      <c r="Q1749" s="1"/>
    </row>
    <row r="1750" spans="1:17" ht="13.2" x14ac:dyDescent="0.25">
      <c r="A1750" s="2">
        <f ca="1">IFERROR(__xludf.DUMMYFUNCTION("""COMPUTED_VALUE"""),45048.6895349884)</f>
        <v>45048.6895349884</v>
      </c>
      <c r="B1750" s="1" t="str">
        <f ca="1">IFERROR(__xludf.DUMMYFUNCTION("""COMPUTED_VALUE"""),"India")</f>
        <v>India</v>
      </c>
      <c r="C1750" s="1">
        <f ca="1">IFERROR(__xludf.DUMMYFUNCTION("""COMPUTED_VALUE"""),793006)</f>
        <v>793006</v>
      </c>
      <c r="D1750" s="3" t="str">
        <f ca="1">IFERROR(__xludf.DUMMYFUNCTION("""COMPUTED_VALUE"""),"Female")</f>
        <v>Female</v>
      </c>
      <c r="E1750" s="1" t="str">
        <f ca="1">IFERROR(__xludf.DUMMYFUNCTION("""COMPUTED_VALUE"""),"Influencers who had successful careers")</f>
        <v>Influencers who had successful careers</v>
      </c>
      <c r="F1750" s="1" t="str">
        <f ca="1">IFERROR(__xludf.DUMMYFUNCTION("""COMPUTED_VALUE"""),"Yes, I will earn and do that")</f>
        <v>Yes, I will earn and do that</v>
      </c>
      <c r="G1750" s="1" t="str">
        <f ca="1">IFERROR(__xludf.DUMMYFUNCTION("""COMPUTED_VALUE"""),"This will be hard to do, but if it is the right company I would try")</f>
        <v>This will be hard to do, but if it is the right company I would try</v>
      </c>
      <c r="H1750" s="1" t="str">
        <f ca="1">IFERROR(__xludf.DUMMYFUNCTION("""COMPUTED_VALUE"""),"No")</f>
        <v>No</v>
      </c>
      <c r="I1750" s="1" t="str">
        <f ca="1">IFERROR(__xludf.DUMMYFUNCTION("""COMPUTED_VALUE"""),"Will work for them")</f>
        <v>Will work for them</v>
      </c>
      <c r="J1750" s="1">
        <f ca="1">IFERROR(__xludf.DUMMYFUNCTION("""COMPUTED_VALUE"""),5)</f>
        <v>5</v>
      </c>
      <c r="K1750" s="1" t="str">
        <f ca="1">IFERROR(__xludf.DUMMYFUNCTION("""COMPUTED_VALUE"""),"Fully Remote with Options to travel as and when needed")</f>
        <v>Fully Remote with Options to travel as and when needed</v>
      </c>
      <c r="L1750" s="1" t="str">
        <f ca="1">IFERROR(__xludf.DUMMYFUNCTION("""COMPUTED_VALUE"""),"Employer who pushes your limits by enabling an learning environment, and rewards you at the end")</f>
        <v>Employer who pushes your limits by enabling an learning environment, and rewards you at the end</v>
      </c>
      <c r="M175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75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1750" s="1" t="str">
        <f ca="1">IFERROR(__xludf.DUMMYFUNCTION("""COMPUTED_VALUE"""),"Manager who sets goal and helps me achieve it")</f>
        <v>Manager who sets goal and helps me achieve it</v>
      </c>
      <c r="P1750" s="1" t="str">
        <f ca="1">IFERROR(__xludf.DUMMYFUNCTION("""COMPUTED_VALUE"""),"Work with 2 to 3 people in my team")</f>
        <v>Work with 2 to 3 people in my team</v>
      </c>
      <c r="Q1750" s="1"/>
    </row>
    <row r="1751" spans="1:17" ht="13.2" x14ac:dyDescent="0.25">
      <c r="A1751" s="2">
        <f ca="1">IFERROR(__xludf.DUMMYFUNCTION("""COMPUTED_VALUE"""),45048.6943014467)</f>
        <v>45048.694301446703</v>
      </c>
      <c r="B1751" s="1" t="str">
        <f ca="1">IFERROR(__xludf.DUMMYFUNCTION("""COMPUTED_VALUE"""),"India")</f>
        <v>India</v>
      </c>
      <c r="C1751" s="1">
        <f ca="1">IFERROR(__xludf.DUMMYFUNCTION("""COMPUTED_VALUE"""),793102)</f>
        <v>793102</v>
      </c>
      <c r="D1751" s="3" t="str">
        <f ca="1">IFERROR(__xludf.DUMMYFUNCTION("""COMPUTED_VALUE"""),"Female")</f>
        <v>Female</v>
      </c>
      <c r="E1751" s="1" t="str">
        <f ca="1">IFERROR(__xludf.DUMMYFUNCTION("""COMPUTED_VALUE"""),"People from my circle, but not family members")</f>
        <v>People from my circle, but not family members</v>
      </c>
      <c r="F1751" s="1" t="str">
        <f ca="1">IFERROR(__xludf.DUMMYFUNCTION("""COMPUTED_VALUE"""),"No, But if someone could bare the cost I will")</f>
        <v>No, But if someone could bare the cost I will</v>
      </c>
      <c r="G1751" s="1" t="str">
        <f ca="1">IFERROR(__xludf.DUMMYFUNCTION("""COMPUTED_VALUE"""),"This will be hard to do, but if it is the right company I would try")</f>
        <v>This will be hard to do, but if it is the right company I would try</v>
      </c>
      <c r="H1751" s="1" t="str">
        <f ca="1">IFERROR(__xludf.DUMMYFUNCTION("""COMPUTED_VALUE"""),"No")</f>
        <v>No</v>
      </c>
      <c r="I1751" s="1" t="str">
        <f ca="1">IFERROR(__xludf.DUMMYFUNCTION("""COMPUTED_VALUE"""),"Will NOT work for them")</f>
        <v>Will NOT work for them</v>
      </c>
      <c r="J1751" s="1">
        <f ca="1">IFERROR(__xludf.DUMMYFUNCTION("""COMPUTED_VALUE"""),5)</f>
        <v>5</v>
      </c>
      <c r="K1751" s="1" t="str">
        <f ca="1">IFERROR(__xludf.DUMMYFUNCTION("""COMPUTED_VALUE"""),"Hybrid Working Environment with more than 15 days a month at office")</f>
        <v>Hybrid Working Environment with more than 15 days a month at office</v>
      </c>
      <c r="L1751" s="1" t="str">
        <f ca="1">IFERROR(__xludf.DUMMYFUNCTION("""COMPUTED_VALUE"""),"Employer who pushes your limits by enabling an learning environment, and rewards you at the end")</f>
        <v>Employer who pushes your limits by enabling an learning environment, and rewards you at the end</v>
      </c>
      <c r="M1751" s="1" t="str">
        <f ca="1">IFERROR(__xludf.DUMMYFUNCTION("""COMPUTED_VALUE"""),"Instructor or Expert Learning Programs, Learning by observing others, Manager Teaching you")</f>
        <v>Instructor or Expert Learning Programs, Learning by observing others, Manager Teaching you</v>
      </c>
      <c r="N175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51" s="1" t="str">
        <f ca="1">IFERROR(__xludf.DUMMYFUNCTION("""COMPUTED_VALUE"""),"Manager who explains what is expected, sets a goal and helps achieve it")</f>
        <v>Manager who explains what is expected, sets a goal and helps achieve it</v>
      </c>
      <c r="P1751" s="1" t="str">
        <f ca="1">IFERROR(__xludf.DUMMYFUNCTION("""COMPUTED_VALUE"""),"Work with 5 to 6 people in my team")</f>
        <v>Work with 5 to 6 people in my team</v>
      </c>
      <c r="Q1751" s="1"/>
    </row>
    <row r="1752" spans="1:17" ht="13.2" x14ac:dyDescent="0.25">
      <c r="A1752" s="2">
        <f ca="1">IFERROR(__xludf.DUMMYFUNCTION("""COMPUTED_VALUE"""),45048.705125)</f>
        <v>45048.705125</v>
      </c>
      <c r="B1752" s="1" t="str">
        <f ca="1">IFERROR(__xludf.DUMMYFUNCTION("""COMPUTED_VALUE"""),"UAE")</f>
        <v>UAE</v>
      </c>
      <c r="C1752" s="1">
        <f ca="1">IFERROR(__xludf.DUMMYFUNCTION("""COMPUTED_VALUE"""),307501)</f>
        <v>307501</v>
      </c>
      <c r="D1752" s="3" t="str">
        <f ca="1">IFERROR(__xludf.DUMMYFUNCTION("""COMPUTED_VALUE"""),"Male")</f>
        <v>Male</v>
      </c>
      <c r="E1752" s="1" t="str">
        <f ca="1">IFERROR(__xludf.DUMMYFUNCTION("""COMPUTED_VALUE"""),"People who have changed the world for better")</f>
        <v>People who have changed the world for better</v>
      </c>
      <c r="F1752" s="1" t="str">
        <f ca="1">IFERROR(__xludf.DUMMYFUNCTION("""COMPUTED_VALUE"""),"No I would not be pursuing Higher Education outside of India")</f>
        <v>No I would not be pursuing Higher Education outside of India</v>
      </c>
      <c r="G1752" s="1" t="str">
        <f ca="1">IFERROR(__xludf.DUMMYFUNCTION("""COMPUTED_VALUE"""),"This will be hard to do, but if it is the right company I would try")</f>
        <v>This will be hard to do, but if it is the right company I would try</v>
      </c>
      <c r="H1752" s="1" t="str">
        <f ca="1">IFERROR(__xludf.DUMMYFUNCTION("""COMPUTED_VALUE"""),"No")</f>
        <v>No</v>
      </c>
      <c r="I1752" s="1" t="str">
        <f ca="1">IFERROR(__xludf.DUMMYFUNCTION("""COMPUTED_VALUE"""),"Will NOT work for them")</f>
        <v>Will NOT work for them</v>
      </c>
      <c r="J1752" s="1">
        <f ca="1">IFERROR(__xludf.DUMMYFUNCTION("""COMPUTED_VALUE"""),1)</f>
        <v>1</v>
      </c>
      <c r="K1752" s="1" t="str">
        <f ca="1">IFERROR(__xludf.DUMMYFUNCTION("""COMPUTED_VALUE"""),"Every Day Office Environment")</f>
        <v>Every Day Office Environment</v>
      </c>
      <c r="L1752" s="1" t="str">
        <f ca="1">IFERROR(__xludf.DUMMYFUNCTION("""COMPUTED_VALUE"""),"Employer who appreciates learning and enables that environment")</f>
        <v>Employer who appreciates learning and enables that environment</v>
      </c>
      <c r="M17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52"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752" s="1" t="str">
        <f ca="1">IFERROR(__xludf.DUMMYFUNCTION("""COMPUTED_VALUE"""),"Manager who sets goal and helps me achieve it")</f>
        <v>Manager who sets goal and helps me achieve it</v>
      </c>
      <c r="P1752" s="1" t="str">
        <f ca="1">IFERROR(__xludf.DUMMYFUNCTION("""COMPUTED_VALUE"""),"Work with more than 10 people in my team")</f>
        <v>Work with more than 10 people in my team</v>
      </c>
      <c r="Q1752" s="1"/>
    </row>
    <row r="1753" spans="1:17" ht="13.2" x14ac:dyDescent="0.25">
      <c r="A1753" s="2">
        <f ca="1">IFERROR(__xludf.DUMMYFUNCTION("""COMPUTED_VALUE"""),45048.7235053935)</f>
        <v>45048.7235053935</v>
      </c>
      <c r="B1753" s="1" t="str">
        <f ca="1">IFERROR(__xludf.DUMMYFUNCTION("""COMPUTED_VALUE"""),"India")</f>
        <v>India</v>
      </c>
      <c r="C1753" s="1">
        <f ca="1">IFERROR(__xludf.DUMMYFUNCTION("""COMPUTED_VALUE"""),793006)</f>
        <v>793006</v>
      </c>
      <c r="D1753" s="3" t="str">
        <f ca="1">IFERROR(__xludf.DUMMYFUNCTION("""COMPUTED_VALUE"""),"Female")</f>
        <v>Female</v>
      </c>
      <c r="E1753" s="1" t="str">
        <f ca="1">IFERROR(__xludf.DUMMYFUNCTION("""COMPUTED_VALUE"""),"People who have changed the world for better")</f>
        <v>People who have changed the world for better</v>
      </c>
      <c r="F1753" s="1" t="str">
        <f ca="1">IFERROR(__xludf.DUMMYFUNCTION("""COMPUTED_VALUE"""),"No I would not be pursuing Higher Education outside of India")</f>
        <v>No I would not be pursuing Higher Education outside of India</v>
      </c>
      <c r="G1753" s="1" t="str">
        <f ca="1">IFERROR(__xludf.DUMMYFUNCTION("""COMPUTED_VALUE"""),"This will be hard to do, but if it is the right company I would try")</f>
        <v>This will be hard to do, but if it is the right company I would try</v>
      </c>
      <c r="H1753" s="1" t="str">
        <f ca="1">IFERROR(__xludf.DUMMYFUNCTION("""COMPUTED_VALUE"""),"Yes")</f>
        <v>Yes</v>
      </c>
      <c r="I1753" s="1" t="str">
        <f ca="1">IFERROR(__xludf.DUMMYFUNCTION("""COMPUTED_VALUE"""),"Will NOT work for them")</f>
        <v>Will NOT work for them</v>
      </c>
      <c r="J1753" s="1">
        <f ca="1">IFERROR(__xludf.DUMMYFUNCTION("""COMPUTED_VALUE"""),4)</f>
        <v>4</v>
      </c>
      <c r="K1753" s="1" t="str">
        <f ca="1">IFERROR(__xludf.DUMMYFUNCTION("""COMPUTED_VALUE"""),"Fully Remote with Options to travel as and when needed")</f>
        <v>Fully Remote with Options to travel as and when needed</v>
      </c>
      <c r="L1753" s="1" t="str">
        <f ca="1">IFERROR(__xludf.DUMMYFUNCTION("""COMPUTED_VALUE"""),"Employer who rewards learning and enables that environment")</f>
        <v>Employer who rewards learning and enables that environment</v>
      </c>
      <c r="M17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53"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753" s="1" t="str">
        <f ca="1">IFERROR(__xludf.DUMMYFUNCTION("""COMPUTED_VALUE"""),"Manager who explains what is expected, sets a goal and helps achieve it")</f>
        <v>Manager who explains what is expected, sets a goal and helps achieve it</v>
      </c>
      <c r="P1753" s="1" t="str">
        <f ca="1">IFERROR(__xludf.DUMMYFUNCTION("""COMPUTED_VALUE"""),"Work with 2 to 3 people in my team")</f>
        <v>Work with 2 to 3 people in my team</v>
      </c>
      <c r="Q1753" s="1"/>
    </row>
    <row r="1754" spans="1:17" ht="13.2" x14ac:dyDescent="0.25">
      <c r="A1754" s="2">
        <f ca="1">IFERROR(__xludf.DUMMYFUNCTION("""COMPUTED_VALUE"""),45048.7529429861)</f>
        <v>45048.752942986102</v>
      </c>
      <c r="B1754" s="1" t="str">
        <f ca="1">IFERROR(__xludf.DUMMYFUNCTION("""COMPUTED_VALUE"""),"India")</f>
        <v>India</v>
      </c>
      <c r="C1754" s="1">
        <f ca="1">IFERROR(__xludf.DUMMYFUNCTION("""COMPUTED_VALUE"""),793021)</f>
        <v>793021</v>
      </c>
      <c r="D1754" s="3" t="str">
        <f ca="1">IFERROR(__xludf.DUMMYFUNCTION("""COMPUTED_VALUE"""),"Male")</f>
        <v>Male</v>
      </c>
      <c r="E1754" s="1" t="str">
        <f ca="1">IFERROR(__xludf.DUMMYFUNCTION("""COMPUTED_VALUE"""),"Influencers who had successful careers")</f>
        <v>Influencers who had successful careers</v>
      </c>
      <c r="F1754" s="1" t="str">
        <f ca="1">IFERROR(__xludf.DUMMYFUNCTION("""COMPUTED_VALUE"""),"No, But if someone could bare the cost I will")</f>
        <v>No, But if someone could bare the cost I will</v>
      </c>
      <c r="G1754" s="1" t="str">
        <f ca="1">IFERROR(__xludf.DUMMYFUNCTION("""COMPUTED_VALUE"""),"This will be hard to do, but if it is the right company I would try")</f>
        <v>This will be hard to do, but if it is the right company I would try</v>
      </c>
      <c r="H1754" s="1" t="str">
        <f ca="1">IFERROR(__xludf.DUMMYFUNCTION("""COMPUTED_VALUE"""),"Yes")</f>
        <v>Yes</v>
      </c>
      <c r="I1754" s="1" t="str">
        <f ca="1">IFERROR(__xludf.DUMMYFUNCTION("""COMPUTED_VALUE"""),"Will work for them")</f>
        <v>Will work for them</v>
      </c>
      <c r="J1754" s="1">
        <f ca="1">IFERROR(__xludf.DUMMYFUNCTION("""COMPUTED_VALUE"""),8)</f>
        <v>8</v>
      </c>
      <c r="K1754" s="1" t="str">
        <f ca="1">IFERROR(__xludf.DUMMYFUNCTION("""COMPUTED_VALUE"""),"Fully Remote with Options to travel as and when needed")</f>
        <v>Fully Remote with Options to travel as and when needed</v>
      </c>
      <c r="L1754" s="1" t="str">
        <f ca="1">IFERROR(__xludf.DUMMYFUNCTION("""COMPUTED_VALUE"""),"Employer who rewards learning and enables that environment")</f>
        <v>Employer who rewards learning and enables that environment</v>
      </c>
      <c r="M1754" s="1" t="str">
        <f ca="1">IFERROR(__xludf.DUMMYFUNCTION("""COMPUTED_VALUE"""),"Self Paced Learning Portals of the Company, Learning by observing others, Manager Teaching you")</f>
        <v>Self Paced Learning Portals of the Company, Learning by observing others, Manager Teaching you</v>
      </c>
      <c r="N1754" s="1" t="str">
        <f ca="1">IFERROR(__xludf.DUMMYFUNCTION("""COMPUTED_VALUE"""),"Design and Creative strategy in any company, Become a content Creator in some platform, Entrepreneur or Start Up, Manufacturing / Oil and Gas/ Construction / Hard Physical Work related")</f>
        <v>Design and Creative strategy in any company, Become a content Creator in some platform, Entrepreneur or Start Up, Manufacturing / Oil and Gas/ Construction / Hard Physical Work related</v>
      </c>
      <c r="O1754" s="1" t="str">
        <f ca="1">IFERROR(__xludf.DUMMYFUNCTION("""COMPUTED_VALUE"""),"Manager who explains what is expected, sets a goal and helps achieve it")</f>
        <v>Manager who explains what is expected, sets a goal and helps achieve it</v>
      </c>
      <c r="P1754" s="1" t="str">
        <f ca="1">IFERROR(__xludf.DUMMYFUNCTION("""COMPUTED_VALUE"""),"Work with 2 to 3 people in my team")</f>
        <v>Work with 2 to 3 people in my team</v>
      </c>
      <c r="Q1754" s="1"/>
    </row>
    <row r="1755" spans="1:17" ht="13.2" x14ac:dyDescent="0.25">
      <c r="A1755" s="2">
        <f ca="1">IFERROR(__xludf.DUMMYFUNCTION("""COMPUTED_VALUE"""),45048.7580371412)</f>
        <v>45048.758037141197</v>
      </c>
      <c r="B1755" s="1" t="str">
        <f ca="1">IFERROR(__xludf.DUMMYFUNCTION("""COMPUTED_VALUE"""),"India")</f>
        <v>India</v>
      </c>
      <c r="C1755" s="1">
        <f ca="1">IFERROR(__xludf.DUMMYFUNCTION("""COMPUTED_VALUE"""),793001)</f>
        <v>793001</v>
      </c>
      <c r="D1755" s="3" t="str">
        <f ca="1">IFERROR(__xludf.DUMMYFUNCTION("""COMPUTED_VALUE"""),"Male")</f>
        <v>Male</v>
      </c>
      <c r="E1755" s="1" t="str">
        <f ca="1">IFERROR(__xludf.DUMMYFUNCTION("""COMPUTED_VALUE"""),"My Parents")</f>
        <v>My Parents</v>
      </c>
      <c r="F1755" s="1" t="str">
        <f ca="1">IFERROR(__xludf.DUMMYFUNCTION("""COMPUTED_VALUE"""),"No I would not be pursuing Higher Education outside of India")</f>
        <v>No I would not be pursuing Higher Education outside of India</v>
      </c>
      <c r="G1755" s="1" t="str">
        <f ca="1">IFERROR(__xludf.DUMMYFUNCTION("""COMPUTED_VALUE"""),"This will be hard to do, but if it is the right company I would try")</f>
        <v>This will be hard to do, but if it is the right company I would try</v>
      </c>
      <c r="H1755" s="1" t="str">
        <f ca="1">IFERROR(__xludf.DUMMYFUNCTION("""COMPUTED_VALUE"""),"Yes")</f>
        <v>Yes</v>
      </c>
      <c r="I1755" s="1" t="str">
        <f ca="1">IFERROR(__xludf.DUMMYFUNCTION("""COMPUTED_VALUE"""),"Will work for them")</f>
        <v>Will work for them</v>
      </c>
      <c r="J1755" s="1">
        <f ca="1">IFERROR(__xludf.DUMMYFUNCTION("""COMPUTED_VALUE"""),10)</f>
        <v>10</v>
      </c>
      <c r="K1755" s="1" t="str">
        <f ca="1">IFERROR(__xludf.DUMMYFUNCTION("""COMPUTED_VALUE"""),"Hybrid Working Environment with less than 3 days a month at office")</f>
        <v>Hybrid Working Environment with less than 3 days a month at office</v>
      </c>
      <c r="L1755" s="1" t="str">
        <f ca="1">IFERROR(__xludf.DUMMYFUNCTION("""COMPUTED_VALUE"""),"Employer who appreciates learning and enables that environment")</f>
        <v>Employer who appreciates learning and enables that environment</v>
      </c>
      <c r="M1755" s="1" t="str">
        <f ca="1">IFERROR(__xludf.DUMMYFUNCTION("""COMPUTED_VALUE"""),"Self Paced Learning Portals of the Company, Learning by observing others, Manager Teaching you")</f>
        <v>Self Paced Learning Portals of the Company, Learning by observing others, Manager Teaching you</v>
      </c>
      <c r="N1755" s="1" t="str">
        <f ca="1">IFERROR(__xludf.DUMMYFUNCTION("""COMPUTED_VALUE"""),"Build and develop a Team, Work as a freelancer and do my thing my way, Become a content Creator in some platform, Entrepreneur or Start Up")</f>
        <v>Build and develop a Team, Work as a freelancer and do my thing my way, Become a content Creator in some platform, Entrepreneur or Start Up</v>
      </c>
      <c r="O1755" s="1" t="str">
        <f ca="1">IFERROR(__xludf.DUMMYFUNCTION("""COMPUTED_VALUE"""),"Manager who clearly describes what she/he needs")</f>
        <v>Manager who clearly describes what she/he needs</v>
      </c>
      <c r="P1755" s="1" t="str">
        <f ca="1">IFERROR(__xludf.DUMMYFUNCTION("""COMPUTED_VALUE"""),"Work with more than 10 people in my team")</f>
        <v>Work with more than 10 people in my team</v>
      </c>
      <c r="Q1755" s="1"/>
    </row>
    <row r="1756" spans="1:17" ht="13.2" x14ac:dyDescent="0.25">
      <c r="A1756" s="2">
        <f ca="1">IFERROR(__xludf.DUMMYFUNCTION("""COMPUTED_VALUE"""),45048.7657160532)</f>
        <v>45048.765716053204</v>
      </c>
      <c r="B1756" s="1" t="str">
        <f ca="1">IFERROR(__xludf.DUMMYFUNCTION("""COMPUTED_VALUE"""),"India")</f>
        <v>India</v>
      </c>
      <c r="C1756" s="1">
        <f ca="1">IFERROR(__xludf.DUMMYFUNCTION("""COMPUTED_VALUE"""),793001)</f>
        <v>793001</v>
      </c>
      <c r="D1756" s="3" t="str">
        <f ca="1">IFERROR(__xludf.DUMMYFUNCTION("""COMPUTED_VALUE"""),"Female")</f>
        <v>Female</v>
      </c>
      <c r="E1756" s="1" t="str">
        <f ca="1">IFERROR(__xludf.DUMMYFUNCTION("""COMPUTED_VALUE"""),"My Parents")</f>
        <v>My Parents</v>
      </c>
      <c r="F1756" s="1" t="str">
        <f ca="1">IFERROR(__xludf.DUMMYFUNCTION("""COMPUTED_VALUE"""),"Yes, I will earn and do that")</f>
        <v>Yes, I will earn and do that</v>
      </c>
      <c r="G1756" s="1" t="str">
        <f ca="1">IFERROR(__xludf.DUMMYFUNCTION("""COMPUTED_VALUE"""),"This will be hard to do, but if it is the right company I would try")</f>
        <v>This will be hard to do, but if it is the right company I would try</v>
      </c>
      <c r="H1756" s="1" t="str">
        <f ca="1">IFERROR(__xludf.DUMMYFUNCTION("""COMPUTED_VALUE"""),"Yes")</f>
        <v>Yes</v>
      </c>
      <c r="I1756" s="1" t="str">
        <f ca="1">IFERROR(__xludf.DUMMYFUNCTION("""COMPUTED_VALUE"""),"Will NOT work for them")</f>
        <v>Will NOT work for them</v>
      </c>
      <c r="J1756" s="1">
        <f ca="1">IFERROR(__xludf.DUMMYFUNCTION("""COMPUTED_VALUE"""),1)</f>
        <v>1</v>
      </c>
      <c r="K1756" s="1" t="str">
        <f ca="1">IFERROR(__xludf.DUMMYFUNCTION("""COMPUTED_VALUE"""),"Every Day Office Environment")</f>
        <v>Every Day Office Environment</v>
      </c>
      <c r="L1756" s="1" t="str">
        <f ca="1">IFERROR(__xludf.DUMMYFUNCTION("""COMPUTED_VALUE"""),"Employer who appreciates learning and enables that environment")</f>
        <v>Employer who appreciates learning and enables that environment</v>
      </c>
      <c r="M17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56" s="1" t="str">
        <f ca="1">IFERROR(__xludf.DUMMYFUNCTION("""COMPUTED_VALUE"""),"Look deeply into Data and generate insights, Work as a freelancer and do my thing my way, Entrepreneur or Start Up, I Want to sell things/Sales")</f>
        <v>Look deeply into Data and generate insights, Work as a freelancer and do my thing my way, Entrepreneur or Start Up, I Want to sell things/Sales</v>
      </c>
      <c r="O1756" s="1" t="str">
        <f ca="1">IFERROR(__xludf.DUMMYFUNCTION("""COMPUTED_VALUE"""),"Manager who sets targets and expects me to achieve it")</f>
        <v>Manager who sets targets and expects me to achieve it</v>
      </c>
      <c r="P175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756" s="1"/>
    </row>
    <row r="1757" spans="1:17" ht="13.2" x14ac:dyDescent="0.25">
      <c r="A1757" s="2">
        <f ca="1">IFERROR(__xludf.DUMMYFUNCTION("""COMPUTED_VALUE"""),45048.777709456)</f>
        <v>45048.777709456001</v>
      </c>
      <c r="B1757" s="1" t="str">
        <f ca="1">IFERROR(__xludf.DUMMYFUNCTION("""COMPUTED_VALUE"""),"India")</f>
        <v>India</v>
      </c>
      <c r="C1757" s="1">
        <f ca="1">IFERROR(__xludf.DUMMYFUNCTION("""COMPUTED_VALUE"""),793006)</f>
        <v>793006</v>
      </c>
      <c r="D1757" s="3" t="str">
        <f ca="1">IFERROR(__xludf.DUMMYFUNCTION("""COMPUTED_VALUE"""),"Female")</f>
        <v>Female</v>
      </c>
      <c r="E1757" s="1" t="str">
        <f ca="1">IFERROR(__xludf.DUMMYFUNCTION("""COMPUTED_VALUE"""),"My Parents")</f>
        <v>My Parents</v>
      </c>
      <c r="F1757" s="1" t="str">
        <f ca="1">IFERROR(__xludf.DUMMYFUNCTION("""COMPUTED_VALUE"""),"No, But if someone could bare the cost I will")</f>
        <v>No, But if someone could bare the cost I will</v>
      </c>
      <c r="G1757" s="1" t="str">
        <f ca="1">IFERROR(__xludf.DUMMYFUNCTION("""COMPUTED_VALUE"""),"Will work for 3 years or more")</f>
        <v>Will work for 3 years or more</v>
      </c>
      <c r="H1757" s="1" t="str">
        <f ca="1">IFERROR(__xludf.DUMMYFUNCTION("""COMPUTED_VALUE"""),"No")</f>
        <v>No</v>
      </c>
      <c r="I1757" s="1" t="str">
        <f ca="1">IFERROR(__xludf.DUMMYFUNCTION("""COMPUTED_VALUE"""),"Will NOT work for them")</f>
        <v>Will NOT work for them</v>
      </c>
      <c r="J1757" s="1">
        <f ca="1">IFERROR(__xludf.DUMMYFUNCTION("""COMPUTED_VALUE"""),2)</f>
        <v>2</v>
      </c>
      <c r="K1757" s="1" t="str">
        <f ca="1">IFERROR(__xludf.DUMMYFUNCTION("""COMPUTED_VALUE"""),"Hybrid Working Environment with more than 15 days a month at office")</f>
        <v>Hybrid Working Environment with more than 15 days a month at office</v>
      </c>
      <c r="L1757" s="1" t="str">
        <f ca="1">IFERROR(__xludf.DUMMYFUNCTION("""COMPUTED_VALUE"""),"Employer who pushes your limits by enabling an learning environment, and rewards you at the end")</f>
        <v>Employer who pushes your limits by enabling an learning environment, and rewards you at the end</v>
      </c>
      <c r="M175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57"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757" s="1" t="str">
        <f ca="1">IFERROR(__xludf.DUMMYFUNCTION("""COMPUTED_VALUE"""),"Manager who explains what is expected, sets a goal and helps achieve it")</f>
        <v>Manager who explains what is expected, sets a goal and helps achieve it</v>
      </c>
      <c r="P1757" s="1" t="str">
        <f ca="1">IFERROR(__xludf.DUMMYFUNCTION("""COMPUTED_VALUE"""),"Work with 5 to 6 people in my team")</f>
        <v>Work with 5 to 6 people in my team</v>
      </c>
      <c r="Q1757" s="1"/>
    </row>
    <row r="1758" spans="1:17" ht="13.2" x14ac:dyDescent="0.25">
      <c r="A1758" s="2">
        <f ca="1">IFERROR(__xludf.DUMMYFUNCTION("""COMPUTED_VALUE"""),45048.7903205092)</f>
        <v>45048.790320509201</v>
      </c>
      <c r="B1758" s="1" t="str">
        <f ca="1">IFERROR(__xludf.DUMMYFUNCTION("""COMPUTED_VALUE"""),"India")</f>
        <v>India</v>
      </c>
      <c r="C1758" s="1">
        <f ca="1">IFERROR(__xludf.DUMMYFUNCTION("""COMPUTED_VALUE"""),793005)</f>
        <v>793005</v>
      </c>
      <c r="D1758" s="3" t="str">
        <f ca="1">IFERROR(__xludf.DUMMYFUNCTION("""COMPUTED_VALUE"""),"Male")</f>
        <v>Male</v>
      </c>
      <c r="E1758" s="1" t="str">
        <f ca="1">IFERROR(__xludf.DUMMYFUNCTION("""COMPUTED_VALUE"""),"People who have changed the world for better")</f>
        <v>People who have changed the world for better</v>
      </c>
      <c r="F1758" s="1" t="str">
        <f ca="1">IFERROR(__xludf.DUMMYFUNCTION("""COMPUTED_VALUE"""),"No, But if someone could bare the cost I will")</f>
        <v>No, But if someone could bare the cost I will</v>
      </c>
      <c r="G1758" s="1" t="str">
        <f ca="1">IFERROR(__xludf.DUMMYFUNCTION("""COMPUTED_VALUE"""),"This will be hard to do, but if it is the right company I would try")</f>
        <v>This will be hard to do, but if it is the right company I would try</v>
      </c>
      <c r="H1758" s="1" t="str">
        <f ca="1">IFERROR(__xludf.DUMMYFUNCTION("""COMPUTED_VALUE"""),"No")</f>
        <v>No</v>
      </c>
      <c r="I1758" s="1" t="str">
        <f ca="1">IFERROR(__xludf.DUMMYFUNCTION("""COMPUTED_VALUE"""),"Will NOT work for them")</f>
        <v>Will NOT work for them</v>
      </c>
      <c r="J1758" s="1">
        <f ca="1">IFERROR(__xludf.DUMMYFUNCTION("""COMPUTED_VALUE"""),5)</f>
        <v>5</v>
      </c>
      <c r="K1758" s="1" t="str">
        <f ca="1">IFERROR(__xludf.DUMMYFUNCTION("""COMPUTED_VALUE"""),"Hybrid Working Environment with less than 3 days a month at office")</f>
        <v>Hybrid Working Environment with less than 3 days a month at office</v>
      </c>
      <c r="L1758" s="1" t="str">
        <f ca="1">IFERROR(__xludf.DUMMYFUNCTION("""COMPUTED_VALUE"""),"Employer who pushes your limits by enabling an learning environment, and rewards you at the end")</f>
        <v>Employer who pushes your limits by enabling an learning environment, and rewards you at the end</v>
      </c>
      <c r="M175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58" s="1" t="str">
        <f ca="1">IFERROR(__xludf.DUMMYFUNCTION("""COMPUTED_VALUE"""),"Teaching in any of the institutes/colleges/online or offline, Build and develop a Team, Design and Develop amazing software, An Artificial Intelligence Specialist / Talking to Robots")</f>
        <v>Teaching in any of the institutes/colleges/online or offline, Build and develop a Team, Design and Develop amazing software, An Artificial Intelligence Specialist / Talking to Robots</v>
      </c>
      <c r="O1758" s="1" t="str">
        <f ca="1">IFERROR(__xludf.DUMMYFUNCTION("""COMPUTED_VALUE"""),"Manager who sets goal and helps me achieve it")</f>
        <v>Manager who sets goal and helps me achieve it</v>
      </c>
      <c r="P1758" s="1" t="str">
        <f ca="1">IFERROR(__xludf.DUMMYFUNCTION("""COMPUTED_VALUE"""),"Work with 2 to 3 people in my team")</f>
        <v>Work with 2 to 3 people in my team</v>
      </c>
      <c r="Q1758" s="1"/>
    </row>
    <row r="1759" spans="1:17" ht="13.2" x14ac:dyDescent="0.25">
      <c r="A1759" s="2">
        <f ca="1">IFERROR(__xludf.DUMMYFUNCTION("""COMPUTED_VALUE"""),45048.8340079398)</f>
        <v>45048.834007939797</v>
      </c>
      <c r="B1759" s="1" t="str">
        <f ca="1">IFERROR(__xludf.DUMMYFUNCTION("""COMPUTED_VALUE"""),"India")</f>
        <v>India</v>
      </c>
      <c r="C1759" s="1">
        <f ca="1">IFERROR(__xludf.DUMMYFUNCTION("""COMPUTED_VALUE"""),793014)</f>
        <v>793014</v>
      </c>
      <c r="D1759" s="3" t="str">
        <f ca="1">IFERROR(__xludf.DUMMYFUNCTION("""COMPUTED_VALUE"""),"Male")</f>
        <v>Male</v>
      </c>
      <c r="E1759" s="1" t="str">
        <f ca="1">IFERROR(__xludf.DUMMYFUNCTION("""COMPUTED_VALUE"""),"My Parents")</f>
        <v>My Parents</v>
      </c>
      <c r="F1759" s="1" t="str">
        <f ca="1">IFERROR(__xludf.DUMMYFUNCTION("""COMPUTED_VALUE"""),"No I would not be pursuing Higher Education outside of India")</f>
        <v>No I would not be pursuing Higher Education outside of India</v>
      </c>
      <c r="G1759" s="1" t="str">
        <f ca="1">IFERROR(__xludf.DUMMYFUNCTION("""COMPUTED_VALUE"""),"No way")</f>
        <v>No way</v>
      </c>
      <c r="H1759" s="1" t="str">
        <f ca="1">IFERROR(__xludf.DUMMYFUNCTION("""COMPUTED_VALUE"""),"No")</f>
        <v>No</v>
      </c>
      <c r="I1759" s="1" t="str">
        <f ca="1">IFERROR(__xludf.DUMMYFUNCTION("""COMPUTED_VALUE"""),"Will NOT work for them")</f>
        <v>Will NOT work for them</v>
      </c>
      <c r="J1759" s="1">
        <f ca="1">IFERROR(__xludf.DUMMYFUNCTION("""COMPUTED_VALUE"""),1)</f>
        <v>1</v>
      </c>
      <c r="K1759" s="1" t="str">
        <f ca="1">IFERROR(__xludf.DUMMYFUNCTION("""COMPUTED_VALUE"""),"Fully Remote with Options to travel as and when needed")</f>
        <v>Fully Remote with Options to travel as and when needed</v>
      </c>
      <c r="L1759" s="1" t="str">
        <f ca="1">IFERROR(__xludf.DUMMYFUNCTION("""COMPUTED_VALUE"""),"Employer who pushes your limits by enabling an learning environment, and rewards you at the end")</f>
        <v>Employer who pushes your limits by enabling an learning environment, and rewards you at the end</v>
      </c>
      <c r="M17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59"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1759" s="1" t="str">
        <f ca="1">IFERROR(__xludf.DUMMYFUNCTION("""COMPUTED_VALUE"""),"Manager who clearly describes what she/he needs")</f>
        <v>Manager who clearly describes what she/he needs</v>
      </c>
      <c r="P1759" s="1" t="str">
        <f ca="1">IFERROR(__xludf.DUMMYFUNCTION("""COMPUTED_VALUE"""),"Work alone, Work with 2 to 3 people in my team")</f>
        <v>Work alone, Work with 2 to 3 people in my team</v>
      </c>
      <c r="Q1759" s="1"/>
    </row>
    <row r="1760" spans="1:17" ht="13.2" x14ac:dyDescent="0.25">
      <c r="A1760" s="2">
        <f ca="1">IFERROR(__xludf.DUMMYFUNCTION("""COMPUTED_VALUE"""),45048.8349875231)</f>
        <v>45048.8349875231</v>
      </c>
      <c r="B1760" s="1" t="str">
        <f ca="1">IFERROR(__xludf.DUMMYFUNCTION("""COMPUTED_VALUE"""),"India")</f>
        <v>India</v>
      </c>
      <c r="C1760" s="1">
        <f ca="1">IFERROR(__xludf.DUMMYFUNCTION("""COMPUTED_VALUE"""),793021)</f>
        <v>793021</v>
      </c>
      <c r="D1760" s="3" t="str">
        <f ca="1">IFERROR(__xludf.DUMMYFUNCTION("""COMPUTED_VALUE"""),"Female")</f>
        <v>Female</v>
      </c>
      <c r="E1760" s="1" t="str">
        <f ca="1">IFERROR(__xludf.DUMMYFUNCTION("""COMPUTED_VALUE"""),"Influencers who had successful careers")</f>
        <v>Influencers who had successful careers</v>
      </c>
      <c r="F1760" s="1" t="str">
        <f ca="1">IFERROR(__xludf.DUMMYFUNCTION("""COMPUTED_VALUE"""),"No I would not be pursuing Higher Education outside of India")</f>
        <v>No I would not be pursuing Higher Education outside of India</v>
      </c>
      <c r="G1760" s="1" t="str">
        <f ca="1">IFERROR(__xludf.DUMMYFUNCTION("""COMPUTED_VALUE"""),"This will be hard to do, but if it is the right company I would try")</f>
        <v>This will be hard to do, but if it is the right company I would try</v>
      </c>
      <c r="H1760" s="1" t="str">
        <f ca="1">IFERROR(__xludf.DUMMYFUNCTION("""COMPUTED_VALUE"""),"Yes")</f>
        <v>Yes</v>
      </c>
      <c r="I1760" s="1" t="str">
        <f ca="1">IFERROR(__xludf.DUMMYFUNCTION("""COMPUTED_VALUE"""),"Will work for them")</f>
        <v>Will work for them</v>
      </c>
      <c r="J1760" s="1">
        <f ca="1">IFERROR(__xludf.DUMMYFUNCTION("""COMPUTED_VALUE"""),3)</f>
        <v>3</v>
      </c>
      <c r="K1760" s="1" t="str">
        <f ca="1">IFERROR(__xludf.DUMMYFUNCTION("""COMPUTED_VALUE"""),"Every Day Office Environment")</f>
        <v>Every Day Office Environment</v>
      </c>
      <c r="L1760" s="1" t="str">
        <f ca="1">IFERROR(__xludf.DUMMYFUNCTION("""COMPUTED_VALUE"""),"Employer who appreciates learning and enables that environment")</f>
        <v>Employer who appreciates learning and enables that environment</v>
      </c>
      <c r="M176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60"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1760" s="1" t="str">
        <f ca="1">IFERROR(__xludf.DUMMYFUNCTION("""COMPUTED_VALUE"""),"Manager who sets unrealistic targets")</f>
        <v>Manager who sets unrealistic targets</v>
      </c>
      <c r="P1760" s="1" t="str">
        <f ca="1">IFERROR(__xludf.DUMMYFUNCTION("""COMPUTED_VALUE"""),"Work with more than 10 people in my team")</f>
        <v>Work with more than 10 people in my team</v>
      </c>
      <c r="Q1760" s="1"/>
    </row>
    <row r="1761" spans="1:17" ht="13.2" x14ac:dyDescent="0.25">
      <c r="A1761" s="2">
        <f ca="1">IFERROR(__xludf.DUMMYFUNCTION("""COMPUTED_VALUE"""),45048.8637270949)</f>
        <v>45048.863727094897</v>
      </c>
      <c r="B1761" s="1" t="str">
        <f ca="1">IFERROR(__xludf.DUMMYFUNCTION("""COMPUTED_VALUE"""),"India")</f>
        <v>India</v>
      </c>
      <c r="C1761" s="1">
        <f ca="1">IFERROR(__xludf.DUMMYFUNCTION("""COMPUTED_VALUE"""),781011)</f>
        <v>781011</v>
      </c>
      <c r="D1761" s="3" t="str">
        <f ca="1">IFERROR(__xludf.DUMMYFUNCTION("""COMPUTED_VALUE"""),"Male")</f>
        <v>Male</v>
      </c>
      <c r="E1761" s="1" t="str">
        <f ca="1">IFERROR(__xludf.DUMMYFUNCTION("""COMPUTED_VALUE"""),"People who have changed the world for better")</f>
        <v>People who have changed the world for better</v>
      </c>
      <c r="F1761" s="1" t="str">
        <f ca="1">IFERROR(__xludf.DUMMYFUNCTION("""COMPUTED_VALUE"""),"Yes, I will earn and do that")</f>
        <v>Yes, I will earn and do that</v>
      </c>
      <c r="G1761" s="1" t="str">
        <f ca="1">IFERROR(__xludf.DUMMYFUNCTION("""COMPUTED_VALUE"""),"This will be hard to do, but if it is the right company I would try")</f>
        <v>This will be hard to do, but if it is the right company I would try</v>
      </c>
      <c r="H1761" s="1" t="str">
        <f ca="1">IFERROR(__xludf.DUMMYFUNCTION("""COMPUTED_VALUE"""),"No")</f>
        <v>No</v>
      </c>
      <c r="I1761" s="1" t="str">
        <f ca="1">IFERROR(__xludf.DUMMYFUNCTION("""COMPUTED_VALUE"""),"Will NOT work for them")</f>
        <v>Will NOT work for them</v>
      </c>
      <c r="J1761" s="1">
        <f ca="1">IFERROR(__xludf.DUMMYFUNCTION("""COMPUTED_VALUE"""),2)</f>
        <v>2</v>
      </c>
      <c r="K1761" s="1" t="str">
        <f ca="1">IFERROR(__xludf.DUMMYFUNCTION("""COMPUTED_VALUE"""),"Fully Remote with Options to travel as and when needed")</f>
        <v>Fully Remote with Options to travel as and when needed</v>
      </c>
      <c r="L1761" s="1" t="str">
        <f ca="1">IFERROR(__xludf.DUMMYFUNCTION("""COMPUTED_VALUE"""),"Employer who rewards learning and enables that environment")</f>
        <v>Employer who rewards learning and enables that environment</v>
      </c>
      <c r="M176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61"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761" s="1" t="str">
        <f ca="1">IFERROR(__xludf.DUMMYFUNCTION("""COMPUTED_VALUE"""),"Manager who sets goal and helps me achieve it")</f>
        <v>Manager who sets goal and helps me achieve it</v>
      </c>
      <c r="P1761" s="1" t="str">
        <f ca="1">IFERROR(__xludf.DUMMYFUNCTION("""COMPUTED_VALUE"""),"Work with 5 to 6 people in my team")</f>
        <v>Work with 5 to 6 people in my team</v>
      </c>
      <c r="Q1761" s="1"/>
    </row>
    <row r="1762" spans="1:17" ht="13.2" x14ac:dyDescent="0.25">
      <c r="A1762" s="2">
        <f ca="1">IFERROR(__xludf.DUMMYFUNCTION("""COMPUTED_VALUE"""),45048.8665772338)</f>
        <v>45048.866577233799</v>
      </c>
      <c r="B1762" s="1" t="str">
        <f ca="1">IFERROR(__xludf.DUMMYFUNCTION("""COMPUTED_VALUE"""),"India")</f>
        <v>India</v>
      </c>
      <c r="C1762" s="1">
        <f ca="1">IFERROR(__xludf.DUMMYFUNCTION("""COMPUTED_VALUE"""),560036)</f>
        <v>560036</v>
      </c>
      <c r="D1762" s="3" t="str">
        <f ca="1">IFERROR(__xludf.DUMMYFUNCTION("""COMPUTED_VALUE"""),"Male")</f>
        <v>Male</v>
      </c>
      <c r="E1762" s="1" t="str">
        <f ca="1">IFERROR(__xludf.DUMMYFUNCTION("""COMPUTED_VALUE"""),"My Parents")</f>
        <v>My Parents</v>
      </c>
      <c r="F1762" s="1" t="str">
        <f ca="1">IFERROR(__xludf.DUMMYFUNCTION("""COMPUTED_VALUE"""),"Yes, I will earn and do that")</f>
        <v>Yes, I will earn and do that</v>
      </c>
      <c r="G1762" s="1" t="str">
        <f ca="1">IFERROR(__xludf.DUMMYFUNCTION("""COMPUTED_VALUE"""),"Will work for 3 years or more")</f>
        <v>Will work for 3 years or more</v>
      </c>
      <c r="H1762" s="1" t="str">
        <f ca="1">IFERROR(__xludf.DUMMYFUNCTION("""COMPUTED_VALUE"""),"Yes")</f>
        <v>Yes</v>
      </c>
      <c r="I1762" s="1" t="str">
        <f ca="1">IFERROR(__xludf.DUMMYFUNCTION("""COMPUTED_VALUE"""),"Will work for them")</f>
        <v>Will work for them</v>
      </c>
      <c r="J1762" s="1">
        <f ca="1">IFERROR(__xludf.DUMMYFUNCTION("""COMPUTED_VALUE"""),7)</f>
        <v>7</v>
      </c>
      <c r="K1762" s="1" t="str">
        <f ca="1">IFERROR(__xludf.DUMMYFUNCTION("""COMPUTED_VALUE"""),"Fully Remote with Options to travel as and when needed")</f>
        <v>Fully Remote with Options to travel as and when needed</v>
      </c>
      <c r="L1762" s="1" t="str">
        <f ca="1">IFERROR(__xludf.DUMMYFUNCTION("""COMPUTED_VALUE"""),"Employer who appreciates learning and enables that environment")</f>
        <v>Employer who appreciates learning and enables that environment</v>
      </c>
      <c r="M176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62"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762" s="1" t="str">
        <f ca="1">IFERROR(__xludf.DUMMYFUNCTION("""COMPUTED_VALUE"""),"Manager who clearly describes what she/he needs")</f>
        <v>Manager who clearly describes what she/he needs</v>
      </c>
      <c r="P1762" s="1" t="str">
        <f ca="1">IFERROR(__xludf.DUMMYFUNCTION("""COMPUTED_VALUE"""),"Work with more than 10 people in my team")</f>
        <v>Work with more than 10 people in my team</v>
      </c>
      <c r="Q1762" s="1"/>
    </row>
    <row r="1763" spans="1:17" ht="13.2" x14ac:dyDescent="0.25">
      <c r="A1763" s="2">
        <f ca="1">IFERROR(__xludf.DUMMYFUNCTION("""COMPUTED_VALUE"""),45048.8767274189)</f>
        <v>45048.876727418901</v>
      </c>
      <c r="B1763" s="1" t="str">
        <f ca="1">IFERROR(__xludf.DUMMYFUNCTION("""COMPUTED_VALUE"""),"India")</f>
        <v>India</v>
      </c>
      <c r="C1763" s="1">
        <f ca="1">IFERROR(__xludf.DUMMYFUNCTION("""COMPUTED_VALUE"""),560011)</f>
        <v>560011</v>
      </c>
      <c r="D1763" s="3" t="str">
        <f ca="1">IFERROR(__xludf.DUMMYFUNCTION("""COMPUTED_VALUE"""),"Male")</f>
        <v>Male</v>
      </c>
      <c r="E1763" s="1" t="str">
        <f ca="1">IFERROR(__xludf.DUMMYFUNCTION("""COMPUTED_VALUE"""),"My Parents")</f>
        <v>My Parents</v>
      </c>
      <c r="F1763" s="1" t="str">
        <f ca="1">IFERROR(__xludf.DUMMYFUNCTION("""COMPUTED_VALUE"""),"No, But if someone could bare the cost I will")</f>
        <v>No, But if someone could bare the cost I will</v>
      </c>
      <c r="G1763" s="1" t="str">
        <f ca="1">IFERROR(__xludf.DUMMYFUNCTION("""COMPUTED_VALUE"""),"This will be hard to do, but if it is the right company I would try")</f>
        <v>This will be hard to do, but if it is the right company I would try</v>
      </c>
      <c r="H1763" s="1" t="str">
        <f ca="1">IFERROR(__xludf.DUMMYFUNCTION("""COMPUTED_VALUE"""),"Yes")</f>
        <v>Yes</v>
      </c>
      <c r="I1763" s="1" t="str">
        <f ca="1">IFERROR(__xludf.DUMMYFUNCTION("""COMPUTED_VALUE"""),"Will work for them")</f>
        <v>Will work for them</v>
      </c>
      <c r="J1763" s="1">
        <f ca="1">IFERROR(__xludf.DUMMYFUNCTION("""COMPUTED_VALUE"""),6)</f>
        <v>6</v>
      </c>
      <c r="K1763" s="1" t="str">
        <f ca="1">IFERROR(__xludf.DUMMYFUNCTION("""COMPUTED_VALUE"""),"Hybrid Working Environment with more than 15 days a month at office")</f>
        <v>Hybrid Working Environment with more than 15 days a month at office</v>
      </c>
      <c r="L1763" s="1" t="str">
        <f ca="1">IFERROR(__xludf.DUMMYFUNCTION("""COMPUTED_VALUE"""),"Employer who rewards learning and enables that environment")</f>
        <v>Employer who rewards learning and enables that environment</v>
      </c>
      <c r="M1763" s="1" t="str">
        <f ca="1">IFERROR(__xludf.DUMMYFUNCTION("""COMPUTED_VALUE"""),"Self Paced Learning Portals of the Company, Instructor or Expert Learning Programs, Manager Teaching you")</f>
        <v>Self Paced Learning Portals of the Company, Instructor or Expert Learning Programs, Manager Teaching you</v>
      </c>
      <c r="N176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763" s="1" t="str">
        <f ca="1">IFERROR(__xludf.DUMMYFUNCTION("""COMPUTED_VALUE"""),"Manager who explains what is expected, sets a goal and helps achieve it")</f>
        <v>Manager who explains what is expected, sets a goal and helps achieve it</v>
      </c>
      <c r="P1763" s="1" t="str">
        <f ca="1">IFERROR(__xludf.DUMMYFUNCTION("""COMPUTED_VALUE"""),"Work with 7 to 10 or more people in my team")</f>
        <v>Work with 7 to 10 or more people in my team</v>
      </c>
      <c r="Q1763" s="1"/>
    </row>
    <row r="1764" spans="1:17" ht="13.2" x14ac:dyDescent="0.25">
      <c r="A1764" s="2">
        <f ca="1">IFERROR(__xludf.DUMMYFUNCTION("""COMPUTED_VALUE"""),45048.8781081597)</f>
        <v>45048.878108159697</v>
      </c>
      <c r="B1764" s="1" t="str">
        <f ca="1">IFERROR(__xludf.DUMMYFUNCTION("""COMPUTED_VALUE"""),"India")</f>
        <v>India</v>
      </c>
      <c r="C1764" s="1">
        <f ca="1">IFERROR(__xludf.DUMMYFUNCTION("""COMPUTED_VALUE"""),560078)</f>
        <v>560078</v>
      </c>
      <c r="D1764" s="3" t="str">
        <f ca="1">IFERROR(__xludf.DUMMYFUNCTION("""COMPUTED_VALUE"""),"Male")</f>
        <v>Male</v>
      </c>
      <c r="E1764" s="1" t="str">
        <f ca="1">IFERROR(__xludf.DUMMYFUNCTION("""COMPUTED_VALUE"""),"Influencers who had successful careers")</f>
        <v>Influencers who had successful careers</v>
      </c>
      <c r="F1764" s="1" t="str">
        <f ca="1">IFERROR(__xludf.DUMMYFUNCTION("""COMPUTED_VALUE"""),"Yes, I will earn and do that")</f>
        <v>Yes, I will earn and do that</v>
      </c>
      <c r="G1764" s="1" t="str">
        <f ca="1">IFERROR(__xludf.DUMMYFUNCTION("""COMPUTED_VALUE"""),"This will be hard to do, but if it is the right company I would try")</f>
        <v>This will be hard to do, but if it is the right company I would try</v>
      </c>
      <c r="H1764" s="1" t="str">
        <f ca="1">IFERROR(__xludf.DUMMYFUNCTION("""COMPUTED_VALUE"""),"Yes")</f>
        <v>Yes</v>
      </c>
      <c r="I1764" s="1" t="str">
        <f ca="1">IFERROR(__xludf.DUMMYFUNCTION("""COMPUTED_VALUE"""),"Will NOT work for them")</f>
        <v>Will NOT work for them</v>
      </c>
      <c r="J1764" s="1">
        <f ca="1">IFERROR(__xludf.DUMMYFUNCTION("""COMPUTED_VALUE"""),4)</f>
        <v>4</v>
      </c>
      <c r="K1764" s="1" t="str">
        <f ca="1">IFERROR(__xludf.DUMMYFUNCTION("""COMPUTED_VALUE"""),"Hybrid Working Environment with more than 15 days a month at office")</f>
        <v>Hybrid Working Environment with more than 15 days a month at office</v>
      </c>
      <c r="L1764" s="1" t="str">
        <f ca="1">IFERROR(__xludf.DUMMYFUNCTION("""COMPUTED_VALUE"""),"Employer who pushes your limits by enabling an learning environment, and rewards you at the end")</f>
        <v>Employer who pushes your limits by enabling an learning environment, and rewards you at the end</v>
      </c>
      <c r="M176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64" s="1" t="str">
        <f ca="1">IFERROR(__xludf.DUMMYFUNCTION("""COMPUTED_VALUE"""),"Business Operations in any organization, Build and develop a Team, Work as a freelancer and do my thing my way, Manufacturing / Oil and Gas/ Construction / Hard Physical Work related")</f>
        <v>Business Operations in any organization, Build and develop a Team, Work as a freelancer and do my thing my way, Manufacturing / Oil and Gas/ Construction / Hard Physical Work related</v>
      </c>
      <c r="O1764" s="1" t="str">
        <f ca="1">IFERROR(__xludf.DUMMYFUNCTION("""COMPUTED_VALUE"""),"Manager who explains what is expected, sets a goal and helps achieve it")</f>
        <v>Manager who explains what is expected, sets a goal and helps achieve it</v>
      </c>
      <c r="P1764" s="1" t="str">
        <f ca="1">IFERROR(__xludf.DUMMYFUNCTION("""COMPUTED_VALUE"""),"Work with 2 to 3 people in my team, Work with 5 to 6 people in my team")</f>
        <v>Work with 2 to 3 people in my team, Work with 5 to 6 people in my team</v>
      </c>
      <c r="Q1764" s="1"/>
    </row>
    <row r="1765" spans="1:17" ht="13.2" x14ac:dyDescent="0.25">
      <c r="A1765" s="2">
        <f ca="1">IFERROR(__xludf.DUMMYFUNCTION("""COMPUTED_VALUE"""),45048.8792580671)</f>
        <v>45048.8792580671</v>
      </c>
      <c r="B1765" s="1" t="str">
        <f ca="1">IFERROR(__xludf.DUMMYFUNCTION("""COMPUTED_VALUE"""),"India")</f>
        <v>India</v>
      </c>
      <c r="C1765" s="1">
        <f ca="1">IFERROR(__xludf.DUMMYFUNCTION("""COMPUTED_VALUE"""),793017)</f>
        <v>793017</v>
      </c>
      <c r="D1765" s="3" t="str">
        <f ca="1">IFERROR(__xludf.DUMMYFUNCTION("""COMPUTED_VALUE"""),"Female")</f>
        <v>Female</v>
      </c>
      <c r="E1765" s="1" t="str">
        <f ca="1">IFERROR(__xludf.DUMMYFUNCTION("""COMPUTED_VALUE"""),"People who have changed the world for better")</f>
        <v>People who have changed the world for better</v>
      </c>
      <c r="F1765" s="1" t="str">
        <f ca="1">IFERROR(__xludf.DUMMYFUNCTION("""COMPUTED_VALUE"""),"Yes, I will earn and do that")</f>
        <v>Yes, I will earn and do that</v>
      </c>
      <c r="G1765" s="1" t="str">
        <f ca="1">IFERROR(__xludf.DUMMYFUNCTION("""COMPUTED_VALUE"""),"This will be hard to do, but if it is the right company I would try")</f>
        <v>This will be hard to do, but if it is the right company I would try</v>
      </c>
      <c r="H1765" s="1" t="str">
        <f ca="1">IFERROR(__xludf.DUMMYFUNCTION("""COMPUTED_VALUE"""),"No")</f>
        <v>No</v>
      </c>
      <c r="I1765" s="1" t="str">
        <f ca="1">IFERROR(__xludf.DUMMYFUNCTION("""COMPUTED_VALUE"""),"Will NOT work for them")</f>
        <v>Will NOT work for them</v>
      </c>
      <c r="J1765" s="1">
        <f ca="1">IFERROR(__xludf.DUMMYFUNCTION("""COMPUTED_VALUE"""),2)</f>
        <v>2</v>
      </c>
      <c r="K1765" s="1" t="str">
        <f ca="1">IFERROR(__xludf.DUMMYFUNCTION("""COMPUTED_VALUE"""),"Every Day Office Environment")</f>
        <v>Every Day Office Environment</v>
      </c>
      <c r="L1765" s="1" t="str">
        <f ca="1">IFERROR(__xludf.DUMMYFUNCTION("""COMPUTED_VALUE"""),"Employer who appreciates learning and enables that environment")</f>
        <v>Employer who appreciates learning and enables that environment</v>
      </c>
      <c r="M176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65"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1765" s="1" t="str">
        <f ca="1">IFERROR(__xludf.DUMMYFUNCTION("""COMPUTED_VALUE"""),"Manager who explains what is expected, sets a goal and helps achieve it")</f>
        <v>Manager who explains what is expected, sets a goal and helps achieve it</v>
      </c>
      <c r="P1765" s="1" t="str">
        <f ca="1">IFERROR(__xludf.DUMMYFUNCTION("""COMPUTED_VALUE"""),"Work with more than 10 people in my team")</f>
        <v>Work with more than 10 people in my team</v>
      </c>
      <c r="Q1765" s="1"/>
    </row>
    <row r="1766" spans="1:17" ht="13.2" x14ac:dyDescent="0.25">
      <c r="A1766" s="2">
        <f ca="1">IFERROR(__xludf.DUMMYFUNCTION("""COMPUTED_VALUE"""),45048.8899826851)</f>
        <v>45048.889982685097</v>
      </c>
      <c r="B1766" s="1" t="str">
        <f ca="1">IFERROR(__xludf.DUMMYFUNCTION("""COMPUTED_VALUE"""),"India")</f>
        <v>India</v>
      </c>
      <c r="C1766" s="1">
        <f ca="1">IFERROR(__xludf.DUMMYFUNCTION("""COMPUTED_VALUE"""),560049)</f>
        <v>560049</v>
      </c>
      <c r="D1766" s="3" t="str">
        <f ca="1">IFERROR(__xludf.DUMMYFUNCTION("""COMPUTED_VALUE"""),"Male")</f>
        <v>Male</v>
      </c>
      <c r="E1766" s="1" t="str">
        <f ca="1">IFERROR(__xludf.DUMMYFUNCTION("""COMPUTED_VALUE"""),"Influencers who had successful careers")</f>
        <v>Influencers who had successful careers</v>
      </c>
      <c r="F1766" s="1" t="str">
        <f ca="1">IFERROR(__xludf.DUMMYFUNCTION("""COMPUTED_VALUE"""),"Yes, I will earn and do that")</f>
        <v>Yes, I will earn and do that</v>
      </c>
      <c r="G1766" s="1" t="str">
        <f ca="1">IFERROR(__xludf.DUMMYFUNCTION("""COMPUTED_VALUE"""),"Will work for 3 years or more")</f>
        <v>Will work for 3 years or more</v>
      </c>
      <c r="H1766" s="1" t="str">
        <f ca="1">IFERROR(__xludf.DUMMYFUNCTION("""COMPUTED_VALUE"""),"No")</f>
        <v>No</v>
      </c>
      <c r="I1766" s="1" t="str">
        <f ca="1">IFERROR(__xludf.DUMMYFUNCTION("""COMPUTED_VALUE"""),"Will NOT work for them")</f>
        <v>Will NOT work for them</v>
      </c>
      <c r="J1766" s="1">
        <f ca="1">IFERROR(__xludf.DUMMYFUNCTION("""COMPUTED_VALUE"""),1)</f>
        <v>1</v>
      </c>
      <c r="K1766" s="1" t="str">
        <f ca="1">IFERROR(__xludf.DUMMYFUNCTION("""COMPUTED_VALUE"""),"Fully Remote with Options to travel as and when needed")</f>
        <v>Fully Remote with Options to travel as and when needed</v>
      </c>
      <c r="L1766" s="1" t="str">
        <f ca="1">IFERROR(__xludf.DUMMYFUNCTION("""COMPUTED_VALUE"""),"Employer who appreciates learning and enables that environment")</f>
        <v>Employer who appreciates learning and enables that environment</v>
      </c>
      <c r="M176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66"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766" s="1" t="str">
        <f ca="1">IFERROR(__xludf.DUMMYFUNCTION("""COMPUTED_VALUE"""),"Manager who explains what is expected, sets a goal and helps achieve it")</f>
        <v>Manager who explains what is expected, sets a goal and helps achieve it</v>
      </c>
      <c r="P1766" s="1" t="str">
        <f ca="1">IFERROR(__xludf.DUMMYFUNCTION("""COMPUTED_VALUE"""),"Work with more than 10 people in my team")</f>
        <v>Work with more than 10 people in my team</v>
      </c>
      <c r="Q1766" s="1"/>
    </row>
    <row r="1767" spans="1:17" ht="13.2" x14ac:dyDescent="0.25">
      <c r="A1767" s="2">
        <f ca="1">IFERROR(__xludf.DUMMYFUNCTION("""COMPUTED_VALUE"""),45048.892508125)</f>
        <v>45048.892508124998</v>
      </c>
      <c r="B1767" s="1" t="str">
        <f ca="1">IFERROR(__xludf.DUMMYFUNCTION("""COMPUTED_VALUE"""),"India")</f>
        <v>India</v>
      </c>
      <c r="C1767" s="1">
        <f ca="1">IFERROR(__xludf.DUMMYFUNCTION("""COMPUTED_VALUE"""),560027)</f>
        <v>560027</v>
      </c>
      <c r="D1767" s="3" t="str">
        <f ca="1">IFERROR(__xludf.DUMMYFUNCTION("""COMPUTED_VALUE"""),"Female")</f>
        <v>Female</v>
      </c>
      <c r="E1767" s="1" t="str">
        <f ca="1">IFERROR(__xludf.DUMMYFUNCTION("""COMPUTED_VALUE"""),"People who have changed the world for better")</f>
        <v>People who have changed the world for better</v>
      </c>
      <c r="F1767" s="1" t="str">
        <f ca="1">IFERROR(__xludf.DUMMYFUNCTION("""COMPUTED_VALUE"""),"Yes, I will earn and do that")</f>
        <v>Yes, I will earn and do that</v>
      </c>
      <c r="G1767" s="1" t="str">
        <f ca="1">IFERROR(__xludf.DUMMYFUNCTION("""COMPUTED_VALUE"""),"This will be hard to do, but if it is the right company I would try")</f>
        <v>This will be hard to do, but if it is the right company I would try</v>
      </c>
      <c r="H1767" s="1" t="str">
        <f ca="1">IFERROR(__xludf.DUMMYFUNCTION("""COMPUTED_VALUE"""),"Yes")</f>
        <v>Yes</v>
      </c>
      <c r="I1767" s="1" t="str">
        <f ca="1">IFERROR(__xludf.DUMMYFUNCTION("""COMPUTED_VALUE"""),"Will NOT work for them")</f>
        <v>Will NOT work for them</v>
      </c>
      <c r="J1767" s="1">
        <f ca="1">IFERROR(__xludf.DUMMYFUNCTION("""COMPUTED_VALUE"""),5)</f>
        <v>5</v>
      </c>
      <c r="K1767" s="1" t="str">
        <f ca="1">IFERROR(__xludf.DUMMYFUNCTION("""COMPUTED_VALUE"""),"Hybrid Working Environment with less than 3 days a month at office")</f>
        <v>Hybrid Working Environment with less than 3 days a month at office</v>
      </c>
      <c r="L1767" s="1" t="str">
        <f ca="1">IFERROR(__xludf.DUMMYFUNCTION("""COMPUTED_VALUE"""),"Employer who pushes your limits by enabling an learning environment, and rewards you at the end")</f>
        <v>Employer who pushes your limits by enabling an learning environment, and rewards you at the end</v>
      </c>
      <c r="M176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67"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767" s="1" t="str">
        <f ca="1">IFERROR(__xludf.DUMMYFUNCTION("""COMPUTED_VALUE"""),"Manager who sets goal and helps me achieve it")</f>
        <v>Manager who sets goal and helps me achieve it</v>
      </c>
      <c r="P1767" s="1" t="str">
        <f ca="1">IFERROR(__xludf.DUMMYFUNCTION("""COMPUTED_VALUE"""),"Work with 2 to 3 people in my team")</f>
        <v>Work with 2 to 3 people in my team</v>
      </c>
      <c r="Q1767" s="1"/>
    </row>
    <row r="1768" spans="1:17" ht="13.2" x14ac:dyDescent="0.25">
      <c r="A1768" s="2">
        <f ca="1">IFERROR(__xludf.DUMMYFUNCTION("""COMPUTED_VALUE"""),45048.8934179166)</f>
        <v>45048.893417916603</v>
      </c>
      <c r="B1768" s="1" t="str">
        <f ca="1">IFERROR(__xludf.DUMMYFUNCTION("""COMPUTED_VALUE"""),"India")</f>
        <v>India</v>
      </c>
      <c r="C1768" s="1">
        <f ca="1">IFERROR(__xludf.DUMMYFUNCTION("""COMPUTED_VALUE"""),560036)</f>
        <v>560036</v>
      </c>
      <c r="D1768" s="3" t="str">
        <f ca="1">IFERROR(__xludf.DUMMYFUNCTION("""COMPUTED_VALUE"""),"Female")</f>
        <v>Female</v>
      </c>
      <c r="E1768" s="1" t="str">
        <f ca="1">IFERROR(__xludf.DUMMYFUNCTION("""COMPUTED_VALUE"""),"People who have changed the world for better")</f>
        <v>People who have changed the world for better</v>
      </c>
      <c r="F1768" s="1" t="str">
        <f ca="1">IFERROR(__xludf.DUMMYFUNCTION("""COMPUTED_VALUE"""),"Yes, I will earn and do that")</f>
        <v>Yes, I will earn and do that</v>
      </c>
      <c r="G1768" s="1" t="str">
        <f ca="1">IFERROR(__xludf.DUMMYFUNCTION("""COMPUTED_VALUE"""),"This will be hard to do, but if it is the right company I would try")</f>
        <v>This will be hard to do, but if it is the right company I would try</v>
      </c>
      <c r="H1768" s="1" t="str">
        <f ca="1">IFERROR(__xludf.DUMMYFUNCTION("""COMPUTED_VALUE"""),"No")</f>
        <v>No</v>
      </c>
      <c r="I1768" s="1" t="str">
        <f ca="1">IFERROR(__xludf.DUMMYFUNCTION("""COMPUTED_VALUE"""),"Will NOT work for them")</f>
        <v>Will NOT work for them</v>
      </c>
      <c r="J1768" s="1">
        <f ca="1">IFERROR(__xludf.DUMMYFUNCTION("""COMPUTED_VALUE"""),7)</f>
        <v>7</v>
      </c>
      <c r="K1768" s="1" t="str">
        <f ca="1">IFERROR(__xludf.DUMMYFUNCTION("""COMPUTED_VALUE"""),"Fully Remote with Options to travel as and when needed")</f>
        <v>Fully Remote with Options to travel as and when needed</v>
      </c>
      <c r="L1768" s="1" t="str">
        <f ca="1">IFERROR(__xludf.DUMMYFUNCTION("""COMPUTED_VALUE"""),"Employer who pushes your limits by enabling an learning environment, and rewards you at the end")</f>
        <v>Employer who pushes your limits by enabling an learning environment, and rewards you at the end</v>
      </c>
      <c r="M17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68"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1768" s="1" t="str">
        <f ca="1">IFERROR(__xludf.DUMMYFUNCTION("""COMPUTED_VALUE"""),"Manager who explains what is expected, sets a goal and helps achieve it")</f>
        <v>Manager who explains what is expected, sets a goal and helps achieve it</v>
      </c>
      <c r="P1768" s="1" t="str">
        <f ca="1">IFERROR(__xludf.DUMMYFUNCTION("""COMPUTED_VALUE"""),"Work with 5 to 6 people in my team")</f>
        <v>Work with 5 to 6 people in my team</v>
      </c>
      <c r="Q1768" s="1"/>
    </row>
    <row r="1769" spans="1:17" ht="13.2" x14ac:dyDescent="0.25">
      <c r="A1769" s="2">
        <f ca="1">IFERROR(__xludf.DUMMYFUNCTION("""COMPUTED_VALUE"""),45048.8935598495)</f>
        <v>45048.893559849501</v>
      </c>
      <c r="B1769" s="1" t="str">
        <f ca="1">IFERROR(__xludf.DUMMYFUNCTION("""COMPUTED_VALUE"""),"India")</f>
        <v>India</v>
      </c>
      <c r="C1769" s="1">
        <f ca="1">IFERROR(__xludf.DUMMYFUNCTION("""COMPUTED_VALUE"""),560029)</f>
        <v>560029</v>
      </c>
      <c r="D1769" s="3" t="str">
        <f ca="1">IFERROR(__xludf.DUMMYFUNCTION("""COMPUTED_VALUE"""),"Female")</f>
        <v>Female</v>
      </c>
      <c r="E1769" s="1" t="str">
        <f ca="1">IFERROR(__xludf.DUMMYFUNCTION("""COMPUTED_VALUE"""),"Influencers who had successful careers")</f>
        <v>Influencers who had successful careers</v>
      </c>
      <c r="F1769" s="1" t="str">
        <f ca="1">IFERROR(__xludf.DUMMYFUNCTION("""COMPUTED_VALUE"""),"Yes, I will earn and do that")</f>
        <v>Yes, I will earn and do that</v>
      </c>
      <c r="G1769" s="1" t="str">
        <f ca="1">IFERROR(__xludf.DUMMYFUNCTION("""COMPUTED_VALUE"""),"This will be hard to do, but if it is the right company I would try")</f>
        <v>This will be hard to do, but if it is the right company I would try</v>
      </c>
      <c r="H1769" s="1" t="str">
        <f ca="1">IFERROR(__xludf.DUMMYFUNCTION("""COMPUTED_VALUE"""),"No")</f>
        <v>No</v>
      </c>
      <c r="I1769" s="1" t="str">
        <f ca="1">IFERROR(__xludf.DUMMYFUNCTION("""COMPUTED_VALUE"""),"Will NOT work for them")</f>
        <v>Will NOT work for them</v>
      </c>
      <c r="J1769" s="1">
        <f ca="1">IFERROR(__xludf.DUMMYFUNCTION("""COMPUTED_VALUE"""),5)</f>
        <v>5</v>
      </c>
      <c r="K1769" s="1" t="str">
        <f ca="1">IFERROR(__xludf.DUMMYFUNCTION("""COMPUTED_VALUE"""),"Hybrid Working Environment with more than 15 days a month at office")</f>
        <v>Hybrid Working Environment with more than 15 days a month at office</v>
      </c>
      <c r="L1769" s="1" t="str">
        <f ca="1">IFERROR(__xludf.DUMMYFUNCTION("""COMPUTED_VALUE"""),"Employer who appreciates learning and enables that environment")</f>
        <v>Employer who appreciates learning and enables that environment</v>
      </c>
      <c r="M176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69"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769" s="1" t="str">
        <f ca="1">IFERROR(__xludf.DUMMYFUNCTION("""COMPUTED_VALUE"""),"Manager who explains what is expected, sets a goal and helps achieve it")</f>
        <v>Manager who explains what is expected, sets a goal and helps achieve it</v>
      </c>
      <c r="P1769" s="1" t="str">
        <f ca="1">IFERROR(__xludf.DUMMYFUNCTION("""COMPUTED_VALUE"""),"Work alone, Work with 2 to 3 people in my team")</f>
        <v>Work alone, Work with 2 to 3 people in my team</v>
      </c>
      <c r="Q1769" s="1"/>
    </row>
    <row r="1770" spans="1:17" ht="13.2" x14ac:dyDescent="0.25">
      <c r="A1770" s="2">
        <f ca="1">IFERROR(__xludf.DUMMYFUNCTION("""COMPUTED_VALUE"""),45048.8946371412)</f>
        <v>45048.894637141202</v>
      </c>
      <c r="B1770" s="1" t="str">
        <f ca="1">IFERROR(__xludf.DUMMYFUNCTION("""COMPUTED_VALUE"""),"India")</f>
        <v>India</v>
      </c>
      <c r="C1770" s="1">
        <f ca="1">IFERROR(__xludf.DUMMYFUNCTION("""COMPUTED_VALUE"""),795142)</f>
        <v>795142</v>
      </c>
      <c r="D1770" s="3" t="str">
        <f ca="1">IFERROR(__xludf.DUMMYFUNCTION("""COMPUTED_VALUE"""),"Male")</f>
        <v>Male</v>
      </c>
      <c r="E1770" s="1" t="str">
        <f ca="1">IFERROR(__xludf.DUMMYFUNCTION("""COMPUTED_VALUE"""),"My Parents")</f>
        <v>My Parents</v>
      </c>
      <c r="F1770" s="1" t="str">
        <f ca="1">IFERROR(__xludf.DUMMYFUNCTION("""COMPUTED_VALUE"""),"Yes, I will earn and do that")</f>
        <v>Yes, I will earn and do that</v>
      </c>
      <c r="G1770" s="1" t="str">
        <f ca="1">IFERROR(__xludf.DUMMYFUNCTION("""COMPUTED_VALUE"""),"This will be hard to do, but if it is the right company I would try")</f>
        <v>This will be hard to do, but if it is the right company I would try</v>
      </c>
      <c r="H1770" s="1" t="str">
        <f ca="1">IFERROR(__xludf.DUMMYFUNCTION("""COMPUTED_VALUE"""),"No")</f>
        <v>No</v>
      </c>
      <c r="I1770" s="1" t="str">
        <f ca="1">IFERROR(__xludf.DUMMYFUNCTION("""COMPUTED_VALUE"""),"Will work for them")</f>
        <v>Will work for them</v>
      </c>
      <c r="J1770" s="1">
        <f ca="1">IFERROR(__xludf.DUMMYFUNCTION("""COMPUTED_VALUE"""),3)</f>
        <v>3</v>
      </c>
      <c r="K1770" s="1" t="str">
        <f ca="1">IFERROR(__xludf.DUMMYFUNCTION("""COMPUTED_VALUE"""),"Hybrid Working Environment with more than 15 days a month at office")</f>
        <v>Hybrid Working Environment with more than 15 days a month at office</v>
      </c>
      <c r="L1770" s="1" t="str">
        <f ca="1">IFERROR(__xludf.DUMMYFUNCTION("""COMPUTED_VALUE"""),"Employer who appreciates learning and enables that environment")</f>
        <v>Employer who appreciates learning and enables that environment</v>
      </c>
      <c r="M1770" s="1" t="str">
        <f ca="1">IFERROR(__xludf.DUMMYFUNCTION("""COMPUTED_VALUE"""),"Instructor or Expert Learning Programs, Learning by observing others, Manager Teaching you")</f>
        <v>Instructor or Expert Learning Programs, Learning by observing others, Manager Teaching you</v>
      </c>
      <c r="N1770"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1770" s="1" t="str">
        <f ca="1">IFERROR(__xludf.DUMMYFUNCTION("""COMPUTED_VALUE"""),"Manager who explains what is expected, sets a goal and helps achieve it")</f>
        <v>Manager who explains what is expected, sets a goal and helps achieve it</v>
      </c>
      <c r="P1770" s="1" t="str">
        <f ca="1">IFERROR(__xludf.DUMMYFUNCTION("""COMPUTED_VALUE"""),"Work with 5 to 6 people in my team, Work with more than 10 people in my team")</f>
        <v>Work with 5 to 6 people in my team, Work with more than 10 people in my team</v>
      </c>
      <c r="Q1770" s="1"/>
    </row>
    <row r="1771" spans="1:17" ht="13.2" x14ac:dyDescent="0.25">
      <c r="A1771" s="2">
        <f ca="1">IFERROR(__xludf.DUMMYFUNCTION("""COMPUTED_VALUE"""),45048.898641875)</f>
        <v>45048.898641874999</v>
      </c>
      <c r="B1771" s="1" t="str">
        <f ca="1">IFERROR(__xludf.DUMMYFUNCTION("""COMPUTED_VALUE"""),"India")</f>
        <v>India</v>
      </c>
      <c r="C1771" s="1" t="str">
        <f ca="1">IFERROR(__xludf.DUMMYFUNCTION("""COMPUTED_VALUE"""),"+91")</f>
        <v>+91</v>
      </c>
      <c r="D1771" s="3" t="str">
        <f ca="1">IFERROR(__xludf.DUMMYFUNCTION("""COMPUTED_VALUE"""),"Male")</f>
        <v>Male</v>
      </c>
      <c r="E1771" s="1" t="str">
        <f ca="1">IFERROR(__xludf.DUMMYFUNCTION("""COMPUTED_VALUE"""),"My Parents")</f>
        <v>My Parents</v>
      </c>
      <c r="F1771" s="1" t="str">
        <f ca="1">IFERROR(__xludf.DUMMYFUNCTION("""COMPUTED_VALUE"""),"Yes, I will earn and do that")</f>
        <v>Yes, I will earn and do that</v>
      </c>
      <c r="G1771" s="1" t="str">
        <f ca="1">IFERROR(__xludf.DUMMYFUNCTION("""COMPUTED_VALUE"""),"Will work for 3 years or more")</f>
        <v>Will work for 3 years or more</v>
      </c>
      <c r="H1771" s="1" t="str">
        <f ca="1">IFERROR(__xludf.DUMMYFUNCTION("""COMPUTED_VALUE"""),"No")</f>
        <v>No</v>
      </c>
      <c r="I1771" s="1" t="str">
        <f ca="1">IFERROR(__xludf.DUMMYFUNCTION("""COMPUTED_VALUE"""),"Will NOT work for them")</f>
        <v>Will NOT work for them</v>
      </c>
      <c r="J1771" s="1">
        <f ca="1">IFERROR(__xludf.DUMMYFUNCTION("""COMPUTED_VALUE"""),8)</f>
        <v>8</v>
      </c>
      <c r="K1771" s="1" t="str">
        <f ca="1">IFERROR(__xludf.DUMMYFUNCTION("""COMPUTED_VALUE"""),"Fully Remote with Options to travel as and when needed")</f>
        <v>Fully Remote with Options to travel as and when needed</v>
      </c>
      <c r="L1771" s="1" t="str">
        <f ca="1">IFERROR(__xludf.DUMMYFUNCTION("""COMPUTED_VALUE"""),"Employer who pushes your limits by enabling an learning environment, and rewards you at the end")</f>
        <v>Employer who pushes your limits by enabling an learning environment, and rewards you at the end</v>
      </c>
      <c r="M177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71" s="1" t="str">
        <f ca="1">IFERROR(__xludf.DUMMYFUNCTION("""COMPUTED_VALUE"""),"Design and Creative strategy in any company, Business Operations in any organization, Manage and drive End-to-End Projects or Products, An Artificial Intelligence Specialist / Talking to Robots")</f>
        <v>Design and Creative strategy in any company, Business Operations in any organization, Manage and drive End-to-End Projects or Products, An Artificial Intelligence Specialist / Talking to Robots</v>
      </c>
      <c r="O1771" s="1" t="str">
        <f ca="1">IFERROR(__xludf.DUMMYFUNCTION("""COMPUTED_VALUE"""),"Manager who explains what is expected, sets a goal and helps achieve it")</f>
        <v>Manager who explains what is expected, sets a goal and helps achieve it</v>
      </c>
      <c r="P1771" s="1" t="str">
        <f ca="1">IFERROR(__xludf.DUMMYFUNCTION("""COMPUTED_VALUE"""),"Work with 5 to 6 people in my team")</f>
        <v>Work with 5 to 6 people in my team</v>
      </c>
      <c r="Q1771" s="1"/>
    </row>
    <row r="1772" spans="1:17" ht="13.2" x14ac:dyDescent="0.25">
      <c r="A1772" s="2">
        <f ca="1">IFERROR(__xludf.DUMMYFUNCTION("""COMPUTED_VALUE"""),45048.9106602083)</f>
        <v>45048.910660208297</v>
      </c>
      <c r="B1772" s="1" t="str">
        <f ca="1">IFERROR(__xludf.DUMMYFUNCTION("""COMPUTED_VALUE"""),"India")</f>
        <v>India</v>
      </c>
      <c r="C1772" s="1">
        <f ca="1">IFERROR(__xludf.DUMMYFUNCTION("""COMPUTED_VALUE"""),571434)</f>
        <v>571434</v>
      </c>
      <c r="D1772" s="3" t="str">
        <f ca="1">IFERROR(__xludf.DUMMYFUNCTION("""COMPUTED_VALUE"""),"Male")</f>
        <v>Male</v>
      </c>
      <c r="E1772" s="1" t="str">
        <f ca="1">IFERROR(__xludf.DUMMYFUNCTION("""COMPUTED_VALUE"""),"My Parents")</f>
        <v>My Parents</v>
      </c>
      <c r="F1772" s="1" t="str">
        <f ca="1">IFERROR(__xludf.DUMMYFUNCTION("""COMPUTED_VALUE"""),"No, But if someone could bare the cost I will")</f>
        <v>No, But if someone could bare the cost I will</v>
      </c>
      <c r="G1772" s="1" t="str">
        <f ca="1">IFERROR(__xludf.DUMMYFUNCTION("""COMPUTED_VALUE"""),"This will be hard to do, but if it is the right company I would try")</f>
        <v>This will be hard to do, but if it is the right company I would try</v>
      </c>
      <c r="H1772" s="1" t="str">
        <f ca="1">IFERROR(__xludf.DUMMYFUNCTION("""COMPUTED_VALUE"""),"Yes")</f>
        <v>Yes</v>
      </c>
      <c r="I1772" s="1" t="str">
        <f ca="1">IFERROR(__xludf.DUMMYFUNCTION("""COMPUTED_VALUE"""),"Will NOT work for them")</f>
        <v>Will NOT work for them</v>
      </c>
      <c r="J1772" s="1">
        <f ca="1">IFERROR(__xludf.DUMMYFUNCTION("""COMPUTED_VALUE"""),3)</f>
        <v>3</v>
      </c>
      <c r="K1772" s="1" t="str">
        <f ca="1">IFERROR(__xludf.DUMMYFUNCTION("""COMPUTED_VALUE"""),"Fully Remote with No option to visit offices")</f>
        <v>Fully Remote with No option to visit offices</v>
      </c>
      <c r="L1772" s="1" t="str">
        <f ca="1">IFERROR(__xludf.DUMMYFUNCTION("""COMPUTED_VALUE"""),"Employer who pushes your limits by enabling an learning environment, and rewards you at the end")</f>
        <v>Employer who pushes your limits by enabling an learning environment, and rewards you at the end</v>
      </c>
      <c r="M177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7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772" s="1" t="str">
        <f ca="1">IFERROR(__xludf.DUMMYFUNCTION("""COMPUTED_VALUE"""),"Manager who explains what is expected, sets a goal and helps achieve it")</f>
        <v>Manager who explains what is expected, sets a goal and helps achieve it</v>
      </c>
      <c r="P1772" s="1" t="str">
        <f ca="1">IFERROR(__xludf.DUMMYFUNCTION("""COMPUTED_VALUE"""),"Work with 2 to 3 people in my team, Work with more than 10 people in my team")</f>
        <v>Work with 2 to 3 people in my team, Work with more than 10 people in my team</v>
      </c>
      <c r="Q1772" s="1"/>
    </row>
    <row r="1773" spans="1:17" ht="13.2" x14ac:dyDescent="0.25">
      <c r="A1773" s="2">
        <f ca="1">IFERROR(__xludf.DUMMYFUNCTION("""COMPUTED_VALUE"""),45048.9430903587)</f>
        <v>45048.943090358698</v>
      </c>
      <c r="B1773" s="1" t="str">
        <f ca="1">IFERROR(__xludf.DUMMYFUNCTION("""COMPUTED_VALUE"""),"India")</f>
        <v>India</v>
      </c>
      <c r="C1773" s="1">
        <f ca="1">IFERROR(__xludf.DUMMYFUNCTION("""COMPUTED_VALUE"""),560078)</f>
        <v>560078</v>
      </c>
      <c r="D1773" s="3" t="str">
        <f ca="1">IFERROR(__xludf.DUMMYFUNCTION("""COMPUTED_VALUE"""),"Female")</f>
        <v>Female</v>
      </c>
      <c r="E1773" s="1" t="str">
        <f ca="1">IFERROR(__xludf.DUMMYFUNCTION("""COMPUTED_VALUE"""),"People who have changed the world for better")</f>
        <v>People who have changed the world for better</v>
      </c>
      <c r="F1773" s="1" t="str">
        <f ca="1">IFERROR(__xludf.DUMMYFUNCTION("""COMPUTED_VALUE"""),"No I would not be pursuing Higher Education outside of India")</f>
        <v>No I would not be pursuing Higher Education outside of India</v>
      </c>
      <c r="G1773" s="1" t="str">
        <f ca="1">IFERROR(__xludf.DUMMYFUNCTION("""COMPUTED_VALUE"""),"Will work for 3 years or more")</f>
        <v>Will work for 3 years or more</v>
      </c>
      <c r="H1773" s="1" t="str">
        <f ca="1">IFERROR(__xludf.DUMMYFUNCTION("""COMPUTED_VALUE"""),"No")</f>
        <v>No</v>
      </c>
      <c r="I1773" s="1" t="str">
        <f ca="1">IFERROR(__xludf.DUMMYFUNCTION("""COMPUTED_VALUE"""),"Will work for them")</f>
        <v>Will work for them</v>
      </c>
      <c r="J1773" s="1">
        <f ca="1">IFERROR(__xludf.DUMMYFUNCTION("""COMPUTED_VALUE"""),4)</f>
        <v>4</v>
      </c>
      <c r="K1773" s="1" t="str">
        <f ca="1">IFERROR(__xludf.DUMMYFUNCTION("""COMPUTED_VALUE"""),"Hybrid Working Environment with more than 15 days a month at office")</f>
        <v>Hybrid Working Environment with more than 15 days a month at office</v>
      </c>
      <c r="L1773" s="1" t="str">
        <f ca="1">IFERROR(__xludf.DUMMYFUNCTION("""COMPUTED_VALUE"""),"Employer who pushes your limits by enabling an learning environment, and rewards you at the end")</f>
        <v>Employer who pushes your limits by enabling an learning environment, and rewards you at the end</v>
      </c>
      <c r="M177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7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773" s="1" t="str">
        <f ca="1">IFERROR(__xludf.DUMMYFUNCTION("""COMPUTED_VALUE"""),"Manager who clearly describes what she/he needs")</f>
        <v>Manager who clearly describes what she/he needs</v>
      </c>
      <c r="P1773" s="1" t="str">
        <f ca="1">IFERROR(__xludf.DUMMYFUNCTION("""COMPUTED_VALUE"""),"Work with 7 to 10 or more people in my team")</f>
        <v>Work with 7 to 10 or more people in my team</v>
      </c>
      <c r="Q1773" s="1"/>
    </row>
    <row r="1774" spans="1:17" ht="13.2" x14ac:dyDescent="0.25">
      <c r="A1774" s="2">
        <f ca="1">IFERROR(__xludf.DUMMYFUNCTION("""COMPUTED_VALUE"""),45048.9447072106)</f>
        <v>45048.944707210598</v>
      </c>
      <c r="B1774" s="1" t="str">
        <f ca="1">IFERROR(__xludf.DUMMYFUNCTION("""COMPUTED_VALUE"""),"India")</f>
        <v>India</v>
      </c>
      <c r="C1774" s="1">
        <f ca="1">IFERROR(__xludf.DUMMYFUNCTION("""COMPUTED_VALUE"""),560036)</f>
        <v>560036</v>
      </c>
      <c r="D1774" s="3" t="str">
        <f ca="1">IFERROR(__xludf.DUMMYFUNCTION("""COMPUTED_VALUE"""),"Female")</f>
        <v>Female</v>
      </c>
      <c r="E1774" s="1" t="str">
        <f ca="1">IFERROR(__xludf.DUMMYFUNCTION("""COMPUTED_VALUE"""),"People from my circle, but not family members")</f>
        <v>People from my circle, but not family members</v>
      </c>
      <c r="F1774" s="1" t="str">
        <f ca="1">IFERROR(__xludf.DUMMYFUNCTION("""COMPUTED_VALUE"""),"No I would not be pursuing Higher Education outside of India")</f>
        <v>No I would not be pursuing Higher Education outside of India</v>
      </c>
      <c r="G1774" s="1" t="str">
        <f ca="1">IFERROR(__xludf.DUMMYFUNCTION("""COMPUTED_VALUE"""),"Will work for 3 years or more")</f>
        <v>Will work for 3 years or more</v>
      </c>
      <c r="H1774" s="1" t="str">
        <f ca="1">IFERROR(__xludf.DUMMYFUNCTION("""COMPUTED_VALUE"""),"No")</f>
        <v>No</v>
      </c>
      <c r="I1774" s="1" t="str">
        <f ca="1">IFERROR(__xludf.DUMMYFUNCTION("""COMPUTED_VALUE"""),"Will NOT work for them")</f>
        <v>Will NOT work for them</v>
      </c>
      <c r="J1774" s="1">
        <f ca="1">IFERROR(__xludf.DUMMYFUNCTION("""COMPUTED_VALUE"""),4)</f>
        <v>4</v>
      </c>
      <c r="K1774" s="1" t="str">
        <f ca="1">IFERROR(__xludf.DUMMYFUNCTION("""COMPUTED_VALUE"""),"Fully Remote with Options to travel as and when needed")</f>
        <v>Fully Remote with Options to travel as and when needed</v>
      </c>
      <c r="L1774" s="1" t="str">
        <f ca="1">IFERROR(__xludf.DUMMYFUNCTION("""COMPUTED_VALUE"""),"Employer who rewards learning and enables that environment")</f>
        <v>Employer who rewards learning and enables that environment</v>
      </c>
      <c r="M1774" s="1" t="str">
        <f ca="1">IFERROR(__xludf.DUMMYFUNCTION("""COMPUTED_VALUE"""),"Self Paced Learning Portals of the Company, Learning by observing others, Manager Teaching you")</f>
        <v>Self Paced Learning Portals of the Company, Learning by observing others, Manager Teaching you</v>
      </c>
      <c r="N1774" s="1" t="str">
        <f ca="1">IFERROR(__xludf.DUMMYFUNCTION("""COMPUTED_VALUE"""),"Teaching in any of the institutes/colleges/online or offline, Business Operations in any organization, Manage and drive End-to-End Projects or Products, Work in a BPO setup for some well known client")</f>
        <v>Teaching in any of the institutes/colleges/online or offline, Business Operations in any organization, Manage and drive End-to-End Projects or Products, Work in a BPO setup for some well known client</v>
      </c>
      <c r="O1774" s="1" t="str">
        <f ca="1">IFERROR(__xludf.DUMMYFUNCTION("""COMPUTED_VALUE"""),"Manager who explains what is expected, sets a goal and helps achieve it")</f>
        <v>Manager who explains what is expected, sets a goal and helps achieve it</v>
      </c>
      <c r="P1774" s="1" t="str">
        <f ca="1">IFERROR(__xludf.DUMMYFUNCTION("""COMPUTED_VALUE"""),"Work alone, Work with more than 10 people in my team")</f>
        <v>Work alone, Work with more than 10 people in my team</v>
      </c>
      <c r="Q1774" s="1"/>
    </row>
    <row r="1775" spans="1:17" ht="13.2" x14ac:dyDescent="0.25">
      <c r="A1775" s="2">
        <f ca="1">IFERROR(__xludf.DUMMYFUNCTION("""COMPUTED_VALUE"""),45048.95980978)</f>
        <v>45048.959809779997</v>
      </c>
      <c r="B1775" s="1" t="str">
        <f ca="1">IFERROR(__xludf.DUMMYFUNCTION("""COMPUTED_VALUE"""),"India")</f>
        <v>India</v>
      </c>
      <c r="C1775" s="1">
        <f ca="1">IFERROR(__xludf.DUMMYFUNCTION("""COMPUTED_VALUE"""),793006)</f>
        <v>793006</v>
      </c>
      <c r="D1775" s="3" t="str">
        <f ca="1">IFERROR(__xludf.DUMMYFUNCTION("""COMPUTED_VALUE"""),"Female")</f>
        <v>Female</v>
      </c>
      <c r="E1775" s="1" t="str">
        <f ca="1">IFERROR(__xludf.DUMMYFUNCTION("""COMPUTED_VALUE"""),"My Parents")</f>
        <v>My Parents</v>
      </c>
      <c r="F1775" s="1" t="str">
        <f ca="1">IFERROR(__xludf.DUMMYFUNCTION("""COMPUTED_VALUE"""),"No, But if someone could bare the cost I will")</f>
        <v>No, But if someone could bare the cost I will</v>
      </c>
      <c r="G1775" s="1" t="str">
        <f ca="1">IFERROR(__xludf.DUMMYFUNCTION("""COMPUTED_VALUE"""),"This will be hard to do, but if it is the right company I would try")</f>
        <v>This will be hard to do, but if it is the right company I would try</v>
      </c>
      <c r="H1775" s="1" t="str">
        <f ca="1">IFERROR(__xludf.DUMMYFUNCTION("""COMPUTED_VALUE"""),"No")</f>
        <v>No</v>
      </c>
      <c r="I1775" s="1" t="str">
        <f ca="1">IFERROR(__xludf.DUMMYFUNCTION("""COMPUTED_VALUE"""),"Will NOT work for them")</f>
        <v>Will NOT work for them</v>
      </c>
      <c r="J1775" s="1">
        <f ca="1">IFERROR(__xludf.DUMMYFUNCTION("""COMPUTED_VALUE"""),8)</f>
        <v>8</v>
      </c>
      <c r="K1775" s="1" t="str">
        <f ca="1">IFERROR(__xludf.DUMMYFUNCTION("""COMPUTED_VALUE"""),"Fully Remote with Options to travel as and when needed")</f>
        <v>Fully Remote with Options to travel as and when needed</v>
      </c>
      <c r="L1775" s="1" t="str">
        <f ca="1">IFERROR(__xludf.DUMMYFUNCTION("""COMPUTED_VALUE"""),"Employer who pushes your limits by enabling an learning environment, and rewards you at the end")</f>
        <v>Employer who pushes your limits by enabling an learning environment, and rewards you at the end</v>
      </c>
      <c r="M177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75" s="1" t="str">
        <f ca="1">IFERROR(__xludf.DUMMYFUNCTION("""COMPUTED_VALUE"""),"Business Operations in any organization, Work in a BPO setup for some well known client, Entrepreneur or Start Up, Manufacturing / Oil and Gas/ Construction / Hard Physical Work related")</f>
        <v>Business Operations in any organization, Work in a BPO setup for some well known client, Entrepreneur or Start Up, Manufacturing / Oil and Gas/ Construction / Hard Physical Work related</v>
      </c>
      <c r="O1775" s="1" t="str">
        <f ca="1">IFERROR(__xludf.DUMMYFUNCTION("""COMPUTED_VALUE"""),"Manager who clearly describes what she/he needs")</f>
        <v>Manager who clearly describes what she/he needs</v>
      </c>
      <c r="P1775" s="1" t="str">
        <f ca="1">IFERROR(__xludf.DUMMYFUNCTION("""COMPUTED_VALUE"""),"Work alone, Work with 2 to 3 people in my team")</f>
        <v>Work alone, Work with 2 to 3 people in my team</v>
      </c>
      <c r="Q1775" s="1"/>
    </row>
    <row r="1776" spans="1:17" ht="13.2" x14ac:dyDescent="0.25">
      <c r="A1776" s="2">
        <f ca="1">IFERROR(__xludf.DUMMYFUNCTION("""COMPUTED_VALUE"""),45048.9712058449)</f>
        <v>45048.9712058449</v>
      </c>
      <c r="B1776" s="1" t="str">
        <f ca="1">IFERROR(__xludf.DUMMYFUNCTION("""COMPUTED_VALUE"""),"India")</f>
        <v>India</v>
      </c>
      <c r="C1776" s="1">
        <f ca="1">IFERROR(__xludf.DUMMYFUNCTION("""COMPUTED_VALUE"""),560008)</f>
        <v>560008</v>
      </c>
      <c r="D1776" s="3" t="str">
        <f ca="1">IFERROR(__xludf.DUMMYFUNCTION("""COMPUTED_VALUE"""),"Male")</f>
        <v>Male</v>
      </c>
      <c r="E1776" s="1" t="str">
        <f ca="1">IFERROR(__xludf.DUMMYFUNCTION("""COMPUTED_VALUE"""),"My Parents")</f>
        <v>My Parents</v>
      </c>
      <c r="F1776" s="1" t="str">
        <f ca="1">IFERROR(__xludf.DUMMYFUNCTION("""COMPUTED_VALUE"""),"No I would not be pursuing Higher Education outside of India")</f>
        <v>No I would not be pursuing Higher Education outside of India</v>
      </c>
      <c r="G1776" s="1" t="str">
        <f ca="1">IFERROR(__xludf.DUMMYFUNCTION("""COMPUTED_VALUE"""),"This will be hard to do, but if it is the right company I would try")</f>
        <v>This will be hard to do, but if it is the right company I would try</v>
      </c>
      <c r="H1776" s="1" t="str">
        <f ca="1">IFERROR(__xludf.DUMMYFUNCTION("""COMPUTED_VALUE"""),"No")</f>
        <v>No</v>
      </c>
      <c r="I1776" s="1" t="str">
        <f ca="1">IFERROR(__xludf.DUMMYFUNCTION("""COMPUTED_VALUE"""),"Will NOT work for them")</f>
        <v>Will NOT work for them</v>
      </c>
      <c r="J1776" s="1">
        <f ca="1">IFERROR(__xludf.DUMMYFUNCTION("""COMPUTED_VALUE"""),5)</f>
        <v>5</v>
      </c>
      <c r="K1776" s="1" t="str">
        <f ca="1">IFERROR(__xludf.DUMMYFUNCTION("""COMPUTED_VALUE"""),"Hybrid Working Environment with more than 15 days a month at office")</f>
        <v>Hybrid Working Environment with more than 15 days a month at office</v>
      </c>
      <c r="L1776" s="1" t="str">
        <f ca="1">IFERROR(__xludf.DUMMYFUNCTION("""COMPUTED_VALUE"""),"Employer who appreciates learning and enables that environment")</f>
        <v>Employer who appreciates learning and enables that environment</v>
      </c>
      <c r="M177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76" s="1" t="str">
        <f ca="1">IFERROR(__xludf.DUMMYFUNCTION("""COMPUTED_VALUE"""),"Manage and drive End-to-End Projects or Products, Design and Develop amazing software, Work as a freelancer and do my thing my way, Entrepreneur or Start Up")</f>
        <v>Manage and drive End-to-End Projects or Products, Design and Develop amazing software, Work as a freelancer and do my thing my way, Entrepreneur or Start Up</v>
      </c>
      <c r="O1776" s="1" t="str">
        <f ca="1">IFERROR(__xludf.DUMMYFUNCTION("""COMPUTED_VALUE"""),"Manager who explains what is expected, sets a goal and helps achieve it")</f>
        <v>Manager who explains what is expected, sets a goal and helps achieve it</v>
      </c>
      <c r="P1776" s="1" t="str">
        <f ca="1">IFERROR(__xludf.DUMMYFUNCTION("""COMPUTED_VALUE"""),"Work with more than 10 people in my team")</f>
        <v>Work with more than 10 people in my team</v>
      </c>
      <c r="Q1776" s="1"/>
    </row>
    <row r="1777" spans="1:17" ht="13.2" x14ac:dyDescent="0.25">
      <c r="A1777" s="2">
        <f ca="1">IFERROR(__xludf.DUMMYFUNCTION("""COMPUTED_VALUE"""),45048.9728698842)</f>
        <v>45048.972869884201</v>
      </c>
      <c r="B1777" s="1" t="str">
        <f ca="1">IFERROR(__xludf.DUMMYFUNCTION("""COMPUTED_VALUE"""),"India")</f>
        <v>India</v>
      </c>
      <c r="C1777" s="1">
        <f ca="1">IFERROR(__xludf.DUMMYFUNCTION("""COMPUTED_VALUE"""),560036)</f>
        <v>560036</v>
      </c>
      <c r="D1777" s="3" t="str">
        <f ca="1">IFERROR(__xludf.DUMMYFUNCTION("""COMPUTED_VALUE"""),"Male")</f>
        <v>Male</v>
      </c>
      <c r="E1777" s="1" t="str">
        <f ca="1">IFERROR(__xludf.DUMMYFUNCTION("""COMPUTED_VALUE"""),"People from my circle, but not family members")</f>
        <v>People from my circle, but not family members</v>
      </c>
      <c r="F1777" s="1" t="str">
        <f ca="1">IFERROR(__xludf.DUMMYFUNCTION("""COMPUTED_VALUE"""),"No, But if someone could bare the cost I will")</f>
        <v>No, But if someone could bare the cost I will</v>
      </c>
      <c r="G1777" s="1" t="str">
        <f ca="1">IFERROR(__xludf.DUMMYFUNCTION("""COMPUTED_VALUE"""),"Will work for 3 years or more")</f>
        <v>Will work for 3 years or more</v>
      </c>
      <c r="H1777" s="1" t="str">
        <f ca="1">IFERROR(__xludf.DUMMYFUNCTION("""COMPUTED_VALUE"""),"No")</f>
        <v>No</v>
      </c>
      <c r="I1777" s="1" t="str">
        <f ca="1">IFERROR(__xludf.DUMMYFUNCTION("""COMPUTED_VALUE"""),"Will NOT work for them")</f>
        <v>Will NOT work for them</v>
      </c>
      <c r="J1777" s="1">
        <f ca="1">IFERROR(__xludf.DUMMYFUNCTION("""COMPUTED_VALUE"""),7)</f>
        <v>7</v>
      </c>
      <c r="K1777" s="1" t="str">
        <f ca="1">IFERROR(__xludf.DUMMYFUNCTION("""COMPUTED_VALUE"""),"Hybrid Working Environment with more than 15 days a month at office")</f>
        <v>Hybrid Working Environment with more than 15 days a month at office</v>
      </c>
      <c r="L1777" s="1" t="str">
        <f ca="1">IFERROR(__xludf.DUMMYFUNCTION("""COMPUTED_VALUE"""),"Employer who appreciates learning and enables that environment")</f>
        <v>Employer who appreciates learning and enables that environment</v>
      </c>
      <c r="M177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777"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777" s="1" t="str">
        <f ca="1">IFERROR(__xludf.DUMMYFUNCTION("""COMPUTED_VALUE"""),"Manager who explains what is expected, sets a goal and helps achieve it")</f>
        <v>Manager who explains what is expected, sets a goal and helps achieve it</v>
      </c>
      <c r="P1777" s="1" t="str">
        <f ca="1">IFERROR(__xludf.DUMMYFUNCTION("""COMPUTED_VALUE"""),"Work with 2 to 3 people in my team")</f>
        <v>Work with 2 to 3 people in my team</v>
      </c>
      <c r="Q1777" s="1"/>
    </row>
    <row r="1778" spans="1:17" ht="13.2" x14ac:dyDescent="0.25">
      <c r="A1778" s="2">
        <f ca="1">IFERROR(__xludf.DUMMYFUNCTION("""COMPUTED_VALUE"""),45048.9735739004)</f>
        <v>45048.973573900403</v>
      </c>
      <c r="B1778" s="1" t="str">
        <f ca="1">IFERROR(__xludf.DUMMYFUNCTION("""COMPUTED_VALUE"""),"India")</f>
        <v>India</v>
      </c>
      <c r="C1778" s="1">
        <f ca="1">IFERROR(__xludf.DUMMYFUNCTION("""COMPUTED_VALUE"""),560100)</f>
        <v>560100</v>
      </c>
      <c r="D1778" s="3" t="str">
        <f ca="1">IFERROR(__xludf.DUMMYFUNCTION("""COMPUTED_VALUE"""),"Female")</f>
        <v>Female</v>
      </c>
      <c r="E1778" s="1" t="str">
        <f ca="1">IFERROR(__xludf.DUMMYFUNCTION("""COMPUTED_VALUE"""),"People from my circle, but not family members")</f>
        <v>People from my circle, but not family members</v>
      </c>
      <c r="F1778" s="1" t="str">
        <f ca="1">IFERROR(__xludf.DUMMYFUNCTION("""COMPUTED_VALUE"""),"No I would not be pursuing Higher Education outside of India")</f>
        <v>No I would not be pursuing Higher Education outside of India</v>
      </c>
      <c r="G1778" s="1" t="str">
        <f ca="1">IFERROR(__xludf.DUMMYFUNCTION("""COMPUTED_VALUE"""),"This will be hard to do, but if it is the right company I would try")</f>
        <v>This will be hard to do, but if it is the right company I would try</v>
      </c>
      <c r="H1778" s="1" t="str">
        <f ca="1">IFERROR(__xludf.DUMMYFUNCTION("""COMPUTED_VALUE"""),"No")</f>
        <v>No</v>
      </c>
      <c r="I1778" s="1" t="str">
        <f ca="1">IFERROR(__xludf.DUMMYFUNCTION("""COMPUTED_VALUE"""),"Will work for them")</f>
        <v>Will work for them</v>
      </c>
      <c r="J1778" s="1">
        <f ca="1">IFERROR(__xludf.DUMMYFUNCTION("""COMPUTED_VALUE"""),7)</f>
        <v>7</v>
      </c>
      <c r="K1778" s="1" t="str">
        <f ca="1">IFERROR(__xludf.DUMMYFUNCTION("""COMPUTED_VALUE"""),"Fully Remote with Options to travel as and when needed")</f>
        <v>Fully Remote with Options to travel as and when needed</v>
      </c>
      <c r="L1778" s="1" t="str">
        <f ca="1">IFERROR(__xludf.DUMMYFUNCTION("""COMPUTED_VALUE"""),"Employer who pushes your limits by enabling an learning environment, and rewards you at the end")</f>
        <v>Employer who pushes your limits by enabling an learning environment, and rewards you at the end</v>
      </c>
      <c r="M1778" s="1" t="str">
        <f ca="1">IFERROR(__xludf.DUMMYFUNCTION("""COMPUTED_VALUE"""),"Instructor or Expert Learning Programs, Learning by observing others, Manager Teaching you")</f>
        <v>Instructor or Expert Learning Programs, Learning by observing others, Manager Teaching you</v>
      </c>
      <c r="N1778" s="1" t="str">
        <f ca="1">IFERROR(__xludf.DUMMYFUNCTION("""COMPUTED_VALUE"""),"Manage and drive End-to-End Projects or Products, Build and develop a Team, Look deeply into Data and generate insights, Work in a BPO setup for some well known client")</f>
        <v>Manage and drive End-to-End Projects or Products, Build and develop a Team, Look deeply into Data and generate insights, Work in a BPO setup for some well known client</v>
      </c>
      <c r="O1778" s="1" t="str">
        <f ca="1">IFERROR(__xludf.DUMMYFUNCTION("""COMPUTED_VALUE"""),"Manager who explains what is expected, sets a goal and helps achieve it")</f>
        <v>Manager who explains what is expected, sets a goal and helps achieve it</v>
      </c>
      <c r="P1778" s="1" t="str">
        <f ca="1">IFERROR(__xludf.DUMMYFUNCTION("""COMPUTED_VALUE"""),"Work with 5 to 6 people in my team")</f>
        <v>Work with 5 to 6 people in my team</v>
      </c>
      <c r="Q1778" s="1"/>
    </row>
    <row r="1779" spans="1:17" ht="13.2" x14ac:dyDescent="0.25">
      <c r="A1779" s="2">
        <f ca="1">IFERROR(__xludf.DUMMYFUNCTION("""COMPUTED_VALUE"""),45048.9809280092)</f>
        <v>45048.980928009201</v>
      </c>
      <c r="B1779" s="1" t="str">
        <f ca="1">IFERROR(__xludf.DUMMYFUNCTION("""COMPUTED_VALUE"""),"India")</f>
        <v>India</v>
      </c>
      <c r="C1779" s="1">
        <f ca="1">IFERROR(__xludf.DUMMYFUNCTION("""COMPUTED_VALUE"""),793007)</f>
        <v>793007</v>
      </c>
      <c r="D1779" s="3" t="str">
        <f ca="1">IFERROR(__xludf.DUMMYFUNCTION("""COMPUTED_VALUE"""),"Male")</f>
        <v>Male</v>
      </c>
      <c r="E1779" s="1" t="str">
        <f ca="1">IFERROR(__xludf.DUMMYFUNCTION("""COMPUTED_VALUE"""),"My Parents")</f>
        <v>My Parents</v>
      </c>
      <c r="F1779" s="1" t="str">
        <f ca="1">IFERROR(__xludf.DUMMYFUNCTION("""COMPUTED_VALUE"""),"No I would not be pursuing Higher Education outside of India")</f>
        <v>No I would not be pursuing Higher Education outside of India</v>
      </c>
      <c r="G1779" s="1" t="str">
        <f ca="1">IFERROR(__xludf.DUMMYFUNCTION("""COMPUTED_VALUE"""),"Will work for 3 years or more")</f>
        <v>Will work for 3 years or more</v>
      </c>
      <c r="H1779" s="1" t="str">
        <f ca="1">IFERROR(__xludf.DUMMYFUNCTION("""COMPUTED_VALUE"""),"Yes")</f>
        <v>Yes</v>
      </c>
      <c r="I1779" s="1" t="str">
        <f ca="1">IFERROR(__xludf.DUMMYFUNCTION("""COMPUTED_VALUE"""),"Will work for them")</f>
        <v>Will work for them</v>
      </c>
      <c r="J1779" s="1">
        <f ca="1">IFERROR(__xludf.DUMMYFUNCTION("""COMPUTED_VALUE"""),5)</f>
        <v>5</v>
      </c>
      <c r="K1779" s="1" t="str">
        <f ca="1">IFERROR(__xludf.DUMMYFUNCTION("""COMPUTED_VALUE"""),"Fully Remote with Options to travel as and when needed")</f>
        <v>Fully Remote with Options to travel as and when needed</v>
      </c>
      <c r="L1779" s="1" t="str">
        <f ca="1">IFERROR(__xludf.DUMMYFUNCTION("""COMPUTED_VALUE"""),"Employer who pushes your limits by enabling an learning environment, and rewards you at the end")</f>
        <v>Employer who pushes your limits by enabling an learning environment, and rewards you at the end</v>
      </c>
      <c r="M1779" s="1" t="str">
        <f ca="1">IFERROR(__xludf.DUMMYFUNCTION("""COMPUTED_VALUE"""),"Instructor or Expert Learning Programs, Learning by observing others, Manager Teaching you")</f>
        <v>Instructor or Expert Learning Programs, Learning by observing others, Manager Teaching you</v>
      </c>
      <c r="N1779"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1779" s="1" t="str">
        <f ca="1">IFERROR(__xludf.DUMMYFUNCTION("""COMPUTED_VALUE"""),"Manager who sets goal and helps me achieve it")</f>
        <v>Manager who sets goal and helps me achieve it</v>
      </c>
      <c r="P1779" s="1" t="str">
        <f ca="1">IFERROR(__xludf.DUMMYFUNCTION("""COMPUTED_VALUE"""),"Work alone")</f>
        <v>Work alone</v>
      </c>
      <c r="Q1779" s="1"/>
    </row>
    <row r="1780" spans="1:17" ht="13.2" x14ac:dyDescent="0.25">
      <c r="A1780" s="2">
        <f ca="1">IFERROR(__xludf.DUMMYFUNCTION("""COMPUTED_VALUE"""),45048.9819142592)</f>
        <v>45048.981914259202</v>
      </c>
      <c r="B1780" s="1" t="str">
        <f ca="1">IFERROR(__xludf.DUMMYFUNCTION("""COMPUTED_VALUE"""),"India")</f>
        <v>India</v>
      </c>
      <c r="C1780" s="1">
        <f ca="1">IFERROR(__xludf.DUMMYFUNCTION("""COMPUTED_VALUE"""),500080)</f>
        <v>500080</v>
      </c>
      <c r="D1780" s="3" t="str">
        <f ca="1">IFERROR(__xludf.DUMMYFUNCTION("""COMPUTED_VALUE"""),"Female")</f>
        <v>Female</v>
      </c>
      <c r="E1780" s="1" t="str">
        <f ca="1">IFERROR(__xludf.DUMMYFUNCTION("""COMPUTED_VALUE"""),"My Parents")</f>
        <v>My Parents</v>
      </c>
      <c r="F1780" s="1" t="str">
        <f ca="1">IFERROR(__xludf.DUMMYFUNCTION("""COMPUTED_VALUE"""),"No, But if someone could bare the cost I will")</f>
        <v>No, But if someone could bare the cost I will</v>
      </c>
      <c r="G1780" s="1" t="str">
        <f ca="1">IFERROR(__xludf.DUMMYFUNCTION("""COMPUTED_VALUE"""),"Will work for 3 years or more")</f>
        <v>Will work for 3 years or more</v>
      </c>
      <c r="H1780" s="1" t="str">
        <f ca="1">IFERROR(__xludf.DUMMYFUNCTION("""COMPUTED_VALUE"""),"No")</f>
        <v>No</v>
      </c>
      <c r="I1780" s="1" t="str">
        <f ca="1">IFERROR(__xludf.DUMMYFUNCTION("""COMPUTED_VALUE"""),"Will NOT work for them")</f>
        <v>Will NOT work for them</v>
      </c>
      <c r="J1780" s="1">
        <f ca="1">IFERROR(__xludf.DUMMYFUNCTION("""COMPUTED_VALUE"""),6)</f>
        <v>6</v>
      </c>
      <c r="K1780" s="1" t="str">
        <f ca="1">IFERROR(__xludf.DUMMYFUNCTION("""COMPUTED_VALUE"""),"Fully Remote with No option to visit offices")</f>
        <v>Fully Remote with No option to visit offices</v>
      </c>
      <c r="L1780" s="1" t="str">
        <f ca="1">IFERROR(__xludf.DUMMYFUNCTION("""COMPUTED_VALUE"""),"Employers who appreciates learning but doesn't enables an learning environment")</f>
        <v>Employers who appreciates learning but doesn't enables an learning environment</v>
      </c>
      <c r="M178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80"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780" s="1" t="str">
        <f ca="1">IFERROR(__xludf.DUMMYFUNCTION("""COMPUTED_VALUE"""),"Manager who explains what is expected, sets a goal and helps achieve it")</f>
        <v>Manager who explains what is expected, sets a goal and helps achieve it</v>
      </c>
      <c r="P1780" s="1" t="str">
        <f ca="1">IFERROR(__xludf.DUMMYFUNCTION("""COMPUTED_VALUE"""),"Work with 7 to 10 or more people in my team")</f>
        <v>Work with 7 to 10 or more people in my team</v>
      </c>
      <c r="Q1780" s="1"/>
    </row>
    <row r="1781" spans="1:17" ht="13.2" x14ac:dyDescent="0.25">
      <c r="A1781" s="2">
        <f ca="1">IFERROR(__xludf.DUMMYFUNCTION("""COMPUTED_VALUE"""),45048.989776493)</f>
        <v>45048.989776492999</v>
      </c>
      <c r="B1781" s="1" t="str">
        <f ca="1">IFERROR(__xludf.DUMMYFUNCTION("""COMPUTED_VALUE"""),"India")</f>
        <v>India</v>
      </c>
      <c r="C1781" s="1">
        <f ca="1">IFERROR(__xludf.DUMMYFUNCTION("""COMPUTED_VALUE"""),560036)</f>
        <v>560036</v>
      </c>
      <c r="D1781" s="3" t="str">
        <f ca="1">IFERROR(__xludf.DUMMYFUNCTION("""COMPUTED_VALUE"""),"Female")</f>
        <v>Female</v>
      </c>
      <c r="E1781" s="1" t="str">
        <f ca="1">IFERROR(__xludf.DUMMYFUNCTION("""COMPUTED_VALUE"""),"Social Media like LinkedIn")</f>
        <v>Social Media like LinkedIn</v>
      </c>
      <c r="F1781" s="1" t="str">
        <f ca="1">IFERROR(__xludf.DUMMYFUNCTION("""COMPUTED_VALUE"""),"No, But if someone could bare the cost I will")</f>
        <v>No, But if someone could bare the cost I will</v>
      </c>
      <c r="G1781" s="1" t="str">
        <f ca="1">IFERROR(__xludf.DUMMYFUNCTION("""COMPUTED_VALUE"""),"Will work for 3 years or more")</f>
        <v>Will work for 3 years or more</v>
      </c>
      <c r="H1781" s="1" t="str">
        <f ca="1">IFERROR(__xludf.DUMMYFUNCTION("""COMPUTED_VALUE"""),"No")</f>
        <v>No</v>
      </c>
      <c r="I1781" s="1" t="str">
        <f ca="1">IFERROR(__xludf.DUMMYFUNCTION("""COMPUTED_VALUE"""),"Will NOT work for them")</f>
        <v>Will NOT work for them</v>
      </c>
      <c r="J1781" s="1">
        <f ca="1">IFERROR(__xludf.DUMMYFUNCTION("""COMPUTED_VALUE"""),10)</f>
        <v>10</v>
      </c>
      <c r="K1781" s="1" t="str">
        <f ca="1">IFERROR(__xludf.DUMMYFUNCTION("""COMPUTED_VALUE"""),"Fully Remote with Options to travel as and when needed")</f>
        <v>Fully Remote with Options to travel as and when needed</v>
      </c>
      <c r="L1781" s="1" t="str">
        <f ca="1">IFERROR(__xludf.DUMMYFUNCTION("""COMPUTED_VALUE"""),"Employer who appreciates learning and enables that environment")</f>
        <v>Employer who appreciates learning and enables that environment</v>
      </c>
      <c r="M178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81" s="1" t="str">
        <f ca="1">IFERROR(__xludf.DUMMYFUNCTION("""COMPUTED_VALUE"""),"Teaching in any of the institutes/colleges/online or offline, Build and develop a Team, Work in a BPO setup for some well known client, Become a content Creator in some platform")</f>
        <v>Teaching in any of the institutes/colleges/online or offline, Build and develop a Team, Work in a BPO setup for some well known client, Become a content Creator in some platform</v>
      </c>
      <c r="O1781" s="1" t="str">
        <f ca="1">IFERROR(__xludf.DUMMYFUNCTION("""COMPUTED_VALUE"""),"Manager who explains what is expected, sets a goal and helps achieve it")</f>
        <v>Manager who explains what is expected, sets a goal and helps achieve it</v>
      </c>
      <c r="P1781" s="1" t="str">
        <f ca="1">IFERROR(__xludf.DUMMYFUNCTION("""COMPUTED_VALUE"""),"Work with 5 to 6 people in my team")</f>
        <v>Work with 5 to 6 people in my team</v>
      </c>
      <c r="Q1781" s="1"/>
    </row>
    <row r="1782" spans="1:17" ht="13.2" x14ac:dyDescent="0.25">
      <c r="A1782" s="2">
        <f ca="1">IFERROR(__xludf.DUMMYFUNCTION("""COMPUTED_VALUE"""),45049.0161807175)</f>
        <v>45049.016180717503</v>
      </c>
      <c r="B1782" s="1" t="str">
        <f ca="1">IFERROR(__xludf.DUMMYFUNCTION("""COMPUTED_VALUE"""),"UAE")</f>
        <v>UAE</v>
      </c>
      <c r="C1782" s="1">
        <f ca="1">IFERROR(__xludf.DUMMYFUNCTION("""COMPUTED_VALUE"""),574327)</f>
        <v>574327</v>
      </c>
      <c r="D1782" s="3" t="str">
        <f ca="1">IFERROR(__xludf.DUMMYFUNCTION("""COMPUTED_VALUE"""),"Male")</f>
        <v>Male</v>
      </c>
      <c r="E1782" s="1" t="str">
        <f ca="1">IFERROR(__xludf.DUMMYFUNCTION("""COMPUTED_VALUE"""),"My Parents")</f>
        <v>My Parents</v>
      </c>
      <c r="F1782" s="1" t="str">
        <f ca="1">IFERROR(__xludf.DUMMYFUNCTION("""COMPUTED_VALUE"""),"No I would not be pursuing Higher Education outside of India")</f>
        <v>No I would not be pursuing Higher Education outside of India</v>
      </c>
      <c r="G1782" s="1" t="str">
        <f ca="1">IFERROR(__xludf.DUMMYFUNCTION("""COMPUTED_VALUE"""),"No way")</f>
        <v>No way</v>
      </c>
      <c r="H1782" s="1" t="str">
        <f ca="1">IFERROR(__xludf.DUMMYFUNCTION("""COMPUTED_VALUE"""),"No")</f>
        <v>No</v>
      </c>
      <c r="I1782" s="1" t="str">
        <f ca="1">IFERROR(__xludf.DUMMYFUNCTION("""COMPUTED_VALUE"""),"Will work for them")</f>
        <v>Will work for them</v>
      </c>
      <c r="J1782" s="1">
        <f ca="1">IFERROR(__xludf.DUMMYFUNCTION("""COMPUTED_VALUE"""),4)</f>
        <v>4</v>
      </c>
      <c r="K1782" s="1" t="str">
        <f ca="1">IFERROR(__xludf.DUMMYFUNCTION("""COMPUTED_VALUE"""),"Fully Remote with No option to visit offices")</f>
        <v>Fully Remote with No option to visit offices</v>
      </c>
      <c r="L1782" s="1" t="str">
        <f ca="1">IFERROR(__xludf.DUMMYFUNCTION("""COMPUTED_VALUE"""),"Employer who appreciates learning and enables that environment")</f>
        <v>Employer who appreciates learning and enables that environment</v>
      </c>
      <c r="M178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82" s="1" t="str">
        <f ca="1">IFERROR(__xludf.DUMMYFUNCTION("""COMPUTED_VALUE"""),"Business Operations in any organization, Become a content Creator in some platform, Entrepreneur or Start Up, An Artificial Intelligence Specialist / Talking to Robots")</f>
        <v>Business Operations in any organization, Become a content Creator in some platform, Entrepreneur or Start Up, An Artificial Intelligence Specialist / Talking to Robots</v>
      </c>
      <c r="O1782" s="1" t="str">
        <f ca="1">IFERROR(__xludf.DUMMYFUNCTION("""COMPUTED_VALUE"""),"Manager who sets goal and helps me achieve it")</f>
        <v>Manager who sets goal and helps me achieve it</v>
      </c>
      <c r="P1782" s="1" t="str">
        <f ca="1">IFERROR(__xludf.DUMMYFUNCTION("""COMPUTED_VALUE"""),"Work with more than 10 people in my team")</f>
        <v>Work with more than 10 people in my team</v>
      </c>
      <c r="Q1782" s="1"/>
    </row>
    <row r="1783" spans="1:17" ht="13.2" x14ac:dyDescent="0.25">
      <c r="A1783" s="2">
        <f ca="1">IFERROR(__xludf.DUMMYFUNCTION("""COMPUTED_VALUE"""),45049.0579307291)</f>
        <v>45049.057930729097</v>
      </c>
      <c r="B1783" s="1" t="str">
        <f ca="1">IFERROR(__xludf.DUMMYFUNCTION("""COMPUTED_VALUE"""),"India")</f>
        <v>India</v>
      </c>
      <c r="C1783" s="1">
        <f ca="1">IFERROR(__xludf.DUMMYFUNCTION("""COMPUTED_VALUE"""),247667)</f>
        <v>247667</v>
      </c>
      <c r="D1783" s="3" t="str">
        <f ca="1">IFERROR(__xludf.DUMMYFUNCTION("""COMPUTED_VALUE"""),"Female")</f>
        <v>Female</v>
      </c>
      <c r="E1783" s="1" t="str">
        <f ca="1">IFERROR(__xludf.DUMMYFUNCTION("""COMPUTED_VALUE"""),"People who have changed the world for better")</f>
        <v>People who have changed the world for better</v>
      </c>
      <c r="F1783" s="1" t="str">
        <f ca="1">IFERROR(__xludf.DUMMYFUNCTION("""COMPUTED_VALUE"""),"No, But if someone could bare the cost I will")</f>
        <v>No, But if someone could bare the cost I will</v>
      </c>
      <c r="G1783" s="1" t="str">
        <f ca="1">IFERROR(__xludf.DUMMYFUNCTION("""COMPUTED_VALUE"""),"Will work for 3 years or more")</f>
        <v>Will work for 3 years or more</v>
      </c>
      <c r="H1783" s="1" t="str">
        <f ca="1">IFERROR(__xludf.DUMMYFUNCTION("""COMPUTED_VALUE"""),"No")</f>
        <v>No</v>
      </c>
      <c r="I1783" s="1" t="str">
        <f ca="1">IFERROR(__xludf.DUMMYFUNCTION("""COMPUTED_VALUE"""),"Will NOT work for them")</f>
        <v>Will NOT work for them</v>
      </c>
      <c r="J1783" s="1">
        <f ca="1">IFERROR(__xludf.DUMMYFUNCTION("""COMPUTED_VALUE"""),5)</f>
        <v>5</v>
      </c>
      <c r="K1783" s="1" t="str">
        <f ca="1">IFERROR(__xludf.DUMMYFUNCTION("""COMPUTED_VALUE"""),"Hybrid Working Environment with more than 15 days a month at office")</f>
        <v>Hybrid Working Environment with more than 15 days a month at office</v>
      </c>
      <c r="L1783" s="1" t="str">
        <f ca="1">IFERROR(__xludf.DUMMYFUNCTION("""COMPUTED_VALUE"""),"Employer who pushes your limits by enabling an learning environment, and rewards you at the end")</f>
        <v>Employer who pushes your limits by enabling an learning environment, and rewards you at the end</v>
      </c>
      <c r="M178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8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783" s="1" t="str">
        <f ca="1">IFERROR(__xludf.DUMMYFUNCTION("""COMPUTED_VALUE"""),"Manager who sets goal and helps me achieve it")</f>
        <v>Manager who sets goal and helps me achieve it</v>
      </c>
      <c r="P1783" s="1" t="str">
        <f ca="1">IFERROR(__xludf.DUMMYFUNCTION("""COMPUTED_VALUE"""),"Work with 5 to 6 people in my team")</f>
        <v>Work with 5 to 6 people in my team</v>
      </c>
      <c r="Q1783" s="1"/>
    </row>
    <row r="1784" spans="1:17" ht="13.2" x14ac:dyDescent="0.25">
      <c r="A1784" s="2">
        <f ca="1">IFERROR(__xludf.DUMMYFUNCTION("""COMPUTED_VALUE"""),45049.0906228588)</f>
        <v>45049.090622858799</v>
      </c>
      <c r="B1784" s="1" t="str">
        <f ca="1">IFERROR(__xludf.DUMMYFUNCTION("""COMPUTED_VALUE"""),"India")</f>
        <v>India</v>
      </c>
      <c r="C1784" s="1">
        <f ca="1">IFERROR(__xludf.DUMMYFUNCTION("""COMPUTED_VALUE"""),560070)</f>
        <v>560070</v>
      </c>
      <c r="D1784" s="3" t="str">
        <f ca="1">IFERROR(__xludf.DUMMYFUNCTION("""COMPUTED_VALUE"""),"Female")</f>
        <v>Female</v>
      </c>
      <c r="E1784" s="1" t="str">
        <f ca="1">IFERROR(__xludf.DUMMYFUNCTION("""COMPUTED_VALUE"""),"People from my circle, but not family members")</f>
        <v>People from my circle, but not family members</v>
      </c>
      <c r="F1784" s="1" t="str">
        <f ca="1">IFERROR(__xludf.DUMMYFUNCTION("""COMPUTED_VALUE"""),"No, But if someone could bare the cost I will")</f>
        <v>No, But if someone could bare the cost I will</v>
      </c>
      <c r="G1784" s="1" t="str">
        <f ca="1">IFERROR(__xludf.DUMMYFUNCTION("""COMPUTED_VALUE"""),"This will be hard to do, but if it is the right company I would try")</f>
        <v>This will be hard to do, but if it is the right company I would try</v>
      </c>
      <c r="H1784" s="1" t="str">
        <f ca="1">IFERROR(__xludf.DUMMYFUNCTION("""COMPUTED_VALUE"""),"No")</f>
        <v>No</v>
      </c>
      <c r="I1784" s="1" t="str">
        <f ca="1">IFERROR(__xludf.DUMMYFUNCTION("""COMPUTED_VALUE"""),"Will NOT work for them")</f>
        <v>Will NOT work for them</v>
      </c>
      <c r="J1784" s="1">
        <f ca="1">IFERROR(__xludf.DUMMYFUNCTION("""COMPUTED_VALUE"""),7)</f>
        <v>7</v>
      </c>
      <c r="K1784" s="1" t="str">
        <f ca="1">IFERROR(__xludf.DUMMYFUNCTION("""COMPUTED_VALUE"""),"Fully Remote with Options to travel as and when needed")</f>
        <v>Fully Remote with Options to travel as and when needed</v>
      </c>
      <c r="L1784" s="1" t="str">
        <f ca="1">IFERROR(__xludf.DUMMYFUNCTION("""COMPUTED_VALUE"""),"Employer who pushes your limits by enabling an learning environment, and rewards you at the end")</f>
        <v>Employer who pushes your limits by enabling an learning environment, and rewards you at the end</v>
      </c>
      <c r="M1784"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84"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1784" s="1" t="str">
        <f ca="1">IFERROR(__xludf.DUMMYFUNCTION("""COMPUTED_VALUE"""),"Manager who explains what is expected, sets a goal and helps achieve it")</f>
        <v>Manager who explains what is expected, sets a goal and helps achieve it</v>
      </c>
      <c r="P1784" s="1" t="str">
        <f ca="1">IFERROR(__xludf.DUMMYFUNCTION("""COMPUTED_VALUE"""),"Work with 5 to 6 people in my team")</f>
        <v>Work with 5 to 6 people in my team</v>
      </c>
      <c r="Q1784" s="1"/>
    </row>
    <row r="1785" spans="1:17" ht="13.2" x14ac:dyDescent="0.25">
      <c r="A1785" s="2">
        <f ca="1">IFERROR(__xludf.DUMMYFUNCTION("""COMPUTED_VALUE"""),45049.2346400694)</f>
        <v>45049.2346400694</v>
      </c>
      <c r="B1785" s="1" t="str">
        <f ca="1">IFERROR(__xludf.DUMMYFUNCTION("""COMPUTED_VALUE"""),"India")</f>
        <v>India</v>
      </c>
      <c r="C1785" s="1">
        <f ca="1">IFERROR(__xludf.DUMMYFUNCTION("""COMPUTED_VALUE"""),500088)</f>
        <v>500088</v>
      </c>
      <c r="D1785" s="3" t="str">
        <f ca="1">IFERROR(__xludf.DUMMYFUNCTION("""COMPUTED_VALUE"""),"Male")</f>
        <v>Male</v>
      </c>
      <c r="E1785" s="1" t="str">
        <f ca="1">IFERROR(__xludf.DUMMYFUNCTION("""COMPUTED_VALUE"""),"My Parents")</f>
        <v>My Parents</v>
      </c>
      <c r="F1785" s="1" t="str">
        <f ca="1">IFERROR(__xludf.DUMMYFUNCTION("""COMPUTED_VALUE"""),"No I would not be pursuing Higher Education outside of India")</f>
        <v>No I would not be pursuing Higher Education outside of India</v>
      </c>
      <c r="G1785" s="1" t="str">
        <f ca="1">IFERROR(__xludf.DUMMYFUNCTION("""COMPUTED_VALUE"""),"Will work for 3 years or more")</f>
        <v>Will work for 3 years or more</v>
      </c>
      <c r="H1785" s="1" t="str">
        <f ca="1">IFERROR(__xludf.DUMMYFUNCTION("""COMPUTED_VALUE"""),"No")</f>
        <v>No</v>
      </c>
      <c r="I1785" s="1" t="str">
        <f ca="1">IFERROR(__xludf.DUMMYFUNCTION("""COMPUTED_VALUE"""),"Will NOT work for them")</f>
        <v>Will NOT work for them</v>
      </c>
      <c r="J1785" s="1">
        <f ca="1">IFERROR(__xludf.DUMMYFUNCTION("""COMPUTED_VALUE"""),3)</f>
        <v>3</v>
      </c>
      <c r="K1785" s="1" t="str">
        <f ca="1">IFERROR(__xludf.DUMMYFUNCTION("""COMPUTED_VALUE"""),"Fully Remote with Options to travel as and when needed")</f>
        <v>Fully Remote with Options to travel as and when needed</v>
      </c>
      <c r="L1785" s="1" t="str">
        <f ca="1">IFERROR(__xludf.DUMMYFUNCTION("""COMPUTED_VALUE"""),"Employer who appreciates learning and enables that environment")</f>
        <v>Employer who appreciates learning and enables that environment</v>
      </c>
      <c r="M178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85"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1785" s="1" t="str">
        <f ca="1">IFERROR(__xludf.DUMMYFUNCTION("""COMPUTED_VALUE"""),"Manager who explains what is expected, sets a goal and helps achieve it")</f>
        <v>Manager who explains what is expected, sets a goal and helps achieve it</v>
      </c>
      <c r="P1785" s="1" t="str">
        <f ca="1">IFERROR(__xludf.DUMMYFUNCTION("""COMPUTED_VALUE"""),"Work with 5 to 6 people in my team")</f>
        <v>Work with 5 to 6 people in my team</v>
      </c>
      <c r="Q1785" s="1"/>
    </row>
    <row r="1786" spans="1:17" ht="13.2" x14ac:dyDescent="0.25">
      <c r="A1786" s="2">
        <f ca="1">IFERROR(__xludf.DUMMYFUNCTION("""COMPUTED_VALUE"""),45049.2643144907)</f>
        <v>45049.264314490698</v>
      </c>
      <c r="B1786" s="1" t="str">
        <f ca="1">IFERROR(__xludf.DUMMYFUNCTION("""COMPUTED_VALUE"""),"India")</f>
        <v>India</v>
      </c>
      <c r="C1786" s="1">
        <f ca="1">IFERROR(__xludf.DUMMYFUNCTION("""COMPUTED_VALUE"""),560036)</f>
        <v>560036</v>
      </c>
      <c r="D1786" s="3" t="str">
        <f ca="1">IFERROR(__xludf.DUMMYFUNCTION("""COMPUTED_VALUE"""),"Male")</f>
        <v>Male</v>
      </c>
      <c r="E1786" s="1" t="str">
        <f ca="1">IFERROR(__xludf.DUMMYFUNCTION("""COMPUTED_VALUE"""),"Influencers who had successful careers")</f>
        <v>Influencers who had successful careers</v>
      </c>
      <c r="F1786" s="1" t="str">
        <f ca="1">IFERROR(__xludf.DUMMYFUNCTION("""COMPUTED_VALUE"""),"No I would not be pursuing Higher Education outside of India")</f>
        <v>No I would not be pursuing Higher Education outside of India</v>
      </c>
      <c r="G1786" s="1" t="str">
        <f ca="1">IFERROR(__xludf.DUMMYFUNCTION("""COMPUTED_VALUE"""),"This will be hard to do, but if it is the right company I would try")</f>
        <v>This will be hard to do, but if it is the right company I would try</v>
      </c>
      <c r="H1786" s="1" t="str">
        <f ca="1">IFERROR(__xludf.DUMMYFUNCTION("""COMPUTED_VALUE"""),"No")</f>
        <v>No</v>
      </c>
      <c r="I1786" s="1" t="str">
        <f ca="1">IFERROR(__xludf.DUMMYFUNCTION("""COMPUTED_VALUE"""),"Will NOT work for them")</f>
        <v>Will NOT work for them</v>
      </c>
      <c r="J1786" s="1">
        <f ca="1">IFERROR(__xludf.DUMMYFUNCTION("""COMPUTED_VALUE"""),5)</f>
        <v>5</v>
      </c>
      <c r="K1786" s="1" t="str">
        <f ca="1">IFERROR(__xludf.DUMMYFUNCTION("""COMPUTED_VALUE"""),"Hybrid Working Environment with less than 3 days a month at office")</f>
        <v>Hybrid Working Environment with less than 3 days a month at office</v>
      </c>
      <c r="L1786" s="1" t="str">
        <f ca="1">IFERROR(__xludf.DUMMYFUNCTION("""COMPUTED_VALUE"""),"Employer who pushes your limits by enabling an learning environment, and rewards you at the end")</f>
        <v>Employer who pushes your limits by enabling an learning environment, and rewards you at the end</v>
      </c>
      <c r="M178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8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786" s="1" t="str">
        <f ca="1">IFERROR(__xludf.DUMMYFUNCTION("""COMPUTED_VALUE"""),"Manager who explains what is expected, sets a goal and helps achieve it")</f>
        <v>Manager who explains what is expected, sets a goal and helps achieve it</v>
      </c>
      <c r="P1786" s="1" t="str">
        <f ca="1">IFERROR(__xludf.DUMMYFUNCTION("""COMPUTED_VALUE"""),"Work with more than 10 people in my team")</f>
        <v>Work with more than 10 people in my team</v>
      </c>
      <c r="Q1786" s="1"/>
    </row>
    <row r="1787" spans="1:17" ht="13.2" x14ac:dyDescent="0.25">
      <c r="A1787" s="2">
        <f ca="1">IFERROR(__xludf.DUMMYFUNCTION("""COMPUTED_VALUE"""),45049.2765578588)</f>
        <v>45049.276557858801</v>
      </c>
      <c r="B1787" s="1" t="str">
        <f ca="1">IFERROR(__xludf.DUMMYFUNCTION("""COMPUTED_VALUE"""),"India")</f>
        <v>India</v>
      </c>
      <c r="C1787" s="1">
        <f ca="1">IFERROR(__xludf.DUMMYFUNCTION("""COMPUTED_VALUE"""),793006)</f>
        <v>793006</v>
      </c>
      <c r="D1787" s="3" t="str">
        <f ca="1">IFERROR(__xludf.DUMMYFUNCTION("""COMPUTED_VALUE"""),"Female")</f>
        <v>Female</v>
      </c>
      <c r="E1787" s="1" t="str">
        <f ca="1">IFERROR(__xludf.DUMMYFUNCTION("""COMPUTED_VALUE"""),"People who have changed the world for better")</f>
        <v>People who have changed the world for better</v>
      </c>
      <c r="F1787" s="1" t="str">
        <f ca="1">IFERROR(__xludf.DUMMYFUNCTION("""COMPUTED_VALUE"""),"No I would not be pursuing Higher Education outside of India")</f>
        <v>No I would not be pursuing Higher Education outside of India</v>
      </c>
      <c r="G1787" s="1" t="str">
        <f ca="1">IFERROR(__xludf.DUMMYFUNCTION("""COMPUTED_VALUE"""),"This will be hard to do, but if it is the right company I would try")</f>
        <v>This will be hard to do, but if it is the right company I would try</v>
      </c>
      <c r="H1787" s="1" t="str">
        <f ca="1">IFERROR(__xludf.DUMMYFUNCTION("""COMPUTED_VALUE"""),"No")</f>
        <v>No</v>
      </c>
      <c r="I1787" s="1" t="str">
        <f ca="1">IFERROR(__xludf.DUMMYFUNCTION("""COMPUTED_VALUE"""),"Will NOT work for them")</f>
        <v>Will NOT work for them</v>
      </c>
      <c r="J1787" s="1">
        <f ca="1">IFERROR(__xludf.DUMMYFUNCTION("""COMPUTED_VALUE"""),5)</f>
        <v>5</v>
      </c>
      <c r="K1787" s="1" t="str">
        <f ca="1">IFERROR(__xludf.DUMMYFUNCTION("""COMPUTED_VALUE"""),"Fully Remote with Options to travel as and when needed")</f>
        <v>Fully Remote with Options to travel as and when needed</v>
      </c>
      <c r="L1787" s="1" t="str">
        <f ca="1">IFERROR(__xludf.DUMMYFUNCTION("""COMPUTED_VALUE"""),"Employer who appreciates learning and enables that environment")</f>
        <v>Employer who appreciates learning and enables that environment</v>
      </c>
      <c r="M1787" s="1" t="str">
        <f ca="1">IFERROR(__xludf.DUMMYFUNCTION("""COMPUTED_VALUE"""),"Self Paced Learning Portals of the Company, Learning by observing others, Manager Teaching you")</f>
        <v>Self Paced Learning Portals of the Company, Learning by observing others, Manager Teaching you</v>
      </c>
      <c r="N1787" s="1" t="str">
        <f ca="1">IFERROR(__xludf.DUMMYFUNCTION("""COMPUTED_VALUE"""),"Teaching in any of the institutes/colleges/online or offline, Work as a freelancer and do my thing my way, Entrepreneur or Start Up, I Want to sell things/Sales")</f>
        <v>Teaching in any of the institutes/colleges/online or offline, Work as a freelancer and do my thing my way, Entrepreneur or Start Up, I Want to sell things/Sales</v>
      </c>
      <c r="O1787" s="1" t="str">
        <f ca="1">IFERROR(__xludf.DUMMYFUNCTION("""COMPUTED_VALUE"""),"Manager who clearly describes what she/he needs")</f>
        <v>Manager who clearly describes what she/he needs</v>
      </c>
      <c r="P1787" s="1" t="str">
        <f ca="1">IFERROR(__xludf.DUMMYFUNCTION("""COMPUTED_VALUE"""),"Work with 5 to 6 people in my team")</f>
        <v>Work with 5 to 6 people in my team</v>
      </c>
      <c r="Q1787" s="1"/>
    </row>
    <row r="1788" spans="1:17" ht="13.2" x14ac:dyDescent="0.25">
      <c r="A1788" s="2">
        <f ca="1">IFERROR(__xludf.DUMMYFUNCTION("""COMPUTED_VALUE"""),45049.4181555208)</f>
        <v>45049.418155520798</v>
      </c>
      <c r="B1788" s="1" t="str">
        <f ca="1">IFERROR(__xludf.DUMMYFUNCTION("""COMPUTED_VALUE"""),"Germany")</f>
        <v>Germany</v>
      </c>
      <c r="C1788" s="1">
        <f ca="1">IFERROR(__xludf.DUMMYFUNCTION("""COMPUTED_VALUE"""),411033)</f>
        <v>411033</v>
      </c>
      <c r="D1788" s="3" t="str">
        <f ca="1">IFERROR(__xludf.DUMMYFUNCTION("""COMPUTED_VALUE"""),"Male")</f>
        <v>Male</v>
      </c>
      <c r="E1788" s="1" t="str">
        <f ca="1">IFERROR(__xludf.DUMMYFUNCTION("""COMPUTED_VALUE"""),"People who have changed the world for better")</f>
        <v>People who have changed the world for better</v>
      </c>
      <c r="F1788" s="1" t="str">
        <f ca="1">IFERROR(__xludf.DUMMYFUNCTION("""COMPUTED_VALUE"""),"No, But if someone could bare the cost I will")</f>
        <v>No, But if someone could bare the cost I will</v>
      </c>
      <c r="G1788" s="1" t="str">
        <f ca="1">IFERROR(__xludf.DUMMYFUNCTION("""COMPUTED_VALUE"""),"Will work for 3 years or more")</f>
        <v>Will work for 3 years or more</v>
      </c>
      <c r="H1788" s="1" t="str">
        <f ca="1">IFERROR(__xludf.DUMMYFUNCTION("""COMPUTED_VALUE"""),"No")</f>
        <v>No</v>
      </c>
      <c r="I1788" s="1" t="str">
        <f ca="1">IFERROR(__xludf.DUMMYFUNCTION("""COMPUTED_VALUE"""),"Will NOT work for them")</f>
        <v>Will NOT work for them</v>
      </c>
      <c r="J1788" s="1">
        <f ca="1">IFERROR(__xludf.DUMMYFUNCTION("""COMPUTED_VALUE"""),8)</f>
        <v>8</v>
      </c>
      <c r="K1788" s="1" t="str">
        <f ca="1">IFERROR(__xludf.DUMMYFUNCTION("""COMPUTED_VALUE"""),"Hybrid Working Environment with less than 3 days a month at office")</f>
        <v>Hybrid Working Environment with less than 3 days a month at office</v>
      </c>
      <c r="L1788" s="1" t="str">
        <f ca="1">IFERROR(__xludf.DUMMYFUNCTION("""COMPUTED_VALUE"""),"Employer who pushes your limits by enabling an learning environment, and rewards you at the end")</f>
        <v>Employer who pushes your limits by enabling an learning environment, and rewards you at the end</v>
      </c>
      <c r="M178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88"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788" s="1" t="str">
        <f ca="1">IFERROR(__xludf.DUMMYFUNCTION("""COMPUTED_VALUE"""),"Manager who explains what is expected, sets a goal and helps achieve it")</f>
        <v>Manager who explains what is expected, sets a goal and helps achieve it</v>
      </c>
      <c r="P1788" s="1" t="str">
        <f ca="1">IFERROR(__xludf.DUMMYFUNCTION("""COMPUTED_VALUE"""),"Work with 2 to 3 people in my team")</f>
        <v>Work with 2 to 3 people in my team</v>
      </c>
      <c r="Q1788" s="1"/>
    </row>
    <row r="1789" spans="1:17" ht="13.2" x14ac:dyDescent="0.25">
      <c r="A1789" s="2">
        <f ca="1">IFERROR(__xludf.DUMMYFUNCTION("""COMPUTED_VALUE"""),45049.4433158564)</f>
        <v>45049.443315856399</v>
      </c>
      <c r="B1789" s="1" t="str">
        <f ca="1">IFERROR(__xludf.DUMMYFUNCTION("""COMPUTED_VALUE"""),"India")</f>
        <v>India</v>
      </c>
      <c r="C1789" s="1">
        <f ca="1">IFERROR(__xludf.DUMMYFUNCTION("""COMPUTED_VALUE"""),560056)</f>
        <v>560056</v>
      </c>
      <c r="D1789" s="3" t="str">
        <f ca="1">IFERROR(__xludf.DUMMYFUNCTION("""COMPUTED_VALUE"""),"Male")</f>
        <v>Male</v>
      </c>
      <c r="E1789" s="1" t="str">
        <f ca="1">IFERROR(__xludf.DUMMYFUNCTION("""COMPUTED_VALUE"""),"My Parents")</f>
        <v>My Parents</v>
      </c>
      <c r="F1789" s="1" t="str">
        <f ca="1">IFERROR(__xludf.DUMMYFUNCTION("""COMPUTED_VALUE"""),"No I would not be pursuing Higher Education outside of India")</f>
        <v>No I would not be pursuing Higher Education outside of India</v>
      </c>
      <c r="G1789" s="1" t="str">
        <f ca="1">IFERROR(__xludf.DUMMYFUNCTION("""COMPUTED_VALUE"""),"This will be hard to do, but if it is the right company I would try")</f>
        <v>This will be hard to do, but if it is the right company I would try</v>
      </c>
      <c r="H1789" s="1" t="str">
        <f ca="1">IFERROR(__xludf.DUMMYFUNCTION("""COMPUTED_VALUE"""),"Yes")</f>
        <v>Yes</v>
      </c>
      <c r="I1789" s="1" t="str">
        <f ca="1">IFERROR(__xludf.DUMMYFUNCTION("""COMPUTED_VALUE"""),"Will NOT work for them")</f>
        <v>Will NOT work for them</v>
      </c>
      <c r="J1789" s="1">
        <f ca="1">IFERROR(__xludf.DUMMYFUNCTION("""COMPUTED_VALUE"""),5)</f>
        <v>5</v>
      </c>
      <c r="K1789" s="1" t="str">
        <f ca="1">IFERROR(__xludf.DUMMYFUNCTION("""COMPUTED_VALUE"""),"Fully Remote with Options to travel as and when needed")</f>
        <v>Fully Remote with Options to travel as and when needed</v>
      </c>
      <c r="L1789" s="1" t="str">
        <f ca="1">IFERROR(__xludf.DUMMYFUNCTION("""COMPUTED_VALUE"""),"Employer who rewards learning and enables that environment")</f>
        <v>Employer who rewards learning and enables that environment</v>
      </c>
      <c r="M178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89" s="1" t="str">
        <f ca="1">IFERROR(__xludf.DUMMYFUNCTION("""COMPUTED_VALUE"""),"Design and Creative strategy in any company, Design and Develop amazing software, Work as a freelancer and do my thing my way, An Artificial Intelligence Specialist / Talking to Robots")</f>
        <v>Design and Creative strategy in any company, Design and Develop amazing software, Work as a freelancer and do my thing my way, An Artificial Intelligence Specialist / Talking to Robots</v>
      </c>
      <c r="O1789" s="1" t="str">
        <f ca="1">IFERROR(__xludf.DUMMYFUNCTION("""COMPUTED_VALUE"""),"Manager who sets goal and helps me achieve it")</f>
        <v>Manager who sets goal and helps me achieve it</v>
      </c>
      <c r="P1789" s="1" t="str">
        <f ca="1">IFERROR(__xludf.DUMMYFUNCTION("""COMPUTED_VALUE"""),"Work with 5 to 6 people in my team")</f>
        <v>Work with 5 to 6 people in my team</v>
      </c>
      <c r="Q1789" s="1"/>
    </row>
    <row r="1790" spans="1:17" ht="13.2" x14ac:dyDescent="0.25">
      <c r="A1790" s="2">
        <f ca="1">IFERROR(__xludf.DUMMYFUNCTION("""COMPUTED_VALUE"""),45049.5249345486)</f>
        <v>45049.524934548601</v>
      </c>
      <c r="B1790" s="1" t="str">
        <f ca="1">IFERROR(__xludf.DUMMYFUNCTION("""COMPUTED_VALUE"""),"India")</f>
        <v>India</v>
      </c>
      <c r="C1790" s="1">
        <f ca="1">IFERROR(__xludf.DUMMYFUNCTION("""COMPUTED_VALUE"""),793001)</f>
        <v>793001</v>
      </c>
      <c r="D1790" s="3" t="str">
        <f ca="1">IFERROR(__xludf.DUMMYFUNCTION("""COMPUTED_VALUE"""),"Female")</f>
        <v>Female</v>
      </c>
      <c r="E1790" s="1" t="str">
        <f ca="1">IFERROR(__xludf.DUMMYFUNCTION("""COMPUTED_VALUE"""),"My Parents")</f>
        <v>My Parents</v>
      </c>
      <c r="F1790" s="1" t="str">
        <f ca="1">IFERROR(__xludf.DUMMYFUNCTION("""COMPUTED_VALUE"""),"No I would not be pursuing Higher Education outside of India")</f>
        <v>No I would not be pursuing Higher Education outside of India</v>
      </c>
      <c r="G1790" s="1" t="str">
        <f ca="1">IFERROR(__xludf.DUMMYFUNCTION("""COMPUTED_VALUE"""),"This will be hard to do, but if it is the right company I would try")</f>
        <v>This will be hard to do, but if it is the right company I would try</v>
      </c>
      <c r="H1790" s="1" t="str">
        <f ca="1">IFERROR(__xludf.DUMMYFUNCTION("""COMPUTED_VALUE"""),"Yes")</f>
        <v>Yes</v>
      </c>
      <c r="I1790" s="1" t="str">
        <f ca="1">IFERROR(__xludf.DUMMYFUNCTION("""COMPUTED_VALUE"""),"Will NOT work for them")</f>
        <v>Will NOT work for them</v>
      </c>
      <c r="J1790" s="1">
        <f ca="1">IFERROR(__xludf.DUMMYFUNCTION("""COMPUTED_VALUE"""),7)</f>
        <v>7</v>
      </c>
      <c r="K1790" s="1" t="str">
        <f ca="1">IFERROR(__xludf.DUMMYFUNCTION("""COMPUTED_VALUE"""),"Fully Remote with Options to travel as and when needed")</f>
        <v>Fully Remote with Options to travel as and when needed</v>
      </c>
      <c r="L1790" s="1" t="str">
        <f ca="1">IFERROR(__xludf.DUMMYFUNCTION("""COMPUTED_VALUE"""),"Employer who pushes your limits by enabling an learning environment, and rewards you at the end")</f>
        <v>Employer who pushes your limits by enabling an learning environment, and rewards you at the end</v>
      </c>
      <c r="M179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790"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90" s="1" t="str">
        <f ca="1">IFERROR(__xludf.DUMMYFUNCTION("""COMPUTED_VALUE"""),"Manager who explains what is expected, sets a goal and helps achieve it")</f>
        <v>Manager who explains what is expected, sets a goal and helps achieve it</v>
      </c>
      <c r="P1790" s="1" t="str">
        <f ca="1">IFERROR(__xludf.DUMMYFUNCTION("""COMPUTED_VALUE"""),"Work with 5 to 6 people in my team")</f>
        <v>Work with 5 to 6 people in my team</v>
      </c>
      <c r="Q1790" s="1"/>
    </row>
    <row r="1791" spans="1:17" ht="13.2" x14ac:dyDescent="0.25">
      <c r="A1791" s="2">
        <f ca="1">IFERROR(__xludf.DUMMYFUNCTION("""COMPUTED_VALUE"""),45049.5989855787)</f>
        <v>45049.598985578697</v>
      </c>
      <c r="B1791" s="1" t="str">
        <f ca="1">IFERROR(__xludf.DUMMYFUNCTION("""COMPUTED_VALUE"""),"India")</f>
        <v>India</v>
      </c>
      <c r="C1791" s="1">
        <f ca="1">IFERROR(__xludf.DUMMYFUNCTION("""COMPUTED_VALUE"""),793012)</f>
        <v>793012</v>
      </c>
      <c r="D1791" s="3" t="str">
        <f ca="1">IFERROR(__xludf.DUMMYFUNCTION("""COMPUTED_VALUE"""),"Male")</f>
        <v>Male</v>
      </c>
      <c r="E1791" s="1" t="str">
        <f ca="1">IFERROR(__xludf.DUMMYFUNCTION("""COMPUTED_VALUE"""),"People from my circle, but not family members")</f>
        <v>People from my circle, but not family members</v>
      </c>
      <c r="F1791" s="1" t="str">
        <f ca="1">IFERROR(__xludf.DUMMYFUNCTION("""COMPUTED_VALUE"""),"No, But if someone could bare the cost I will")</f>
        <v>No, But if someone could bare the cost I will</v>
      </c>
      <c r="G1791" s="1" t="str">
        <f ca="1">IFERROR(__xludf.DUMMYFUNCTION("""COMPUTED_VALUE"""),"This will be hard to do, but if it is the right company I would try")</f>
        <v>This will be hard to do, but if it is the right company I would try</v>
      </c>
      <c r="H1791" s="1" t="str">
        <f ca="1">IFERROR(__xludf.DUMMYFUNCTION("""COMPUTED_VALUE"""),"No")</f>
        <v>No</v>
      </c>
      <c r="I1791" s="1" t="str">
        <f ca="1">IFERROR(__xludf.DUMMYFUNCTION("""COMPUTED_VALUE"""),"Will NOT work for them")</f>
        <v>Will NOT work for them</v>
      </c>
      <c r="J1791" s="1">
        <f ca="1">IFERROR(__xludf.DUMMYFUNCTION("""COMPUTED_VALUE"""),4)</f>
        <v>4</v>
      </c>
      <c r="K1791" s="1" t="str">
        <f ca="1">IFERROR(__xludf.DUMMYFUNCTION("""COMPUTED_VALUE"""),"Fully Remote with Options to travel as and when needed")</f>
        <v>Fully Remote with Options to travel as and when needed</v>
      </c>
      <c r="L1791" s="1" t="str">
        <f ca="1">IFERROR(__xludf.DUMMYFUNCTION("""COMPUTED_VALUE"""),"Employer who pushes your limits by enabling an learning environment, and rewards you at the end")</f>
        <v>Employer who pushes your limits by enabling an learning environment, and rewards you at the end</v>
      </c>
      <c r="M179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9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791" s="1" t="str">
        <f ca="1">IFERROR(__xludf.DUMMYFUNCTION("""COMPUTED_VALUE"""),"Manager who explains what is expected, sets a goal and helps achieve it")</f>
        <v>Manager who explains what is expected, sets a goal and helps achieve it</v>
      </c>
      <c r="P1791" s="1" t="str">
        <f ca="1">IFERROR(__xludf.DUMMYFUNCTION("""COMPUTED_VALUE"""),"Work with 5 to 6 people in my team")</f>
        <v>Work with 5 to 6 people in my team</v>
      </c>
      <c r="Q1791" s="1"/>
    </row>
    <row r="1792" spans="1:17" ht="13.2" x14ac:dyDescent="0.25">
      <c r="A1792" s="2">
        <f ca="1">IFERROR(__xludf.DUMMYFUNCTION("""COMPUTED_VALUE"""),45049.7988944907)</f>
        <v>45049.798894490697</v>
      </c>
      <c r="B1792" s="1" t="str">
        <f ca="1">IFERROR(__xludf.DUMMYFUNCTION("""COMPUTED_VALUE"""),"India")</f>
        <v>India</v>
      </c>
      <c r="C1792" s="1">
        <f ca="1">IFERROR(__xludf.DUMMYFUNCTION("""COMPUTED_VALUE"""),570017)</f>
        <v>570017</v>
      </c>
      <c r="D1792" s="3" t="str">
        <f ca="1">IFERROR(__xludf.DUMMYFUNCTION("""COMPUTED_VALUE"""),"Female")</f>
        <v>Female</v>
      </c>
      <c r="E1792" s="1" t="str">
        <f ca="1">IFERROR(__xludf.DUMMYFUNCTION("""COMPUTED_VALUE"""),"Influencers who had successful careers")</f>
        <v>Influencers who had successful careers</v>
      </c>
      <c r="F1792" s="1" t="str">
        <f ca="1">IFERROR(__xludf.DUMMYFUNCTION("""COMPUTED_VALUE"""),"No, But if someone could bare the cost I will")</f>
        <v>No, But if someone could bare the cost I will</v>
      </c>
      <c r="G1792" s="1" t="str">
        <f ca="1">IFERROR(__xludf.DUMMYFUNCTION("""COMPUTED_VALUE"""),"This will be hard to do, but if it is the right company I would try")</f>
        <v>This will be hard to do, but if it is the right company I would try</v>
      </c>
      <c r="H1792" s="1" t="str">
        <f ca="1">IFERROR(__xludf.DUMMYFUNCTION("""COMPUTED_VALUE"""),"No")</f>
        <v>No</v>
      </c>
      <c r="I1792" s="1" t="str">
        <f ca="1">IFERROR(__xludf.DUMMYFUNCTION("""COMPUTED_VALUE"""),"Will NOT work for them")</f>
        <v>Will NOT work for them</v>
      </c>
      <c r="J1792" s="1">
        <f ca="1">IFERROR(__xludf.DUMMYFUNCTION("""COMPUTED_VALUE"""),6)</f>
        <v>6</v>
      </c>
      <c r="K1792" s="1" t="str">
        <f ca="1">IFERROR(__xludf.DUMMYFUNCTION("""COMPUTED_VALUE"""),"Fully Remote with Options to travel as and when needed")</f>
        <v>Fully Remote with Options to travel as and when needed</v>
      </c>
      <c r="L1792" s="1" t="str">
        <f ca="1">IFERROR(__xludf.DUMMYFUNCTION("""COMPUTED_VALUE"""),"Employer who rewards learning and enables that environment")</f>
        <v>Employer who rewards learning and enables that environment</v>
      </c>
      <c r="M179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92"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792" s="1" t="str">
        <f ca="1">IFERROR(__xludf.DUMMYFUNCTION("""COMPUTED_VALUE"""),"Manager who explains what is expected, sets a goal and helps achieve it")</f>
        <v>Manager who explains what is expected, sets a goal and helps achieve it</v>
      </c>
      <c r="P1792" s="1" t="str">
        <f ca="1">IFERROR(__xludf.DUMMYFUNCTION("""COMPUTED_VALUE"""),"Work with 5 to 6 people in my team")</f>
        <v>Work with 5 to 6 people in my team</v>
      </c>
      <c r="Q1792" s="1"/>
    </row>
    <row r="1793" spans="1:17" ht="13.2" x14ac:dyDescent="0.25">
      <c r="A1793" s="2">
        <f ca="1">IFERROR(__xludf.DUMMYFUNCTION("""COMPUTED_VALUE"""),45049.9011463194)</f>
        <v>45049.901146319397</v>
      </c>
      <c r="B1793" s="1" t="str">
        <f ca="1">IFERROR(__xludf.DUMMYFUNCTION("""COMPUTED_VALUE"""),"India")</f>
        <v>India</v>
      </c>
      <c r="C1793" s="1">
        <f ca="1">IFERROR(__xludf.DUMMYFUNCTION("""COMPUTED_VALUE"""),424201)</f>
        <v>424201</v>
      </c>
      <c r="D1793" s="3" t="str">
        <f ca="1">IFERROR(__xludf.DUMMYFUNCTION("""COMPUTED_VALUE"""),"Female")</f>
        <v>Female</v>
      </c>
      <c r="E1793" s="1" t="str">
        <f ca="1">IFERROR(__xludf.DUMMYFUNCTION("""COMPUTED_VALUE"""),"People from my circle, but not family members")</f>
        <v>People from my circle, but not family members</v>
      </c>
      <c r="F1793" s="1" t="str">
        <f ca="1">IFERROR(__xludf.DUMMYFUNCTION("""COMPUTED_VALUE"""),"Yes, I will earn and do that")</f>
        <v>Yes, I will earn and do that</v>
      </c>
      <c r="G1793" s="1" t="str">
        <f ca="1">IFERROR(__xludf.DUMMYFUNCTION("""COMPUTED_VALUE"""),"This will be hard to do, but if it is the right company I would try")</f>
        <v>This will be hard to do, but if it is the right company I would try</v>
      </c>
      <c r="H1793" s="1" t="str">
        <f ca="1">IFERROR(__xludf.DUMMYFUNCTION("""COMPUTED_VALUE"""),"No")</f>
        <v>No</v>
      </c>
      <c r="I1793" s="1" t="str">
        <f ca="1">IFERROR(__xludf.DUMMYFUNCTION("""COMPUTED_VALUE"""),"Will NOT work for them")</f>
        <v>Will NOT work for them</v>
      </c>
      <c r="J1793" s="1">
        <f ca="1">IFERROR(__xludf.DUMMYFUNCTION("""COMPUTED_VALUE"""),7)</f>
        <v>7</v>
      </c>
      <c r="K1793" s="1" t="str">
        <f ca="1">IFERROR(__xludf.DUMMYFUNCTION("""COMPUTED_VALUE"""),"Fully Remote with No option to visit offices")</f>
        <v>Fully Remote with No option to visit offices</v>
      </c>
      <c r="L1793" s="1" t="str">
        <f ca="1">IFERROR(__xludf.DUMMYFUNCTION("""COMPUTED_VALUE"""),"Employer who pushes your limits by enabling an learning environment, and rewards you at the end")</f>
        <v>Employer who pushes your limits by enabling an learning environment, and rewards you at the end</v>
      </c>
      <c r="M179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9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793" s="1" t="str">
        <f ca="1">IFERROR(__xludf.DUMMYFUNCTION("""COMPUTED_VALUE"""),"Manager who explains what is expected, sets a goal and helps achieve it")</f>
        <v>Manager who explains what is expected, sets a goal and helps achieve it</v>
      </c>
      <c r="P1793"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793" s="1"/>
    </row>
    <row r="1794" spans="1:17" ht="13.2" x14ac:dyDescent="0.25">
      <c r="A1794" s="2">
        <f ca="1">IFERROR(__xludf.DUMMYFUNCTION("""COMPUTED_VALUE"""),45049.923602743)</f>
        <v>45049.923602743002</v>
      </c>
      <c r="B1794" s="1" t="str">
        <f ca="1">IFERROR(__xludf.DUMMYFUNCTION("""COMPUTED_VALUE"""),"India")</f>
        <v>India</v>
      </c>
      <c r="C1794" s="1">
        <f ca="1">IFERROR(__xludf.DUMMYFUNCTION("""COMPUTED_VALUE"""),700156)</f>
        <v>700156</v>
      </c>
      <c r="D1794" s="3" t="str">
        <f ca="1">IFERROR(__xludf.DUMMYFUNCTION("""COMPUTED_VALUE"""),"Female")</f>
        <v>Female</v>
      </c>
      <c r="E1794" s="1" t="str">
        <f ca="1">IFERROR(__xludf.DUMMYFUNCTION("""COMPUTED_VALUE"""),"People who have changed the world for better")</f>
        <v>People who have changed the world for better</v>
      </c>
      <c r="F1794" s="1" t="str">
        <f ca="1">IFERROR(__xludf.DUMMYFUNCTION("""COMPUTED_VALUE"""),"Yes, I will earn and do that")</f>
        <v>Yes, I will earn and do that</v>
      </c>
      <c r="G1794" s="1" t="str">
        <f ca="1">IFERROR(__xludf.DUMMYFUNCTION("""COMPUTED_VALUE"""),"This will be hard to do, but if it is the right company I would try")</f>
        <v>This will be hard to do, but if it is the right company I would try</v>
      </c>
      <c r="H1794" s="1" t="str">
        <f ca="1">IFERROR(__xludf.DUMMYFUNCTION("""COMPUTED_VALUE"""),"No")</f>
        <v>No</v>
      </c>
      <c r="I1794" s="1" t="str">
        <f ca="1">IFERROR(__xludf.DUMMYFUNCTION("""COMPUTED_VALUE"""),"Will NOT work for them")</f>
        <v>Will NOT work for them</v>
      </c>
      <c r="J1794" s="1">
        <f ca="1">IFERROR(__xludf.DUMMYFUNCTION("""COMPUTED_VALUE"""),1)</f>
        <v>1</v>
      </c>
      <c r="K1794" s="1" t="str">
        <f ca="1">IFERROR(__xludf.DUMMYFUNCTION("""COMPUTED_VALUE"""),"Hybrid Working Environment with more than 15 days a month at office")</f>
        <v>Hybrid Working Environment with more than 15 days a month at office</v>
      </c>
      <c r="L1794" s="1" t="str">
        <f ca="1">IFERROR(__xludf.DUMMYFUNCTION("""COMPUTED_VALUE"""),"Employer who pushes your limits by enabling an learning environment, and rewards you at the end")</f>
        <v>Employer who pushes your limits by enabling an learning environment, and rewards you at the end</v>
      </c>
      <c r="M17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94" s="1" t="str">
        <f ca="1">IFERROR(__xludf.DUMMYFUNCTION("""COMPUTED_VALUE"""),"Design and Creative strategy in any company, Teaching in any of the institutes/colleges/online or offline, Manage and drive End-to-End Projects or Products, I Want to sell things/Sales")</f>
        <v>Design and Creative strategy in any company, Teaching in any of the institutes/colleges/online or offline, Manage and drive End-to-End Projects or Products, I Want to sell things/Sales</v>
      </c>
      <c r="O1794" s="1" t="str">
        <f ca="1">IFERROR(__xludf.DUMMYFUNCTION("""COMPUTED_VALUE"""),"Manager who explains what is expected, sets a goal and helps achieve it")</f>
        <v>Manager who explains what is expected, sets a goal and helps achieve it</v>
      </c>
      <c r="P1794" s="1" t="str">
        <f ca="1">IFERROR(__xludf.DUMMYFUNCTION("""COMPUTED_VALUE"""),"Work alone, Work with 2 to 3 people in my team")</f>
        <v>Work alone, Work with 2 to 3 people in my team</v>
      </c>
      <c r="Q1794" s="1"/>
    </row>
    <row r="1795" spans="1:17" ht="13.2" x14ac:dyDescent="0.25">
      <c r="A1795" s="2">
        <f ca="1">IFERROR(__xludf.DUMMYFUNCTION("""COMPUTED_VALUE"""),45049.9452530324)</f>
        <v>45049.945253032398</v>
      </c>
      <c r="B1795" s="1" t="str">
        <f ca="1">IFERROR(__xludf.DUMMYFUNCTION("""COMPUTED_VALUE"""),"India")</f>
        <v>India</v>
      </c>
      <c r="C1795" s="1">
        <f ca="1">IFERROR(__xludf.DUMMYFUNCTION("""COMPUTED_VALUE"""),500054)</f>
        <v>500054</v>
      </c>
      <c r="D1795" s="3" t="str">
        <f ca="1">IFERROR(__xludf.DUMMYFUNCTION("""COMPUTED_VALUE"""),"Male")</f>
        <v>Male</v>
      </c>
      <c r="E1795" s="1" t="str">
        <f ca="1">IFERROR(__xludf.DUMMYFUNCTION("""COMPUTED_VALUE"""),"Social Media like LinkedIn")</f>
        <v>Social Media like LinkedIn</v>
      </c>
      <c r="F1795" s="1" t="str">
        <f ca="1">IFERROR(__xludf.DUMMYFUNCTION("""COMPUTED_VALUE"""),"Yes, I will earn and do that")</f>
        <v>Yes, I will earn and do that</v>
      </c>
      <c r="G1795" s="1" t="str">
        <f ca="1">IFERROR(__xludf.DUMMYFUNCTION("""COMPUTED_VALUE"""),"Will work for 3 years or more")</f>
        <v>Will work for 3 years or more</v>
      </c>
      <c r="H1795" s="1" t="str">
        <f ca="1">IFERROR(__xludf.DUMMYFUNCTION("""COMPUTED_VALUE"""),"No")</f>
        <v>No</v>
      </c>
      <c r="I1795" s="1" t="str">
        <f ca="1">IFERROR(__xludf.DUMMYFUNCTION("""COMPUTED_VALUE"""),"Will NOT work for them")</f>
        <v>Will NOT work for them</v>
      </c>
      <c r="J1795" s="1">
        <f ca="1">IFERROR(__xludf.DUMMYFUNCTION("""COMPUTED_VALUE"""),1)</f>
        <v>1</v>
      </c>
      <c r="K1795" s="1" t="str">
        <f ca="1">IFERROR(__xludf.DUMMYFUNCTION("""COMPUTED_VALUE"""),"Fully Remote with Options to travel as and when needed")</f>
        <v>Fully Remote with Options to travel as and when needed</v>
      </c>
      <c r="L1795" s="1" t="str">
        <f ca="1">IFERROR(__xludf.DUMMYFUNCTION("""COMPUTED_VALUE"""),"Employer who rewards learning and enables that environment")</f>
        <v>Employer who rewards learning and enables that environment</v>
      </c>
      <c r="M179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95"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795" s="1" t="str">
        <f ca="1">IFERROR(__xludf.DUMMYFUNCTION("""COMPUTED_VALUE"""),"Manager who clearly describes what she/he needs")</f>
        <v>Manager who clearly describes what she/he needs</v>
      </c>
      <c r="P1795" s="1" t="str">
        <f ca="1">IFERROR(__xludf.DUMMYFUNCTION("""COMPUTED_VALUE"""),"Work with 5 to 6 people in my team")</f>
        <v>Work with 5 to 6 people in my team</v>
      </c>
      <c r="Q1795" s="1"/>
    </row>
    <row r="1796" spans="1:17" ht="13.2" x14ac:dyDescent="0.25">
      <c r="A1796" s="2">
        <f ca="1">IFERROR(__xludf.DUMMYFUNCTION("""COMPUTED_VALUE"""),45049.9926668518)</f>
        <v>45049.992666851802</v>
      </c>
      <c r="B1796" s="1" t="str">
        <f ca="1">IFERROR(__xludf.DUMMYFUNCTION("""COMPUTED_VALUE"""),"India")</f>
        <v>India</v>
      </c>
      <c r="C1796" s="1">
        <f ca="1">IFERROR(__xludf.DUMMYFUNCTION("""COMPUTED_VALUE"""),600092)</f>
        <v>600092</v>
      </c>
      <c r="D1796" s="3" t="str">
        <f ca="1">IFERROR(__xludf.DUMMYFUNCTION("""COMPUTED_VALUE"""),"Female")</f>
        <v>Female</v>
      </c>
      <c r="E1796" s="1" t="str">
        <f ca="1">IFERROR(__xludf.DUMMYFUNCTION("""COMPUTED_VALUE"""),"My Parents")</f>
        <v>My Parents</v>
      </c>
      <c r="F1796" s="1" t="str">
        <f ca="1">IFERROR(__xludf.DUMMYFUNCTION("""COMPUTED_VALUE"""),"No I would not be pursuing Higher Education outside of India")</f>
        <v>No I would not be pursuing Higher Education outside of India</v>
      </c>
      <c r="G1796" s="1" t="str">
        <f ca="1">IFERROR(__xludf.DUMMYFUNCTION("""COMPUTED_VALUE"""),"This will be hard to do, but if it is the right company I would try")</f>
        <v>This will be hard to do, but if it is the right company I would try</v>
      </c>
      <c r="H1796" s="1" t="str">
        <f ca="1">IFERROR(__xludf.DUMMYFUNCTION("""COMPUTED_VALUE"""),"No")</f>
        <v>No</v>
      </c>
      <c r="I1796" s="1" t="str">
        <f ca="1">IFERROR(__xludf.DUMMYFUNCTION("""COMPUTED_VALUE"""),"Will NOT work for them")</f>
        <v>Will NOT work for them</v>
      </c>
      <c r="J1796" s="1">
        <f ca="1">IFERROR(__xludf.DUMMYFUNCTION("""COMPUTED_VALUE"""),4)</f>
        <v>4</v>
      </c>
      <c r="K1796" s="1" t="str">
        <f ca="1">IFERROR(__xludf.DUMMYFUNCTION("""COMPUTED_VALUE"""),"Hybrid Working Environment with more than 15 days a month at office")</f>
        <v>Hybrid Working Environment with more than 15 days a month at office</v>
      </c>
      <c r="L1796" s="1" t="str">
        <f ca="1">IFERROR(__xludf.DUMMYFUNCTION("""COMPUTED_VALUE"""),"Employer who pushes your limits by enabling an learning environment, and rewards you at the end")</f>
        <v>Employer who pushes your limits by enabling an learning environment, and rewards you at the end</v>
      </c>
      <c r="M179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796"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1796" s="1" t="str">
        <f ca="1">IFERROR(__xludf.DUMMYFUNCTION("""COMPUTED_VALUE"""),"Manager who explains what is expected, sets a goal and helps achieve it")</f>
        <v>Manager who explains what is expected, sets a goal and helps achieve it</v>
      </c>
      <c r="P1796" s="1" t="str">
        <f ca="1">IFERROR(__xludf.DUMMYFUNCTION("""COMPUTED_VALUE"""),"Work with 5 to 6 people in my team")</f>
        <v>Work with 5 to 6 people in my team</v>
      </c>
      <c r="Q1796" s="1"/>
    </row>
    <row r="1797" spans="1:17" ht="13.2" x14ac:dyDescent="0.25">
      <c r="A1797" s="2">
        <f ca="1">IFERROR(__xludf.DUMMYFUNCTION("""COMPUTED_VALUE"""),45050.4136728935)</f>
        <v>45050.413672893497</v>
      </c>
      <c r="B1797" s="1" t="str">
        <f ca="1">IFERROR(__xludf.DUMMYFUNCTION("""COMPUTED_VALUE"""),"India")</f>
        <v>India</v>
      </c>
      <c r="C1797" s="1">
        <f ca="1">IFERROR(__xludf.DUMMYFUNCTION("""COMPUTED_VALUE"""),641604)</f>
        <v>641604</v>
      </c>
      <c r="D1797" s="3" t="str">
        <f ca="1">IFERROR(__xludf.DUMMYFUNCTION("""COMPUTED_VALUE"""),"Female")</f>
        <v>Female</v>
      </c>
      <c r="E1797" s="1" t="str">
        <f ca="1">IFERROR(__xludf.DUMMYFUNCTION("""COMPUTED_VALUE"""),"Social Media like LinkedIn")</f>
        <v>Social Media like LinkedIn</v>
      </c>
      <c r="F1797" s="1" t="str">
        <f ca="1">IFERROR(__xludf.DUMMYFUNCTION("""COMPUTED_VALUE"""),"No I would not be pursuing Higher Education outside of India")</f>
        <v>No I would not be pursuing Higher Education outside of India</v>
      </c>
      <c r="G1797" s="1" t="str">
        <f ca="1">IFERROR(__xludf.DUMMYFUNCTION("""COMPUTED_VALUE"""),"This will be hard to do, but if it is the right company I would try")</f>
        <v>This will be hard to do, but if it is the right company I would try</v>
      </c>
      <c r="H1797" s="1" t="str">
        <f ca="1">IFERROR(__xludf.DUMMYFUNCTION("""COMPUTED_VALUE"""),"No")</f>
        <v>No</v>
      </c>
      <c r="I1797" s="1" t="str">
        <f ca="1">IFERROR(__xludf.DUMMYFUNCTION("""COMPUTED_VALUE"""),"Will NOT work for them")</f>
        <v>Will NOT work for them</v>
      </c>
      <c r="J1797" s="1">
        <f ca="1">IFERROR(__xludf.DUMMYFUNCTION("""COMPUTED_VALUE"""),6)</f>
        <v>6</v>
      </c>
      <c r="K1797" s="1" t="str">
        <f ca="1">IFERROR(__xludf.DUMMYFUNCTION("""COMPUTED_VALUE"""),"Hybrid Working Environment with more than 15 days a month at office")</f>
        <v>Hybrid Working Environment with more than 15 days a month at office</v>
      </c>
      <c r="L1797" s="1" t="str">
        <f ca="1">IFERROR(__xludf.DUMMYFUNCTION("""COMPUTED_VALUE"""),"Employer who pushes your limits by enabling an learning environment, and rewards you at the end")</f>
        <v>Employer who pushes your limits by enabling an learning environment, and rewards you at the end</v>
      </c>
      <c r="M179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9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797" s="1" t="str">
        <f ca="1">IFERROR(__xludf.DUMMYFUNCTION("""COMPUTED_VALUE"""),"Manager who explains what is expected, sets a goal and helps achieve it")</f>
        <v>Manager who explains what is expected, sets a goal and helps achieve it</v>
      </c>
      <c r="P1797" s="1" t="str">
        <f ca="1">IFERROR(__xludf.DUMMYFUNCTION("""COMPUTED_VALUE"""),"Work with 2 to 3 people in my team, Work with 5 to 6 people in my team")</f>
        <v>Work with 2 to 3 people in my team, Work with 5 to 6 people in my team</v>
      </c>
      <c r="Q1797" s="1"/>
    </row>
    <row r="1798" spans="1:17" ht="13.2" x14ac:dyDescent="0.25">
      <c r="A1798" s="2">
        <f ca="1">IFERROR(__xludf.DUMMYFUNCTION("""COMPUTED_VALUE"""),45050.5473637152)</f>
        <v>45050.547363715203</v>
      </c>
      <c r="B1798" s="1" t="str">
        <f ca="1">IFERROR(__xludf.DUMMYFUNCTION("""COMPUTED_VALUE"""),"India")</f>
        <v>India</v>
      </c>
      <c r="C1798" s="1">
        <f ca="1">IFERROR(__xludf.DUMMYFUNCTION("""COMPUTED_VALUE"""),793001)</f>
        <v>793001</v>
      </c>
      <c r="D1798" s="3" t="str">
        <f ca="1">IFERROR(__xludf.DUMMYFUNCTION("""COMPUTED_VALUE"""),"Female")</f>
        <v>Female</v>
      </c>
      <c r="E1798" s="1" t="str">
        <f ca="1">IFERROR(__xludf.DUMMYFUNCTION("""COMPUTED_VALUE"""),"My Parents")</f>
        <v>My Parents</v>
      </c>
      <c r="F1798" s="1" t="str">
        <f ca="1">IFERROR(__xludf.DUMMYFUNCTION("""COMPUTED_VALUE"""),"No, But if someone could bare the cost I will")</f>
        <v>No, But if someone could bare the cost I will</v>
      </c>
      <c r="G1798" s="1" t="str">
        <f ca="1">IFERROR(__xludf.DUMMYFUNCTION("""COMPUTED_VALUE"""),"Will work for 3 years or more")</f>
        <v>Will work for 3 years or more</v>
      </c>
      <c r="H1798" s="1" t="str">
        <f ca="1">IFERROR(__xludf.DUMMYFUNCTION("""COMPUTED_VALUE"""),"No")</f>
        <v>No</v>
      </c>
      <c r="I1798" s="1" t="str">
        <f ca="1">IFERROR(__xludf.DUMMYFUNCTION("""COMPUTED_VALUE"""),"Will NOT work for them")</f>
        <v>Will NOT work for them</v>
      </c>
      <c r="J1798" s="1">
        <f ca="1">IFERROR(__xludf.DUMMYFUNCTION("""COMPUTED_VALUE"""),10)</f>
        <v>10</v>
      </c>
      <c r="K1798" s="1" t="str">
        <f ca="1">IFERROR(__xludf.DUMMYFUNCTION("""COMPUTED_VALUE"""),"Fully Remote with Options to travel as and when needed")</f>
        <v>Fully Remote with Options to travel as and when needed</v>
      </c>
      <c r="L1798" s="1" t="str">
        <f ca="1">IFERROR(__xludf.DUMMYFUNCTION("""COMPUTED_VALUE"""),"Employer who appreciates learning and enables that environment")</f>
        <v>Employer who appreciates learning and enables that environment</v>
      </c>
      <c r="M1798" s="1" t="str">
        <f ca="1">IFERROR(__xludf.DUMMYFUNCTION("""COMPUTED_VALUE"""),"Self Paced Learning Portals of the Company, Instructor or Expert Learning Programs, Manager Teaching you")</f>
        <v>Self Paced Learning Portals of the Company, Instructor or Expert Learning Programs, Manager Teaching you</v>
      </c>
      <c r="N1798" s="1" t="str">
        <f ca="1">IFERROR(__xludf.DUMMYFUNCTION("""COMPUTED_VALUE"""),"Business Operations in any organization, Build and develop a Team, Become a content Creator in some platform, Entrepreneur or Start Up")</f>
        <v>Business Operations in any organization, Build and develop a Team, Become a content Creator in some platform, Entrepreneur or Start Up</v>
      </c>
      <c r="O1798" s="1" t="str">
        <f ca="1">IFERROR(__xludf.DUMMYFUNCTION("""COMPUTED_VALUE"""),"Manager who explains what is expected, sets a goal and helps achieve it")</f>
        <v>Manager who explains what is expected, sets a goal and helps achieve it</v>
      </c>
      <c r="P1798" s="1" t="str">
        <f ca="1">IFERROR(__xludf.DUMMYFUNCTION("""COMPUTED_VALUE"""),"Work with more than 10 people in my team")</f>
        <v>Work with more than 10 people in my team</v>
      </c>
      <c r="Q1798" s="1"/>
    </row>
    <row r="1799" spans="1:17" ht="13.2" x14ac:dyDescent="0.25">
      <c r="A1799" s="2">
        <f ca="1">IFERROR(__xludf.DUMMYFUNCTION("""COMPUTED_VALUE"""),45050.6305447453)</f>
        <v>45050.630544745298</v>
      </c>
      <c r="B1799" s="1" t="str">
        <f ca="1">IFERROR(__xludf.DUMMYFUNCTION("""COMPUTED_VALUE"""),"India")</f>
        <v>India</v>
      </c>
      <c r="C1799" s="1">
        <f ca="1">IFERROR(__xludf.DUMMYFUNCTION("""COMPUTED_VALUE"""),412201)</f>
        <v>412201</v>
      </c>
      <c r="D1799" s="3" t="str">
        <f ca="1">IFERROR(__xludf.DUMMYFUNCTION("""COMPUTED_VALUE"""),"Female")</f>
        <v>Female</v>
      </c>
      <c r="E1799" s="1" t="str">
        <f ca="1">IFERROR(__xludf.DUMMYFUNCTION("""COMPUTED_VALUE"""),"Social Media like LinkedIn")</f>
        <v>Social Media like LinkedIn</v>
      </c>
      <c r="F1799" s="1" t="str">
        <f ca="1">IFERROR(__xludf.DUMMYFUNCTION("""COMPUTED_VALUE"""),"Yes, I will earn and do that")</f>
        <v>Yes, I will earn and do that</v>
      </c>
      <c r="G1799" s="1" t="str">
        <f ca="1">IFERROR(__xludf.DUMMYFUNCTION("""COMPUTED_VALUE"""),"This will be hard to do, but if it is the right company I would try")</f>
        <v>This will be hard to do, but if it is the right company I would try</v>
      </c>
      <c r="H1799" s="1" t="str">
        <f ca="1">IFERROR(__xludf.DUMMYFUNCTION("""COMPUTED_VALUE"""),"No")</f>
        <v>No</v>
      </c>
      <c r="I1799" s="1" t="str">
        <f ca="1">IFERROR(__xludf.DUMMYFUNCTION("""COMPUTED_VALUE"""),"Will NOT work for them")</f>
        <v>Will NOT work for them</v>
      </c>
      <c r="J1799" s="1">
        <f ca="1">IFERROR(__xludf.DUMMYFUNCTION("""COMPUTED_VALUE"""),8)</f>
        <v>8</v>
      </c>
      <c r="K1799" s="1" t="str">
        <f ca="1">IFERROR(__xludf.DUMMYFUNCTION("""COMPUTED_VALUE"""),"Hybrid Working Environment with more than 15 days a month at office")</f>
        <v>Hybrid Working Environment with more than 15 days a month at office</v>
      </c>
      <c r="L1799" s="1" t="str">
        <f ca="1">IFERROR(__xludf.DUMMYFUNCTION("""COMPUTED_VALUE"""),"Employer who rewards learning and enables that environment")</f>
        <v>Employer who rewards learning and enables that environment</v>
      </c>
      <c r="M1799" s="1" t="str">
        <f ca="1">IFERROR(__xludf.DUMMYFUNCTION("""COMPUTED_VALUE"""),"Self Paced Learning Portals of the Company, Instructor or Expert Learning Programs, Manager Teaching you")</f>
        <v>Self Paced Learning Portals of the Company, Instructor or Expert Learning Programs, Manager Teaching you</v>
      </c>
      <c r="N1799"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799" s="1" t="str">
        <f ca="1">IFERROR(__xludf.DUMMYFUNCTION("""COMPUTED_VALUE"""),"Manager who explains what is expected, sets a goal and helps achieve it")</f>
        <v>Manager who explains what is expected, sets a goal and helps achieve it</v>
      </c>
      <c r="P1799" s="1" t="str">
        <f ca="1">IFERROR(__xludf.DUMMYFUNCTION("""COMPUTED_VALUE"""),"Work with 7 to 10 or more people in my team")</f>
        <v>Work with 7 to 10 or more people in my team</v>
      </c>
      <c r="Q1799" s="1"/>
    </row>
    <row r="1800" spans="1:17" ht="13.2" x14ac:dyDescent="0.25">
      <c r="A1800" s="2">
        <f ca="1">IFERROR(__xludf.DUMMYFUNCTION("""COMPUTED_VALUE"""),45050.6325794444)</f>
        <v>45050.632579444398</v>
      </c>
      <c r="B1800" s="1" t="str">
        <f ca="1">IFERROR(__xludf.DUMMYFUNCTION("""COMPUTED_VALUE"""),"India")</f>
        <v>India</v>
      </c>
      <c r="C1800" s="1">
        <f ca="1">IFERROR(__xludf.DUMMYFUNCTION("""COMPUTED_VALUE"""),500032)</f>
        <v>500032</v>
      </c>
      <c r="D1800" s="3" t="str">
        <f ca="1">IFERROR(__xludf.DUMMYFUNCTION("""COMPUTED_VALUE"""),"Female")</f>
        <v>Female</v>
      </c>
      <c r="E1800" s="1" t="str">
        <f ca="1">IFERROR(__xludf.DUMMYFUNCTION("""COMPUTED_VALUE"""),"Social Media like LinkedIn")</f>
        <v>Social Media like LinkedIn</v>
      </c>
      <c r="F1800" s="1" t="str">
        <f ca="1">IFERROR(__xludf.DUMMYFUNCTION("""COMPUTED_VALUE"""),"Yes, I will earn and do that")</f>
        <v>Yes, I will earn and do that</v>
      </c>
      <c r="G1800" s="1" t="str">
        <f ca="1">IFERROR(__xludf.DUMMYFUNCTION("""COMPUTED_VALUE"""),"Will work for 3 years or more")</f>
        <v>Will work for 3 years or more</v>
      </c>
      <c r="H1800" s="1" t="str">
        <f ca="1">IFERROR(__xludf.DUMMYFUNCTION("""COMPUTED_VALUE"""),"Yes")</f>
        <v>Yes</v>
      </c>
      <c r="I1800" s="1" t="str">
        <f ca="1">IFERROR(__xludf.DUMMYFUNCTION("""COMPUTED_VALUE"""),"Will NOT work for them")</f>
        <v>Will NOT work for them</v>
      </c>
      <c r="J1800" s="1">
        <f ca="1">IFERROR(__xludf.DUMMYFUNCTION("""COMPUTED_VALUE"""),7)</f>
        <v>7</v>
      </c>
      <c r="K1800" s="1" t="str">
        <f ca="1">IFERROR(__xludf.DUMMYFUNCTION("""COMPUTED_VALUE"""),"Every Day Office Environment")</f>
        <v>Every Day Office Environment</v>
      </c>
      <c r="L1800" s="1" t="str">
        <f ca="1">IFERROR(__xludf.DUMMYFUNCTION("""COMPUTED_VALUE"""),"Employer who appreciates learning and enables that environment")</f>
        <v>Employer who appreciates learning and enables that environment</v>
      </c>
      <c r="M180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800" s="1" t="str">
        <f ca="1">IFERROR(__xludf.DUMMYFUNCTION("""COMPUTED_VALUE"""),"Teaching in any of the institutes/colleges/online or offline, Business Operations in any organization, Work as a freelancer and do my thing my way, An Artificial Intelligence Specialist / Talking to Robots")</f>
        <v>Teaching in any of the institutes/colleges/online or offline, Business Operations in any organization, Work as a freelancer and do my thing my way, An Artificial Intelligence Specialist / Talking to Robots</v>
      </c>
      <c r="O1800" s="1" t="str">
        <f ca="1">IFERROR(__xludf.DUMMYFUNCTION("""COMPUTED_VALUE"""),"Manager who clearly describes what she/he needs")</f>
        <v>Manager who clearly describes what she/he needs</v>
      </c>
      <c r="P1800" s="1" t="str">
        <f ca="1">IFERROR(__xludf.DUMMYFUNCTION("""COMPUTED_VALUE"""),"Work with 2 to 3 people in my team")</f>
        <v>Work with 2 to 3 people in my team</v>
      </c>
      <c r="Q1800" s="1"/>
    </row>
    <row r="1801" spans="1:17" ht="13.2" x14ac:dyDescent="0.25">
      <c r="A1801" s="2">
        <f ca="1">IFERROR(__xludf.DUMMYFUNCTION("""COMPUTED_VALUE"""),45050.6390964583)</f>
        <v>45050.639096458297</v>
      </c>
      <c r="B1801" s="1" t="str">
        <f ca="1">IFERROR(__xludf.DUMMYFUNCTION("""COMPUTED_VALUE"""),"India")</f>
        <v>India</v>
      </c>
      <c r="C1801" s="1">
        <f ca="1">IFERROR(__xludf.DUMMYFUNCTION("""COMPUTED_VALUE"""),244236)</f>
        <v>244236</v>
      </c>
      <c r="D1801" s="3" t="str">
        <f ca="1">IFERROR(__xludf.DUMMYFUNCTION("""COMPUTED_VALUE"""),"Female")</f>
        <v>Female</v>
      </c>
      <c r="E1801" s="1" t="str">
        <f ca="1">IFERROR(__xludf.DUMMYFUNCTION("""COMPUTED_VALUE"""),"Influencers who had successful careers")</f>
        <v>Influencers who had successful careers</v>
      </c>
      <c r="F1801" s="1" t="str">
        <f ca="1">IFERROR(__xludf.DUMMYFUNCTION("""COMPUTED_VALUE"""),"No, But if someone could bare the cost I will")</f>
        <v>No, But if someone could bare the cost I will</v>
      </c>
      <c r="G1801" s="1" t="str">
        <f ca="1">IFERROR(__xludf.DUMMYFUNCTION("""COMPUTED_VALUE"""),"This will be hard to do, but if it is the right company I would try")</f>
        <v>This will be hard to do, but if it is the right company I would try</v>
      </c>
      <c r="H1801" s="1" t="str">
        <f ca="1">IFERROR(__xludf.DUMMYFUNCTION("""COMPUTED_VALUE"""),"No")</f>
        <v>No</v>
      </c>
      <c r="I1801" s="1" t="str">
        <f ca="1">IFERROR(__xludf.DUMMYFUNCTION("""COMPUTED_VALUE"""),"Will NOT work for them")</f>
        <v>Will NOT work for them</v>
      </c>
      <c r="J1801" s="1">
        <f ca="1">IFERROR(__xludf.DUMMYFUNCTION("""COMPUTED_VALUE"""),8)</f>
        <v>8</v>
      </c>
      <c r="K1801" s="1" t="str">
        <f ca="1">IFERROR(__xludf.DUMMYFUNCTION("""COMPUTED_VALUE"""),"Hybrid Working Environment with less than 3 days a month at office")</f>
        <v>Hybrid Working Environment with less than 3 days a month at office</v>
      </c>
      <c r="L1801" s="1" t="str">
        <f ca="1">IFERROR(__xludf.DUMMYFUNCTION("""COMPUTED_VALUE"""),"Employer who rewards learning and enables that environment")</f>
        <v>Employer who rewards learning and enables that environment</v>
      </c>
      <c r="M180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801" s="1" t="str">
        <f ca="1">IFERROR(__xludf.DUMMYFUNCTION("""COMPUTED_VALUE"""),"Teaching in any of the institutes/colleges/online or offline, Look deeply into Data and generate insights, Work in a BPO setup for some well known client, Work as a freelancer and do my thing my way")</f>
        <v>Teaching in any of the institutes/colleges/online or offline, Look deeply into Data and generate insights, Work in a BPO setup for some well known client, Work as a freelancer and do my thing my way</v>
      </c>
      <c r="O1801" s="1" t="str">
        <f ca="1">IFERROR(__xludf.DUMMYFUNCTION("""COMPUTED_VALUE"""),"Manager who explains what is expected, sets a goal and helps achieve it")</f>
        <v>Manager who explains what is expected, sets a goal and helps achieve it</v>
      </c>
      <c r="P1801" s="1" t="str">
        <f ca="1">IFERROR(__xludf.DUMMYFUNCTION("""COMPUTED_VALUE"""),"Work with 2 to 3 people in my team, Work with 5 to 6 people in my team")</f>
        <v>Work with 2 to 3 people in my team, Work with 5 to 6 people in my team</v>
      </c>
      <c r="Q1801" s="1"/>
    </row>
    <row r="1802" spans="1:17" ht="13.2" x14ac:dyDescent="0.25">
      <c r="A1802" s="2">
        <f ca="1">IFERROR(__xludf.DUMMYFUNCTION("""COMPUTED_VALUE"""),45050.6458523032)</f>
        <v>45050.645852303198</v>
      </c>
      <c r="B1802" s="1" t="str">
        <f ca="1">IFERROR(__xludf.DUMMYFUNCTION("""COMPUTED_VALUE"""),"India")</f>
        <v>India</v>
      </c>
      <c r="C1802" s="1">
        <f ca="1">IFERROR(__xludf.DUMMYFUNCTION("""COMPUTED_VALUE"""),411014)</f>
        <v>411014</v>
      </c>
      <c r="D1802" s="3" t="str">
        <f ca="1">IFERROR(__xludf.DUMMYFUNCTION("""COMPUTED_VALUE"""),"Male")</f>
        <v>Male</v>
      </c>
      <c r="E1802" s="1" t="str">
        <f ca="1">IFERROR(__xludf.DUMMYFUNCTION("""COMPUTED_VALUE"""),"People who have changed the world for better")</f>
        <v>People who have changed the world for better</v>
      </c>
      <c r="F1802" s="1" t="str">
        <f ca="1">IFERROR(__xludf.DUMMYFUNCTION("""COMPUTED_VALUE"""),"Yes, I will earn and do that")</f>
        <v>Yes, I will earn and do that</v>
      </c>
      <c r="G1802" s="1" t="str">
        <f ca="1">IFERROR(__xludf.DUMMYFUNCTION("""COMPUTED_VALUE"""),"This will be hard to do, but if it is the right company I would try")</f>
        <v>This will be hard to do, but if it is the right company I would try</v>
      </c>
      <c r="H1802" s="1" t="str">
        <f ca="1">IFERROR(__xludf.DUMMYFUNCTION("""COMPUTED_VALUE"""),"Yes")</f>
        <v>Yes</v>
      </c>
      <c r="I1802" s="1" t="str">
        <f ca="1">IFERROR(__xludf.DUMMYFUNCTION("""COMPUTED_VALUE"""),"Will NOT work for them")</f>
        <v>Will NOT work for them</v>
      </c>
      <c r="J1802" s="1">
        <f ca="1">IFERROR(__xludf.DUMMYFUNCTION("""COMPUTED_VALUE"""),6)</f>
        <v>6</v>
      </c>
      <c r="K1802" s="1" t="str">
        <f ca="1">IFERROR(__xludf.DUMMYFUNCTION("""COMPUTED_VALUE"""),"Hybrid Working Environment with less than 3 days a month at office")</f>
        <v>Hybrid Working Environment with less than 3 days a month at office</v>
      </c>
      <c r="L1802" s="1" t="str">
        <f ca="1">IFERROR(__xludf.DUMMYFUNCTION("""COMPUTED_VALUE"""),"Employer who pushes your limits by enabling an learning environment, and rewards you at the end")</f>
        <v>Employer who pushes your limits by enabling an learning environment, and rewards you at the end</v>
      </c>
      <c r="M180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802"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802" s="1" t="str">
        <f ca="1">IFERROR(__xludf.DUMMYFUNCTION("""COMPUTED_VALUE"""),"Manager who explains what is expected, sets a goal and helps achieve it")</f>
        <v>Manager who explains what is expected, sets a goal and helps achieve it</v>
      </c>
      <c r="P180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802" s="1"/>
    </row>
    <row r="1803" spans="1:17" ht="13.2" x14ac:dyDescent="0.25">
      <c r="A1803" s="2">
        <f ca="1">IFERROR(__xludf.DUMMYFUNCTION("""COMPUTED_VALUE"""),45050.6466790856)</f>
        <v>45050.646679085599</v>
      </c>
      <c r="B1803" s="1" t="str">
        <f ca="1">IFERROR(__xludf.DUMMYFUNCTION("""COMPUTED_VALUE"""),"India")</f>
        <v>India</v>
      </c>
      <c r="C1803" s="1">
        <f ca="1">IFERROR(__xludf.DUMMYFUNCTION("""COMPUTED_VALUE"""),500050)</f>
        <v>500050</v>
      </c>
      <c r="D1803" s="3" t="str">
        <f ca="1">IFERROR(__xludf.DUMMYFUNCTION("""COMPUTED_VALUE"""),"Male")</f>
        <v>Male</v>
      </c>
      <c r="E1803" s="1" t="str">
        <f ca="1">IFERROR(__xludf.DUMMYFUNCTION("""COMPUTED_VALUE"""),"My Parents")</f>
        <v>My Parents</v>
      </c>
      <c r="F1803" s="1" t="str">
        <f ca="1">IFERROR(__xludf.DUMMYFUNCTION("""COMPUTED_VALUE"""),"No I would not be pursuing Higher Education outside of India")</f>
        <v>No I would not be pursuing Higher Education outside of India</v>
      </c>
      <c r="G1803" s="1" t="str">
        <f ca="1">IFERROR(__xludf.DUMMYFUNCTION("""COMPUTED_VALUE"""),"Will work for 3 years or more")</f>
        <v>Will work for 3 years or more</v>
      </c>
      <c r="H1803" s="1" t="str">
        <f ca="1">IFERROR(__xludf.DUMMYFUNCTION("""COMPUTED_VALUE"""),"No")</f>
        <v>No</v>
      </c>
      <c r="I1803" s="1" t="str">
        <f ca="1">IFERROR(__xludf.DUMMYFUNCTION("""COMPUTED_VALUE"""),"Will NOT work for them")</f>
        <v>Will NOT work for them</v>
      </c>
      <c r="J1803" s="1">
        <f ca="1">IFERROR(__xludf.DUMMYFUNCTION("""COMPUTED_VALUE"""),7)</f>
        <v>7</v>
      </c>
      <c r="K1803" s="1" t="str">
        <f ca="1">IFERROR(__xludf.DUMMYFUNCTION("""COMPUTED_VALUE"""),"Every Day Office Environment")</f>
        <v>Every Day Office Environment</v>
      </c>
      <c r="L1803" s="1" t="str">
        <f ca="1">IFERROR(__xludf.DUMMYFUNCTION("""COMPUTED_VALUE"""),"Employer who appreciates learning and enables that environment")</f>
        <v>Employer who appreciates learning and enables that environment</v>
      </c>
      <c r="M180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803" s="1" t="str">
        <f ca="1">IFERROR(__xludf.DUMMYFUNCTION("""COMPUTED_VALUE"""),"Teaching in any of the institutes/colleges/online or offline, Design and Develop amazing software, Look deeply into Data and generate insights, Become a content Creator in some platform")</f>
        <v>Teaching in any of the institutes/colleges/online or offline, Design and Develop amazing software, Look deeply into Data and generate insights, Become a content Creator in some platform</v>
      </c>
      <c r="O1803" s="1" t="str">
        <f ca="1">IFERROR(__xludf.DUMMYFUNCTION("""COMPUTED_VALUE"""),"Manager who sets goal and helps me achieve it")</f>
        <v>Manager who sets goal and helps me achieve it</v>
      </c>
      <c r="P1803" s="1" t="str">
        <f ca="1">IFERROR(__xludf.DUMMYFUNCTION("""COMPUTED_VALUE"""),"Work with more than 10 people in my team")</f>
        <v>Work with more than 10 people in my team</v>
      </c>
      <c r="Q1803" s="1"/>
    </row>
    <row r="1804" spans="1:17" ht="13.2" x14ac:dyDescent="0.25">
      <c r="A1804" s="2">
        <f ca="1">IFERROR(__xludf.DUMMYFUNCTION("""COMPUTED_VALUE"""),45050.6522670833)</f>
        <v>45050.6522670833</v>
      </c>
      <c r="B1804" s="1" t="str">
        <f ca="1">IFERROR(__xludf.DUMMYFUNCTION("""COMPUTED_VALUE"""),"India")</f>
        <v>India</v>
      </c>
      <c r="C1804" s="1">
        <f ca="1">IFERROR(__xludf.DUMMYFUNCTION("""COMPUTED_VALUE"""),500085)</f>
        <v>500085</v>
      </c>
      <c r="D1804" s="3" t="str">
        <f ca="1">IFERROR(__xludf.DUMMYFUNCTION("""COMPUTED_VALUE"""),"Female")</f>
        <v>Female</v>
      </c>
      <c r="E1804" s="1" t="str">
        <f ca="1">IFERROR(__xludf.DUMMYFUNCTION("""COMPUTED_VALUE"""),"My Parents")</f>
        <v>My Parents</v>
      </c>
      <c r="F1804" s="1" t="str">
        <f ca="1">IFERROR(__xludf.DUMMYFUNCTION("""COMPUTED_VALUE"""),"No I would not be pursuing Higher Education outside of India")</f>
        <v>No I would not be pursuing Higher Education outside of India</v>
      </c>
      <c r="G1804" s="1" t="str">
        <f ca="1">IFERROR(__xludf.DUMMYFUNCTION("""COMPUTED_VALUE"""),"Will work for 3 years or more")</f>
        <v>Will work for 3 years or more</v>
      </c>
      <c r="H1804" s="1" t="str">
        <f ca="1">IFERROR(__xludf.DUMMYFUNCTION("""COMPUTED_VALUE"""),"No")</f>
        <v>No</v>
      </c>
      <c r="I1804" s="1" t="str">
        <f ca="1">IFERROR(__xludf.DUMMYFUNCTION("""COMPUTED_VALUE"""),"Will work for them")</f>
        <v>Will work for them</v>
      </c>
      <c r="J1804" s="1">
        <f ca="1">IFERROR(__xludf.DUMMYFUNCTION("""COMPUTED_VALUE"""),9)</f>
        <v>9</v>
      </c>
      <c r="K1804" s="1" t="str">
        <f ca="1">IFERROR(__xludf.DUMMYFUNCTION("""COMPUTED_VALUE"""),"Every Day Office Environment")</f>
        <v>Every Day Office Environment</v>
      </c>
      <c r="L1804" s="1" t="str">
        <f ca="1">IFERROR(__xludf.DUMMYFUNCTION("""COMPUTED_VALUE"""),"Employer who appreciates learning and enables that environment")</f>
        <v>Employer who appreciates learning and enables that environment</v>
      </c>
      <c r="M18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804" s="1" t="str">
        <f ca="1">IFERROR(__xludf.DUMMYFUNCTION("""COMPUTED_VALUE"""),"Manager who sets targets and expects me to achieve it")</f>
        <v>Manager who sets targets and expects me to achieve it</v>
      </c>
      <c r="P180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804" s="1"/>
    </row>
    <row r="1805" spans="1:17" ht="13.2" x14ac:dyDescent="0.25">
      <c r="A1805" s="2">
        <f ca="1">IFERROR(__xludf.DUMMYFUNCTION("""COMPUTED_VALUE"""),45050.6529187384)</f>
        <v>45050.6529187384</v>
      </c>
      <c r="B1805" s="1" t="str">
        <f ca="1">IFERROR(__xludf.DUMMYFUNCTION("""COMPUTED_VALUE"""),"India")</f>
        <v>India</v>
      </c>
      <c r="C1805" s="1">
        <f ca="1">IFERROR(__xludf.DUMMYFUNCTION("""COMPUTED_VALUE"""),412207)</f>
        <v>412207</v>
      </c>
      <c r="D1805" s="3" t="str">
        <f ca="1">IFERROR(__xludf.DUMMYFUNCTION("""COMPUTED_VALUE"""),"Female")</f>
        <v>Female</v>
      </c>
      <c r="E1805" s="1" t="str">
        <f ca="1">IFERROR(__xludf.DUMMYFUNCTION("""COMPUTED_VALUE"""),"Influencers who had successful careers")</f>
        <v>Influencers who had successful careers</v>
      </c>
      <c r="F1805" s="1" t="str">
        <f ca="1">IFERROR(__xludf.DUMMYFUNCTION("""COMPUTED_VALUE"""),"No, But if someone could bare the cost I will")</f>
        <v>No, But if someone could bare the cost I will</v>
      </c>
      <c r="G1805" s="1" t="str">
        <f ca="1">IFERROR(__xludf.DUMMYFUNCTION("""COMPUTED_VALUE"""),"This will be hard to do, but if it is the right company I would try")</f>
        <v>This will be hard to do, but if it is the right company I would try</v>
      </c>
      <c r="H1805" s="1" t="str">
        <f ca="1">IFERROR(__xludf.DUMMYFUNCTION("""COMPUTED_VALUE"""),"No")</f>
        <v>No</v>
      </c>
      <c r="I1805" s="1" t="str">
        <f ca="1">IFERROR(__xludf.DUMMYFUNCTION("""COMPUTED_VALUE"""),"Will NOT work for them")</f>
        <v>Will NOT work for them</v>
      </c>
      <c r="J1805" s="1">
        <f ca="1">IFERROR(__xludf.DUMMYFUNCTION("""COMPUTED_VALUE"""),6)</f>
        <v>6</v>
      </c>
      <c r="K1805" s="1" t="str">
        <f ca="1">IFERROR(__xludf.DUMMYFUNCTION("""COMPUTED_VALUE"""),"Hybrid Working Environment with less than 3 days a month at office")</f>
        <v>Hybrid Working Environment with less than 3 days a month at office</v>
      </c>
      <c r="L1805" s="1" t="str">
        <f ca="1">IFERROR(__xludf.DUMMYFUNCTION("""COMPUTED_VALUE"""),"Employer who pushes your limits by enabling an learning environment, and rewards you at the end")</f>
        <v>Employer who pushes your limits by enabling an learning environment, and rewards you at the end</v>
      </c>
      <c r="M180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805"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805" s="1" t="str">
        <f ca="1">IFERROR(__xludf.DUMMYFUNCTION("""COMPUTED_VALUE"""),"Manager who clearly describes what she/he needs")</f>
        <v>Manager who clearly describes what she/he needs</v>
      </c>
      <c r="P1805" s="1" t="str">
        <f ca="1">IFERROR(__xludf.DUMMYFUNCTION("""COMPUTED_VALUE"""),"Work with 2 to 3 people in my team, Work with 5 to 6 people in my team")</f>
        <v>Work with 2 to 3 people in my team, Work with 5 to 6 people in my team</v>
      </c>
      <c r="Q1805" s="1"/>
    </row>
    <row r="1806" spans="1:17" ht="13.2" x14ac:dyDescent="0.25">
      <c r="A1806" s="2">
        <f ca="1">IFERROR(__xludf.DUMMYFUNCTION("""COMPUTED_VALUE"""),45050.6569737731)</f>
        <v>45050.656973773097</v>
      </c>
      <c r="B1806" s="1" t="str">
        <f ca="1">IFERROR(__xludf.DUMMYFUNCTION("""COMPUTED_VALUE"""),"India")</f>
        <v>India</v>
      </c>
      <c r="C1806" s="1">
        <f ca="1">IFERROR(__xludf.DUMMYFUNCTION("""COMPUTED_VALUE"""),202001)</f>
        <v>202001</v>
      </c>
      <c r="D1806" s="3" t="str">
        <f ca="1">IFERROR(__xludf.DUMMYFUNCTION("""COMPUTED_VALUE"""),"Female")</f>
        <v>Female</v>
      </c>
      <c r="E1806" s="1" t="str">
        <f ca="1">IFERROR(__xludf.DUMMYFUNCTION("""COMPUTED_VALUE"""),"People who have changed the world for better")</f>
        <v>People who have changed the world for better</v>
      </c>
      <c r="F1806" s="1" t="str">
        <f ca="1">IFERROR(__xludf.DUMMYFUNCTION("""COMPUTED_VALUE"""),"Yes, I will earn and do that")</f>
        <v>Yes, I will earn and do that</v>
      </c>
      <c r="G1806" s="1" t="str">
        <f ca="1">IFERROR(__xludf.DUMMYFUNCTION("""COMPUTED_VALUE"""),"This will be hard to do, but if it is the right company I would try")</f>
        <v>This will be hard to do, but if it is the right company I would try</v>
      </c>
      <c r="H1806" s="1" t="str">
        <f ca="1">IFERROR(__xludf.DUMMYFUNCTION("""COMPUTED_VALUE"""),"No")</f>
        <v>No</v>
      </c>
      <c r="I1806" s="1" t="str">
        <f ca="1">IFERROR(__xludf.DUMMYFUNCTION("""COMPUTED_VALUE"""),"Will NOT work for them")</f>
        <v>Will NOT work for them</v>
      </c>
      <c r="J1806" s="1">
        <f ca="1">IFERROR(__xludf.DUMMYFUNCTION("""COMPUTED_VALUE"""),3)</f>
        <v>3</v>
      </c>
      <c r="K1806" s="1" t="str">
        <f ca="1">IFERROR(__xludf.DUMMYFUNCTION("""COMPUTED_VALUE"""),"Hybrid Working Environment with more than 15 days a month at office")</f>
        <v>Hybrid Working Environment with more than 15 days a month at office</v>
      </c>
      <c r="L1806" s="1" t="str">
        <f ca="1">IFERROR(__xludf.DUMMYFUNCTION("""COMPUTED_VALUE"""),"Employer who rewards learning and enables that environment")</f>
        <v>Employer who rewards learning and enables that environment</v>
      </c>
      <c r="M180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806"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806" s="1" t="str">
        <f ca="1">IFERROR(__xludf.DUMMYFUNCTION("""COMPUTED_VALUE"""),"Manager who sets targets and expects me to achieve it")</f>
        <v>Manager who sets targets and expects me to achieve it</v>
      </c>
      <c r="P1806" s="1" t="str">
        <f ca="1">IFERROR(__xludf.DUMMYFUNCTION("""COMPUTED_VALUE"""),"Work with 5 to 6 people in my team")</f>
        <v>Work with 5 to 6 people in my team</v>
      </c>
      <c r="Q1806" s="1"/>
    </row>
    <row r="1807" spans="1:17" ht="13.2" x14ac:dyDescent="0.25">
      <c r="A1807" s="2">
        <f ca="1">IFERROR(__xludf.DUMMYFUNCTION("""COMPUTED_VALUE"""),45050.664330324)</f>
        <v>45050.664330323998</v>
      </c>
      <c r="B1807" s="1" t="str">
        <f ca="1">IFERROR(__xludf.DUMMYFUNCTION("""COMPUTED_VALUE"""),"India")</f>
        <v>India</v>
      </c>
      <c r="C1807" s="1">
        <f ca="1">IFERROR(__xludf.DUMMYFUNCTION("""COMPUTED_VALUE"""),689595)</f>
        <v>689595</v>
      </c>
      <c r="D1807" s="3" t="str">
        <f ca="1">IFERROR(__xludf.DUMMYFUNCTION("""COMPUTED_VALUE"""),"Male")</f>
        <v>Male</v>
      </c>
      <c r="E1807" s="1" t="str">
        <f ca="1">IFERROR(__xludf.DUMMYFUNCTION("""COMPUTED_VALUE"""),"People who have changed the world for better")</f>
        <v>People who have changed the world for better</v>
      </c>
      <c r="F1807" s="1" t="str">
        <f ca="1">IFERROR(__xludf.DUMMYFUNCTION("""COMPUTED_VALUE"""),"No, But if someone could bare the cost I will")</f>
        <v>No, But if someone could bare the cost I will</v>
      </c>
      <c r="G1807" s="1" t="str">
        <f ca="1">IFERROR(__xludf.DUMMYFUNCTION("""COMPUTED_VALUE"""),"This will be hard to do, but if it is the right company I would try")</f>
        <v>This will be hard to do, but if it is the right company I would try</v>
      </c>
      <c r="H1807" s="1" t="str">
        <f ca="1">IFERROR(__xludf.DUMMYFUNCTION("""COMPUTED_VALUE"""),"No")</f>
        <v>No</v>
      </c>
      <c r="I1807" s="1" t="str">
        <f ca="1">IFERROR(__xludf.DUMMYFUNCTION("""COMPUTED_VALUE"""),"Will NOT work for them")</f>
        <v>Will NOT work for them</v>
      </c>
      <c r="J1807" s="1">
        <f ca="1">IFERROR(__xludf.DUMMYFUNCTION("""COMPUTED_VALUE"""),4)</f>
        <v>4</v>
      </c>
      <c r="K1807" s="1" t="str">
        <f ca="1">IFERROR(__xludf.DUMMYFUNCTION("""COMPUTED_VALUE"""),"Hybrid Working Environment with less than 3 days a month at office")</f>
        <v>Hybrid Working Environment with less than 3 days a month at office</v>
      </c>
      <c r="L1807" s="1" t="str">
        <f ca="1">IFERROR(__xludf.DUMMYFUNCTION("""COMPUTED_VALUE"""),"Employer who pushes your limits by enabling an learning environment, and rewards you at the end")</f>
        <v>Employer who pushes your limits by enabling an learning environment, and rewards you at the end</v>
      </c>
      <c r="M180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807" s="1" t="str">
        <f ca="1">IFERROR(__xludf.DUMMYFUNCTION("""COMPUTED_VALUE"""),"Teaching in any of the institutes/colleges/online or offline, Manage and drive End-to-End Projects or Products, Build and develop a Team, Work as a freelancer and do my thing my way")</f>
        <v>Teaching in any of the institutes/colleges/online or offline, Manage and drive End-to-End Projects or Products, Build and develop a Team, Work as a freelancer and do my thing my way</v>
      </c>
      <c r="O1807" s="1" t="str">
        <f ca="1">IFERROR(__xludf.DUMMYFUNCTION("""COMPUTED_VALUE"""),"Manager who explains what is expected, sets a goal and helps achieve it")</f>
        <v>Manager who explains what is expected, sets a goal and helps achieve it</v>
      </c>
      <c r="P1807" s="1" t="str">
        <f ca="1">IFERROR(__xludf.DUMMYFUNCTION("""COMPUTED_VALUE"""),"Work alone, Work with 2 to 3 people in my team")</f>
        <v>Work alone, Work with 2 to 3 people in my team</v>
      </c>
      <c r="Q1807" s="1"/>
    </row>
    <row r="1808" spans="1:17" ht="13.2" x14ac:dyDescent="0.25">
      <c r="A1808" s="2">
        <f ca="1">IFERROR(__xludf.DUMMYFUNCTION("""COMPUTED_VALUE"""),45050.6648068865)</f>
        <v>45050.664806886503</v>
      </c>
      <c r="B1808" s="1" t="str">
        <f ca="1">IFERROR(__xludf.DUMMYFUNCTION("""COMPUTED_VALUE"""),"India")</f>
        <v>India</v>
      </c>
      <c r="C1808" s="1">
        <f ca="1">IFERROR(__xludf.DUMMYFUNCTION("""COMPUTED_VALUE"""),321001)</f>
        <v>321001</v>
      </c>
      <c r="D1808" s="3" t="str">
        <f ca="1">IFERROR(__xludf.DUMMYFUNCTION("""COMPUTED_VALUE"""),"Male")</f>
        <v>Male</v>
      </c>
      <c r="E1808" s="1" t="str">
        <f ca="1">IFERROR(__xludf.DUMMYFUNCTION("""COMPUTED_VALUE"""),"My Parents")</f>
        <v>My Parents</v>
      </c>
      <c r="F1808" s="1" t="str">
        <f ca="1">IFERROR(__xludf.DUMMYFUNCTION("""COMPUTED_VALUE"""),"Yes, I will earn and do that")</f>
        <v>Yes, I will earn and do that</v>
      </c>
      <c r="G1808" s="1" t="str">
        <f ca="1">IFERROR(__xludf.DUMMYFUNCTION("""COMPUTED_VALUE"""),"This will be hard to do, but if it is the right company I would try")</f>
        <v>This will be hard to do, but if it is the right company I would try</v>
      </c>
      <c r="H1808" s="1" t="str">
        <f ca="1">IFERROR(__xludf.DUMMYFUNCTION("""COMPUTED_VALUE"""),"No")</f>
        <v>No</v>
      </c>
      <c r="I1808" s="1" t="str">
        <f ca="1">IFERROR(__xludf.DUMMYFUNCTION("""COMPUTED_VALUE"""),"Will NOT work for them")</f>
        <v>Will NOT work for them</v>
      </c>
      <c r="J1808" s="1">
        <f ca="1">IFERROR(__xludf.DUMMYFUNCTION("""COMPUTED_VALUE"""),7)</f>
        <v>7</v>
      </c>
      <c r="K1808" s="1" t="str">
        <f ca="1">IFERROR(__xludf.DUMMYFUNCTION("""COMPUTED_VALUE"""),"Every Day Office Environment")</f>
        <v>Every Day Office Environment</v>
      </c>
      <c r="L1808" s="1" t="str">
        <f ca="1">IFERROR(__xludf.DUMMYFUNCTION("""COMPUTED_VALUE"""),"Employer who appreciates learning and enables that environment")</f>
        <v>Employer who appreciates learning and enables that environment</v>
      </c>
      <c r="M18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0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808" s="1" t="str">
        <f ca="1">IFERROR(__xludf.DUMMYFUNCTION("""COMPUTED_VALUE"""),"Manager who clearly describes what she/he needs")</f>
        <v>Manager who clearly describes what she/he needs</v>
      </c>
      <c r="P1808" s="1" t="str">
        <f ca="1">IFERROR(__xludf.DUMMYFUNCTION("""COMPUTED_VALUE"""),"Work with more than 10 people in my team")</f>
        <v>Work with more than 10 people in my team</v>
      </c>
      <c r="Q1808" s="1"/>
    </row>
    <row r="1809" spans="1:17" ht="13.2" x14ac:dyDescent="0.25">
      <c r="A1809" s="2">
        <f ca="1">IFERROR(__xludf.DUMMYFUNCTION("""COMPUTED_VALUE"""),45050.6653054166)</f>
        <v>45050.665305416602</v>
      </c>
      <c r="B1809" s="1" t="str">
        <f ca="1">IFERROR(__xludf.DUMMYFUNCTION("""COMPUTED_VALUE"""),"India")</f>
        <v>India</v>
      </c>
      <c r="C1809" s="1">
        <f ca="1">IFERROR(__xludf.DUMMYFUNCTION("""COMPUTED_VALUE"""),500027)</f>
        <v>500027</v>
      </c>
      <c r="D1809" s="3" t="str">
        <f ca="1">IFERROR(__xludf.DUMMYFUNCTION("""COMPUTED_VALUE"""),"Female")</f>
        <v>Female</v>
      </c>
      <c r="E1809" s="1" t="str">
        <f ca="1">IFERROR(__xludf.DUMMYFUNCTION("""COMPUTED_VALUE"""),"People who have changed the world for better")</f>
        <v>People who have changed the world for better</v>
      </c>
      <c r="F1809" s="1" t="str">
        <f ca="1">IFERROR(__xludf.DUMMYFUNCTION("""COMPUTED_VALUE"""),"No I would not be pursuing Higher Education outside of India")</f>
        <v>No I would not be pursuing Higher Education outside of India</v>
      </c>
      <c r="G1809" s="1" t="str">
        <f ca="1">IFERROR(__xludf.DUMMYFUNCTION("""COMPUTED_VALUE"""),"This will be hard to do, but if it is the right company I would try")</f>
        <v>This will be hard to do, but if it is the right company I would try</v>
      </c>
      <c r="H1809" s="1" t="str">
        <f ca="1">IFERROR(__xludf.DUMMYFUNCTION("""COMPUTED_VALUE"""),"No")</f>
        <v>No</v>
      </c>
      <c r="I1809" s="1" t="str">
        <f ca="1">IFERROR(__xludf.DUMMYFUNCTION("""COMPUTED_VALUE"""),"Will NOT work for them")</f>
        <v>Will NOT work for them</v>
      </c>
      <c r="J1809" s="1">
        <f ca="1">IFERROR(__xludf.DUMMYFUNCTION("""COMPUTED_VALUE"""),3)</f>
        <v>3</v>
      </c>
      <c r="K1809" s="1" t="str">
        <f ca="1">IFERROR(__xludf.DUMMYFUNCTION("""COMPUTED_VALUE"""),"Every Day Office Environment")</f>
        <v>Every Day Office Environment</v>
      </c>
      <c r="L1809" s="1" t="str">
        <f ca="1">IFERROR(__xludf.DUMMYFUNCTION("""COMPUTED_VALUE"""),"Employer who appreciates learning and enables that environment")</f>
        <v>Employer who appreciates learning and enables that environment</v>
      </c>
      <c r="M180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0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809" s="1" t="str">
        <f ca="1">IFERROR(__xludf.DUMMYFUNCTION("""COMPUTED_VALUE"""),"Manager who sets targets and expects me to achieve it")</f>
        <v>Manager who sets targets and expects me to achieve it</v>
      </c>
      <c r="P1809" s="1" t="str">
        <f ca="1">IFERROR(__xludf.DUMMYFUNCTION("""COMPUTED_VALUE"""),"Work with 5 to 6 people in my team")</f>
        <v>Work with 5 to 6 people in my team</v>
      </c>
      <c r="Q1809" s="1"/>
    </row>
    <row r="1810" spans="1:17" ht="13.2" x14ac:dyDescent="0.25">
      <c r="A1810" s="2">
        <f ca="1">IFERROR(__xludf.DUMMYFUNCTION("""COMPUTED_VALUE"""),45050.6752245138)</f>
        <v>45050.675224513798</v>
      </c>
      <c r="B1810" s="1" t="str">
        <f ca="1">IFERROR(__xludf.DUMMYFUNCTION("""COMPUTED_VALUE"""),"India")</f>
        <v>India</v>
      </c>
      <c r="C1810" s="1">
        <f ca="1">IFERROR(__xludf.DUMMYFUNCTION("""COMPUTED_VALUE"""),411028)</f>
        <v>411028</v>
      </c>
      <c r="D1810" s="3" t="str">
        <f ca="1">IFERROR(__xludf.DUMMYFUNCTION("""COMPUTED_VALUE"""),"Male")</f>
        <v>Male</v>
      </c>
      <c r="E1810" s="1" t="str">
        <f ca="1">IFERROR(__xludf.DUMMYFUNCTION("""COMPUTED_VALUE"""),"Social Media like LinkedIn")</f>
        <v>Social Media like LinkedIn</v>
      </c>
      <c r="F1810" s="1" t="str">
        <f ca="1">IFERROR(__xludf.DUMMYFUNCTION("""COMPUTED_VALUE"""),"Yes, I will earn and do that")</f>
        <v>Yes, I will earn and do that</v>
      </c>
      <c r="G1810" s="1" t="str">
        <f ca="1">IFERROR(__xludf.DUMMYFUNCTION("""COMPUTED_VALUE"""),"No way")</f>
        <v>No way</v>
      </c>
      <c r="H1810" s="1" t="str">
        <f ca="1">IFERROR(__xludf.DUMMYFUNCTION("""COMPUTED_VALUE"""),"Yes")</f>
        <v>Yes</v>
      </c>
      <c r="I1810" s="1" t="str">
        <f ca="1">IFERROR(__xludf.DUMMYFUNCTION("""COMPUTED_VALUE"""),"Will NOT work for them")</f>
        <v>Will NOT work for them</v>
      </c>
      <c r="J1810" s="1">
        <f ca="1">IFERROR(__xludf.DUMMYFUNCTION("""COMPUTED_VALUE"""),8)</f>
        <v>8</v>
      </c>
      <c r="K1810" s="1" t="str">
        <f ca="1">IFERROR(__xludf.DUMMYFUNCTION("""COMPUTED_VALUE"""),"Hybrid Working Environment with more than 15 days a month at office")</f>
        <v>Hybrid Working Environment with more than 15 days a month at office</v>
      </c>
      <c r="L1810" s="1" t="str">
        <f ca="1">IFERROR(__xludf.DUMMYFUNCTION("""COMPUTED_VALUE"""),"Employer who rewards learning and enables that environment")</f>
        <v>Employer who rewards learning and enables that environment</v>
      </c>
      <c r="M181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810"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810" s="1" t="str">
        <f ca="1">IFERROR(__xludf.DUMMYFUNCTION("""COMPUTED_VALUE"""),"Manager who explains what is expected, sets a goal and helps achieve it")</f>
        <v>Manager who explains what is expected, sets a goal and helps achieve it</v>
      </c>
      <c r="P1810" s="1" t="str">
        <f ca="1">IFERROR(__xludf.DUMMYFUNCTION("""COMPUTED_VALUE"""),"Work with 5 to 6 people in my team")</f>
        <v>Work with 5 to 6 people in my team</v>
      </c>
      <c r="Q1810" s="1"/>
    </row>
    <row r="1811" spans="1:17" ht="13.2" x14ac:dyDescent="0.25">
      <c r="A1811" s="2">
        <f ca="1">IFERROR(__xludf.DUMMYFUNCTION("""COMPUTED_VALUE"""),45050.678143125)</f>
        <v>45050.678143124998</v>
      </c>
      <c r="B1811" s="1" t="str">
        <f ca="1">IFERROR(__xludf.DUMMYFUNCTION("""COMPUTED_VALUE"""),"India")</f>
        <v>India</v>
      </c>
      <c r="C1811" s="1">
        <f ca="1">IFERROR(__xludf.DUMMYFUNCTION("""COMPUTED_VALUE"""),421202)</f>
        <v>421202</v>
      </c>
      <c r="D1811" s="3" t="str">
        <f ca="1">IFERROR(__xludf.DUMMYFUNCTION("""COMPUTED_VALUE"""),"Male")</f>
        <v>Male</v>
      </c>
      <c r="E1811" s="1" t="str">
        <f ca="1">IFERROR(__xludf.DUMMYFUNCTION("""COMPUTED_VALUE"""),"My Parents")</f>
        <v>My Parents</v>
      </c>
      <c r="F1811" s="1" t="str">
        <f ca="1">IFERROR(__xludf.DUMMYFUNCTION("""COMPUTED_VALUE"""),"No I would not be pursuing Higher Education outside of India")</f>
        <v>No I would not be pursuing Higher Education outside of India</v>
      </c>
      <c r="G1811" s="1" t="str">
        <f ca="1">IFERROR(__xludf.DUMMYFUNCTION("""COMPUTED_VALUE"""),"This will be hard to do, but if it is the right company I would try")</f>
        <v>This will be hard to do, but if it is the right company I would try</v>
      </c>
      <c r="H1811" s="1" t="str">
        <f ca="1">IFERROR(__xludf.DUMMYFUNCTION("""COMPUTED_VALUE"""),"Yes")</f>
        <v>Yes</v>
      </c>
      <c r="I1811" s="1" t="str">
        <f ca="1">IFERROR(__xludf.DUMMYFUNCTION("""COMPUTED_VALUE"""),"Will work for them")</f>
        <v>Will work for them</v>
      </c>
      <c r="J1811" s="1">
        <f ca="1">IFERROR(__xludf.DUMMYFUNCTION("""COMPUTED_VALUE"""),3)</f>
        <v>3</v>
      </c>
      <c r="K1811" s="1" t="str">
        <f ca="1">IFERROR(__xludf.DUMMYFUNCTION("""COMPUTED_VALUE"""),"Hybrid Working Environment with more than 15 days a month at office")</f>
        <v>Hybrid Working Environment with more than 15 days a month at office</v>
      </c>
      <c r="L1811" s="1" t="str">
        <f ca="1">IFERROR(__xludf.DUMMYFUNCTION("""COMPUTED_VALUE"""),"Employer who pushes your limits by enabling an learning environment, and rewards you at the end")</f>
        <v>Employer who pushes your limits by enabling an learning environment, and rewards you at the end</v>
      </c>
      <c r="M181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11" s="1" t="str">
        <f ca="1">IFERROR(__xludf.DUMMYFUNCTION("""COMPUTED_VALUE"""),"Teaching in any of the institutes/colleges/online or offline, Work as a freelancer and do my thing my way, Entrepreneur or Start Up, I Want to sell things/Sales")</f>
        <v>Teaching in any of the institutes/colleges/online or offline, Work as a freelancer and do my thing my way, Entrepreneur or Start Up, I Want to sell things/Sales</v>
      </c>
      <c r="O1811" s="1" t="str">
        <f ca="1">IFERROR(__xludf.DUMMYFUNCTION("""COMPUTED_VALUE"""),"Manager who explains what is expected, sets a goal and helps achieve it")</f>
        <v>Manager who explains what is expected, sets a goal and helps achieve it</v>
      </c>
      <c r="P1811" s="1" t="str">
        <f ca="1">IFERROR(__xludf.DUMMYFUNCTION("""COMPUTED_VALUE"""),"Work with 2 to 3 people in my team")</f>
        <v>Work with 2 to 3 people in my team</v>
      </c>
      <c r="Q1811" s="1"/>
    </row>
    <row r="1812" spans="1:17" ht="13.2" x14ac:dyDescent="0.25">
      <c r="A1812" s="2">
        <f ca="1">IFERROR(__xludf.DUMMYFUNCTION("""COMPUTED_VALUE"""),45050.6873875578)</f>
        <v>45050.687387557802</v>
      </c>
      <c r="B1812" s="1" t="str">
        <f ca="1">IFERROR(__xludf.DUMMYFUNCTION("""COMPUTED_VALUE"""),"India")</f>
        <v>India</v>
      </c>
      <c r="C1812" s="1">
        <f ca="1">IFERROR(__xludf.DUMMYFUNCTION("""COMPUTED_VALUE"""),412201)</f>
        <v>412201</v>
      </c>
      <c r="D1812" s="3" t="str">
        <f ca="1">IFERROR(__xludf.DUMMYFUNCTION("""COMPUTED_VALUE"""),"Male")</f>
        <v>Male</v>
      </c>
      <c r="E1812" s="1" t="str">
        <f ca="1">IFERROR(__xludf.DUMMYFUNCTION("""COMPUTED_VALUE"""),"People who have changed the world for better")</f>
        <v>People who have changed the world for better</v>
      </c>
      <c r="F1812" s="1" t="str">
        <f ca="1">IFERROR(__xludf.DUMMYFUNCTION("""COMPUTED_VALUE"""),"Yes, I will earn and do that")</f>
        <v>Yes, I will earn and do that</v>
      </c>
      <c r="G1812" s="1" t="str">
        <f ca="1">IFERROR(__xludf.DUMMYFUNCTION("""COMPUTED_VALUE"""),"This will be hard to do, but if it is the right company I would try")</f>
        <v>This will be hard to do, but if it is the right company I would try</v>
      </c>
      <c r="H1812" s="1" t="str">
        <f ca="1">IFERROR(__xludf.DUMMYFUNCTION("""COMPUTED_VALUE"""),"Yes")</f>
        <v>Yes</v>
      </c>
      <c r="I1812" s="1" t="str">
        <f ca="1">IFERROR(__xludf.DUMMYFUNCTION("""COMPUTED_VALUE"""),"Will NOT work for them")</f>
        <v>Will NOT work for them</v>
      </c>
      <c r="J1812" s="1">
        <f ca="1">IFERROR(__xludf.DUMMYFUNCTION("""COMPUTED_VALUE"""),8)</f>
        <v>8</v>
      </c>
      <c r="K1812" s="1" t="str">
        <f ca="1">IFERROR(__xludf.DUMMYFUNCTION("""COMPUTED_VALUE"""),"Fully Remote with No option to visit offices")</f>
        <v>Fully Remote with No option to visit offices</v>
      </c>
      <c r="L1812" s="1" t="str">
        <f ca="1">IFERROR(__xludf.DUMMYFUNCTION("""COMPUTED_VALUE"""),"Employer who rewards learning and enables that environment")</f>
        <v>Employer who rewards learning and enables that environment</v>
      </c>
      <c r="M181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81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812" s="1" t="str">
        <f ca="1">IFERROR(__xludf.DUMMYFUNCTION("""COMPUTED_VALUE"""),"Manager who explains what is expected, sets a goal and helps achieve it")</f>
        <v>Manager who explains what is expected, sets a goal and helps achieve it</v>
      </c>
      <c r="P1812" s="1" t="str">
        <f ca="1">IFERROR(__xludf.DUMMYFUNCTION("""COMPUTED_VALUE"""),"Work with 5 to 6 people in my team")</f>
        <v>Work with 5 to 6 people in my team</v>
      </c>
      <c r="Q1812" s="1"/>
    </row>
    <row r="1813" spans="1:17" ht="13.2" x14ac:dyDescent="0.25">
      <c r="A1813" s="2">
        <f ca="1">IFERROR(__xludf.DUMMYFUNCTION("""COMPUTED_VALUE"""),45050.6920487384)</f>
        <v>45050.692048738398</v>
      </c>
      <c r="B1813" s="1" t="str">
        <f ca="1">IFERROR(__xludf.DUMMYFUNCTION("""COMPUTED_VALUE"""),"India")</f>
        <v>India</v>
      </c>
      <c r="C1813" s="1">
        <f ca="1">IFERROR(__xludf.DUMMYFUNCTION("""COMPUTED_VALUE"""),457001)</f>
        <v>457001</v>
      </c>
      <c r="D1813" s="3" t="str">
        <f ca="1">IFERROR(__xludf.DUMMYFUNCTION("""COMPUTED_VALUE"""),"Female")</f>
        <v>Female</v>
      </c>
      <c r="E1813" s="1" t="str">
        <f ca="1">IFERROR(__xludf.DUMMYFUNCTION("""COMPUTED_VALUE"""),"People who have changed the world for better")</f>
        <v>People who have changed the world for better</v>
      </c>
      <c r="F1813" s="1" t="str">
        <f ca="1">IFERROR(__xludf.DUMMYFUNCTION("""COMPUTED_VALUE"""),"No, But if someone could bare the cost I will")</f>
        <v>No, But if someone could bare the cost I will</v>
      </c>
      <c r="G1813" s="1" t="str">
        <f ca="1">IFERROR(__xludf.DUMMYFUNCTION("""COMPUTED_VALUE"""),"This will be hard to do, but if it is the right company I would try")</f>
        <v>This will be hard to do, but if it is the right company I would try</v>
      </c>
      <c r="H1813" s="1" t="str">
        <f ca="1">IFERROR(__xludf.DUMMYFUNCTION("""COMPUTED_VALUE"""),"Yes")</f>
        <v>Yes</v>
      </c>
      <c r="I1813" s="1" t="str">
        <f ca="1">IFERROR(__xludf.DUMMYFUNCTION("""COMPUTED_VALUE"""),"Will NOT work for them")</f>
        <v>Will NOT work for them</v>
      </c>
      <c r="J1813" s="1">
        <f ca="1">IFERROR(__xludf.DUMMYFUNCTION("""COMPUTED_VALUE"""),1)</f>
        <v>1</v>
      </c>
      <c r="K1813" s="1" t="str">
        <f ca="1">IFERROR(__xludf.DUMMYFUNCTION("""COMPUTED_VALUE"""),"Hybrid Working Environment with more than 15 days a month at office")</f>
        <v>Hybrid Working Environment with more than 15 days a month at office</v>
      </c>
      <c r="L1813" s="1" t="str">
        <f ca="1">IFERROR(__xludf.DUMMYFUNCTION("""COMPUTED_VALUE"""),"Employer who appreciates learning and enables that environment")</f>
        <v>Employer who appreciates learning and enables that environment</v>
      </c>
      <c r="M181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13"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1813" s="1" t="str">
        <f ca="1">IFERROR(__xludf.DUMMYFUNCTION("""COMPUTED_VALUE"""),"Manager who sets goal and helps me achieve it")</f>
        <v>Manager who sets goal and helps me achieve it</v>
      </c>
      <c r="P1813" s="1" t="str">
        <f ca="1">IFERROR(__xludf.DUMMYFUNCTION("""COMPUTED_VALUE"""),"Work with 5 to 6 people in my team")</f>
        <v>Work with 5 to 6 people in my team</v>
      </c>
      <c r="Q1813" s="1"/>
    </row>
    <row r="1814" spans="1:17" ht="13.2" x14ac:dyDescent="0.25">
      <c r="A1814" s="2">
        <f ca="1">IFERROR(__xludf.DUMMYFUNCTION("""COMPUTED_VALUE"""),45050.6942625463)</f>
        <v>45050.694262546298</v>
      </c>
      <c r="B1814" s="1" t="str">
        <f ca="1">IFERROR(__xludf.DUMMYFUNCTION("""COMPUTED_VALUE"""),"India")</f>
        <v>India</v>
      </c>
      <c r="C1814" s="1">
        <f ca="1">IFERROR(__xludf.DUMMYFUNCTION("""COMPUTED_VALUE"""),457001)</f>
        <v>457001</v>
      </c>
      <c r="D1814" s="3" t="str">
        <f ca="1">IFERROR(__xludf.DUMMYFUNCTION("""COMPUTED_VALUE"""),"Male")</f>
        <v>Male</v>
      </c>
      <c r="E1814" s="1" t="str">
        <f ca="1">IFERROR(__xludf.DUMMYFUNCTION("""COMPUTED_VALUE"""),"People from my circle, but not family members")</f>
        <v>People from my circle, but not family members</v>
      </c>
      <c r="F1814" s="1" t="str">
        <f ca="1">IFERROR(__xludf.DUMMYFUNCTION("""COMPUTED_VALUE"""),"No I would not be pursuing Higher Education outside of India")</f>
        <v>No I would not be pursuing Higher Education outside of India</v>
      </c>
      <c r="G1814" s="1" t="str">
        <f ca="1">IFERROR(__xludf.DUMMYFUNCTION("""COMPUTED_VALUE"""),"This will be hard to do, but if it is the right company I would try")</f>
        <v>This will be hard to do, but if it is the right company I would try</v>
      </c>
      <c r="H1814" s="1" t="str">
        <f ca="1">IFERROR(__xludf.DUMMYFUNCTION("""COMPUTED_VALUE"""),"No")</f>
        <v>No</v>
      </c>
      <c r="I1814" s="1" t="str">
        <f ca="1">IFERROR(__xludf.DUMMYFUNCTION("""COMPUTED_VALUE"""),"Will NOT work for them")</f>
        <v>Will NOT work for them</v>
      </c>
      <c r="J1814" s="1">
        <f ca="1">IFERROR(__xludf.DUMMYFUNCTION("""COMPUTED_VALUE"""),4)</f>
        <v>4</v>
      </c>
      <c r="K1814" s="1" t="str">
        <f ca="1">IFERROR(__xludf.DUMMYFUNCTION("""COMPUTED_VALUE"""),"Hybrid Working Environment with less than 3 days a month at office")</f>
        <v>Hybrid Working Environment with less than 3 days a month at office</v>
      </c>
      <c r="L1814" s="1" t="str">
        <f ca="1">IFERROR(__xludf.DUMMYFUNCTION("""COMPUTED_VALUE"""),"Employer who pushes your limits by enabling an learning environment, and rewards you at the end")</f>
        <v>Employer who pushes your limits by enabling an learning environment, and rewards you at the end</v>
      </c>
      <c r="M18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14"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814" s="1" t="str">
        <f ca="1">IFERROR(__xludf.DUMMYFUNCTION("""COMPUTED_VALUE"""),"Manager who explains what is expected, sets a goal and helps achieve it")</f>
        <v>Manager who explains what is expected, sets a goal and helps achieve it</v>
      </c>
      <c r="P1814" s="1" t="str">
        <f ca="1">IFERROR(__xludf.DUMMYFUNCTION("""COMPUTED_VALUE"""),"Work with 5 to 6 people in my team")</f>
        <v>Work with 5 to 6 people in my team</v>
      </c>
      <c r="Q1814" s="1"/>
    </row>
    <row r="1815" spans="1:17" ht="13.2" x14ac:dyDescent="0.25">
      <c r="A1815" s="2">
        <f ca="1">IFERROR(__xludf.DUMMYFUNCTION("""COMPUTED_VALUE"""),45050.7057763078)</f>
        <v>45050.705776307797</v>
      </c>
      <c r="B1815" s="1" t="str">
        <f ca="1">IFERROR(__xludf.DUMMYFUNCTION("""COMPUTED_VALUE"""),"India")</f>
        <v>India</v>
      </c>
      <c r="C1815" s="1">
        <f ca="1">IFERROR(__xludf.DUMMYFUNCTION("""COMPUTED_VALUE"""),500085)</f>
        <v>500085</v>
      </c>
      <c r="D1815" s="3" t="str">
        <f ca="1">IFERROR(__xludf.DUMMYFUNCTION("""COMPUTED_VALUE"""),"Female")</f>
        <v>Female</v>
      </c>
      <c r="E1815" s="1" t="str">
        <f ca="1">IFERROR(__xludf.DUMMYFUNCTION("""COMPUTED_VALUE"""),"People who have changed the world for better")</f>
        <v>People who have changed the world for better</v>
      </c>
      <c r="F1815" s="1" t="str">
        <f ca="1">IFERROR(__xludf.DUMMYFUNCTION("""COMPUTED_VALUE"""),"Yes, I will earn and do that")</f>
        <v>Yes, I will earn and do that</v>
      </c>
      <c r="G1815" s="1" t="str">
        <f ca="1">IFERROR(__xludf.DUMMYFUNCTION("""COMPUTED_VALUE"""),"Will work for 3 years or more")</f>
        <v>Will work for 3 years or more</v>
      </c>
      <c r="H1815" s="1" t="str">
        <f ca="1">IFERROR(__xludf.DUMMYFUNCTION("""COMPUTED_VALUE"""),"No")</f>
        <v>No</v>
      </c>
      <c r="I1815" s="1" t="str">
        <f ca="1">IFERROR(__xludf.DUMMYFUNCTION("""COMPUTED_VALUE"""),"Will NOT work for them")</f>
        <v>Will NOT work for them</v>
      </c>
      <c r="J1815" s="1">
        <f ca="1">IFERROR(__xludf.DUMMYFUNCTION("""COMPUTED_VALUE"""),10)</f>
        <v>10</v>
      </c>
      <c r="K1815" s="1" t="str">
        <f ca="1">IFERROR(__xludf.DUMMYFUNCTION("""COMPUTED_VALUE"""),"Hybrid Working Environment with more than 15 days a month at office")</f>
        <v>Hybrid Working Environment with more than 15 days a month at office</v>
      </c>
      <c r="L1815" s="1" t="str">
        <f ca="1">IFERROR(__xludf.DUMMYFUNCTION("""COMPUTED_VALUE"""),"Employer who pushes your limits by enabling an learning environment, and rewards you at the end")</f>
        <v>Employer who pushes your limits by enabling an learning environment, and rewards you at the end</v>
      </c>
      <c r="M18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15"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815" s="1" t="str">
        <f ca="1">IFERROR(__xludf.DUMMYFUNCTION("""COMPUTED_VALUE"""),"Manager who clearly describes what she/he needs")</f>
        <v>Manager who clearly describes what she/he needs</v>
      </c>
      <c r="P1815" s="1" t="str">
        <f ca="1">IFERROR(__xludf.DUMMYFUNCTION("""COMPUTED_VALUE"""),"Work with 2 to 3 people in my team")</f>
        <v>Work with 2 to 3 people in my team</v>
      </c>
      <c r="Q1815" s="1"/>
    </row>
    <row r="1816" spans="1:17" ht="13.2" x14ac:dyDescent="0.25">
      <c r="A1816" s="2">
        <f ca="1">IFERROR(__xludf.DUMMYFUNCTION("""COMPUTED_VALUE"""),45050.7189561226)</f>
        <v>45050.718956122597</v>
      </c>
      <c r="B1816" s="1" t="str">
        <f ca="1">IFERROR(__xludf.DUMMYFUNCTION("""COMPUTED_VALUE"""),"India")</f>
        <v>India</v>
      </c>
      <c r="C1816" s="1">
        <f ca="1">IFERROR(__xludf.DUMMYFUNCTION("""COMPUTED_VALUE"""),700102)</f>
        <v>700102</v>
      </c>
      <c r="D1816" s="3" t="str">
        <f ca="1">IFERROR(__xludf.DUMMYFUNCTION("""COMPUTED_VALUE"""),"Male")</f>
        <v>Male</v>
      </c>
      <c r="E1816" s="1" t="str">
        <f ca="1">IFERROR(__xludf.DUMMYFUNCTION("""COMPUTED_VALUE"""),"People who have changed the world for better")</f>
        <v>People who have changed the world for better</v>
      </c>
      <c r="F1816" s="1" t="str">
        <f ca="1">IFERROR(__xludf.DUMMYFUNCTION("""COMPUTED_VALUE"""),"No I would not be pursuing Higher Education outside of India")</f>
        <v>No I would not be pursuing Higher Education outside of India</v>
      </c>
      <c r="G1816" s="1" t="str">
        <f ca="1">IFERROR(__xludf.DUMMYFUNCTION("""COMPUTED_VALUE"""),"This will be hard to do, but if it is the right company I would try")</f>
        <v>This will be hard to do, but if it is the right company I would try</v>
      </c>
      <c r="H1816" s="1" t="str">
        <f ca="1">IFERROR(__xludf.DUMMYFUNCTION("""COMPUTED_VALUE"""),"No")</f>
        <v>No</v>
      </c>
      <c r="I1816" s="1" t="str">
        <f ca="1">IFERROR(__xludf.DUMMYFUNCTION("""COMPUTED_VALUE"""),"Will NOT work for them")</f>
        <v>Will NOT work for them</v>
      </c>
      <c r="J1816" s="1">
        <f ca="1">IFERROR(__xludf.DUMMYFUNCTION("""COMPUTED_VALUE"""),8)</f>
        <v>8</v>
      </c>
      <c r="K1816" s="1" t="str">
        <f ca="1">IFERROR(__xludf.DUMMYFUNCTION("""COMPUTED_VALUE"""),"Hybrid Working Environment with more than 15 days a month at office")</f>
        <v>Hybrid Working Environment with more than 15 days a month at office</v>
      </c>
      <c r="L1816" s="1" t="str">
        <f ca="1">IFERROR(__xludf.DUMMYFUNCTION("""COMPUTED_VALUE"""),"Employer who pushes your limits by enabling an learning environment, and rewards you at the end")</f>
        <v>Employer who pushes your limits by enabling an learning environment, and rewards you at the end</v>
      </c>
      <c r="M181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16" s="1" t="str">
        <f ca="1">IFERROR(__xludf.DUMMYFUNCTION("""COMPUTED_VALUE"""),"Business Operations in any organization, Manage and drive End-to-End Projects or Products, Build and develop a Team, Work as a freelancer and do my thing my way")</f>
        <v>Business Operations in any organization, Manage and drive End-to-End Projects or Products, Build and develop a Team, Work as a freelancer and do my thing my way</v>
      </c>
      <c r="O1816" s="1" t="str">
        <f ca="1">IFERROR(__xludf.DUMMYFUNCTION("""COMPUTED_VALUE"""),"Manager who explains what is expected, sets a goal and helps achieve it")</f>
        <v>Manager who explains what is expected, sets a goal and helps achieve it</v>
      </c>
      <c r="P1816" s="1" t="str">
        <f ca="1">IFERROR(__xludf.DUMMYFUNCTION("""COMPUTED_VALUE"""),"Work alone, Work with 2 to 3 people in my team")</f>
        <v>Work alone, Work with 2 to 3 people in my team</v>
      </c>
      <c r="Q1816" s="1"/>
    </row>
    <row r="1817" spans="1:17" ht="13.2" x14ac:dyDescent="0.25">
      <c r="A1817" s="2">
        <f ca="1">IFERROR(__xludf.DUMMYFUNCTION("""COMPUTED_VALUE"""),45050.7277421527)</f>
        <v>45050.727742152703</v>
      </c>
      <c r="B1817" s="1" t="str">
        <f ca="1">IFERROR(__xludf.DUMMYFUNCTION("""COMPUTED_VALUE"""),"India")</f>
        <v>India</v>
      </c>
      <c r="C1817" s="1">
        <f ca="1">IFERROR(__xludf.DUMMYFUNCTION("""COMPUTED_VALUE"""),530024)</f>
        <v>530024</v>
      </c>
      <c r="D1817" s="3" t="str">
        <f ca="1">IFERROR(__xludf.DUMMYFUNCTION("""COMPUTED_VALUE"""),"Male")</f>
        <v>Male</v>
      </c>
      <c r="E1817" s="1" t="str">
        <f ca="1">IFERROR(__xludf.DUMMYFUNCTION("""COMPUTED_VALUE"""),"My Parents")</f>
        <v>My Parents</v>
      </c>
      <c r="F1817" s="1" t="str">
        <f ca="1">IFERROR(__xludf.DUMMYFUNCTION("""COMPUTED_VALUE"""),"No I would not be pursuing Higher Education outside of India")</f>
        <v>No I would not be pursuing Higher Education outside of India</v>
      </c>
      <c r="G1817" s="1" t="str">
        <f ca="1">IFERROR(__xludf.DUMMYFUNCTION("""COMPUTED_VALUE"""),"Will work for 3 years or more")</f>
        <v>Will work for 3 years or more</v>
      </c>
      <c r="H1817" s="1" t="str">
        <f ca="1">IFERROR(__xludf.DUMMYFUNCTION("""COMPUTED_VALUE"""),"No")</f>
        <v>No</v>
      </c>
      <c r="I1817" s="1" t="str">
        <f ca="1">IFERROR(__xludf.DUMMYFUNCTION("""COMPUTED_VALUE"""),"Will NOT work for them")</f>
        <v>Will NOT work for them</v>
      </c>
      <c r="J1817" s="1">
        <f ca="1">IFERROR(__xludf.DUMMYFUNCTION("""COMPUTED_VALUE"""),6)</f>
        <v>6</v>
      </c>
      <c r="K1817" s="1" t="str">
        <f ca="1">IFERROR(__xludf.DUMMYFUNCTION("""COMPUTED_VALUE"""),"Fully Remote with Options to travel as and when needed")</f>
        <v>Fully Remote with Options to travel as and when needed</v>
      </c>
      <c r="L1817" s="1" t="str">
        <f ca="1">IFERROR(__xludf.DUMMYFUNCTION("""COMPUTED_VALUE"""),"Employer who rewards learning and enables that environment")</f>
        <v>Employer who rewards learning and enables that environment</v>
      </c>
      <c r="M181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17"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817" s="1" t="str">
        <f ca="1">IFERROR(__xludf.DUMMYFUNCTION("""COMPUTED_VALUE"""),"Manager who sets goal and helps me achieve it")</f>
        <v>Manager who sets goal and helps me achieve it</v>
      </c>
      <c r="P1817" s="1" t="str">
        <f ca="1">IFERROR(__xludf.DUMMYFUNCTION("""COMPUTED_VALUE"""),"Work with 7 to 10 or more people in my team")</f>
        <v>Work with 7 to 10 or more people in my team</v>
      </c>
      <c r="Q1817" s="1"/>
    </row>
    <row r="1818" spans="1:17" ht="13.2" x14ac:dyDescent="0.25">
      <c r="A1818" s="2">
        <f ca="1">IFERROR(__xludf.DUMMYFUNCTION("""COMPUTED_VALUE"""),45050.7390075694)</f>
        <v>45050.739007569398</v>
      </c>
      <c r="B1818" s="1" t="str">
        <f ca="1">IFERROR(__xludf.DUMMYFUNCTION("""COMPUTED_VALUE"""),"India")</f>
        <v>India</v>
      </c>
      <c r="C1818" s="1">
        <f ca="1">IFERROR(__xludf.DUMMYFUNCTION("""COMPUTED_VALUE"""),462002)</f>
        <v>462002</v>
      </c>
      <c r="D1818" s="3" t="str">
        <f ca="1">IFERROR(__xludf.DUMMYFUNCTION("""COMPUTED_VALUE"""),"Male")</f>
        <v>Male</v>
      </c>
      <c r="E1818" s="1" t="str">
        <f ca="1">IFERROR(__xludf.DUMMYFUNCTION("""COMPUTED_VALUE"""),"My Parents")</f>
        <v>My Parents</v>
      </c>
      <c r="F1818" s="1" t="str">
        <f ca="1">IFERROR(__xludf.DUMMYFUNCTION("""COMPUTED_VALUE"""),"Yes, I will earn and do that")</f>
        <v>Yes, I will earn and do that</v>
      </c>
      <c r="G1818" s="1" t="str">
        <f ca="1">IFERROR(__xludf.DUMMYFUNCTION("""COMPUTED_VALUE"""),"Will work for 3 years or more")</f>
        <v>Will work for 3 years or more</v>
      </c>
      <c r="H1818" s="1" t="str">
        <f ca="1">IFERROR(__xludf.DUMMYFUNCTION("""COMPUTED_VALUE"""),"No")</f>
        <v>No</v>
      </c>
      <c r="I1818" s="1" t="str">
        <f ca="1">IFERROR(__xludf.DUMMYFUNCTION("""COMPUTED_VALUE"""),"Will NOT work for them")</f>
        <v>Will NOT work for them</v>
      </c>
      <c r="J1818" s="1">
        <f ca="1">IFERROR(__xludf.DUMMYFUNCTION("""COMPUTED_VALUE"""),6)</f>
        <v>6</v>
      </c>
      <c r="K1818" s="1" t="str">
        <f ca="1">IFERROR(__xludf.DUMMYFUNCTION("""COMPUTED_VALUE"""),"Hybrid Working Environment with more than 15 days a month at office")</f>
        <v>Hybrid Working Environment with more than 15 days a month at office</v>
      </c>
      <c r="L1818" s="1" t="str">
        <f ca="1">IFERROR(__xludf.DUMMYFUNCTION("""COMPUTED_VALUE"""),"Employer who pushes your limits by enabling an learning environment, and rewards you at the end")</f>
        <v>Employer who pushes your limits by enabling an learning environment, and rewards you at the end</v>
      </c>
      <c r="M181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1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818" s="1" t="str">
        <f ca="1">IFERROR(__xludf.DUMMYFUNCTION("""COMPUTED_VALUE"""),"Manager who explains what is expected, sets a goal and helps achieve it")</f>
        <v>Manager who explains what is expected, sets a goal and helps achieve it</v>
      </c>
      <c r="P1818" s="1" t="str">
        <f ca="1">IFERROR(__xludf.DUMMYFUNCTION("""COMPUTED_VALUE"""),"Work with 2 to 3 people in my team")</f>
        <v>Work with 2 to 3 people in my team</v>
      </c>
      <c r="Q1818" s="1"/>
    </row>
    <row r="1819" spans="1:17" ht="13.2" x14ac:dyDescent="0.25">
      <c r="A1819" s="2">
        <f ca="1">IFERROR(__xludf.DUMMYFUNCTION("""COMPUTED_VALUE"""),45050.7513421296)</f>
        <v>45050.751342129603</v>
      </c>
      <c r="B1819" s="1" t="str">
        <f ca="1">IFERROR(__xludf.DUMMYFUNCTION("""COMPUTED_VALUE"""),"India")</f>
        <v>India</v>
      </c>
      <c r="C1819" s="1">
        <f ca="1">IFERROR(__xludf.DUMMYFUNCTION("""COMPUTED_VALUE"""),76009)</f>
        <v>76009</v>
      </c>
      <c r="D1819" s="3" t="str">
        <f ca="1">IFERROR(__xludf.DUMMYFUNCTION("""COMPUTED_VALUE"""),"Male")</f>
        <v>Male</v>
      </c>
      <c r="E1819" s="1" t="str">
        <f ca="1">IFERROR(__xludf.DUMMYFUNCTION("""COMPUTED_VALUE"""),"My Parents")</f>
        <v>My Parents</v>
      </c>
      <c r="F1819" s="1" t="str">
        <f ca="1">IFERROR(__xludf.DUMMYFUNCTION("""COMPUTED_VALUE"""),"Yes, I will earn and do that")</f>
        <v>Yes, I will earn and do that</v>
      </c>
      <c r="G1819" s="1" t="str">
        <f ca="1">IFERROR(__xludf.DUMMYFUNCTION("""COMPUTED_VALUE"""),"Will work for 3 years or more")</f>
        <v>Will work for 3 years or more</v>
      </c>
      <c r="H1819" s="1" t="str">
        <f ca="1">IFERROR(__xludf.DUMMYFUNCTION("""COMPUTED_VALUE"""),"Yes")</f>
        <v>Yes</v>
      </c>
      <c r="I1819" s="1" t="str">
        <f ca="1">IFERROR(__xludf.DUMMYFUNCTION("""COMPUTED_VALUE"""),"Will work for them")</f>
        <v>Will work for them</v>
      </c>
      <c r="J1819" s="1">
        <f ca="1">IFERROR(__xludf.DUMMYFUNCTION("""COMPUTED_VALUE"""),8)</f>
        <v>8</v>
      </c>
      <c r="K1819" s="1" t="str">
        <f ca="1">IFERROR(__xludf.DUMMYFUNCTION("""COMPUTED_VALUE"""),"Every Day Office Environment")</f>
        <v>Every Day Office Environment</v>
      </c>
      <c r="L1819" s="1" t="str">
        <f ca="1">IFERROR(__xludf.DUMMYFUNCTION("""COMPUTED_VALUE"""),"Employer who pushes your limits by enabling an learning environment, and rewards you at the end")</f>
        <v>Employer who pushes your limits by enabling an learning environment, and rewards you at the end</v>
      </c>
      <c r="M18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19" s="1" t="str">
        <f ca="1">IFERROR(__xludf.DUMMYFUNCTION("""COMPUTED_VALUE"""),"Teaching in any of the institutes/colleges/online or offline, Build and develop a Team, Work in a BPO setup for some well known client, Become a content Creator in some platform")</f>
        <v>Teaching in any of the institutes/colleges/online or offline, Build and develop a Team, Work in a BPO setup for some well known client, Become a content Creator in some platform</v>
      </c>
      <c r="O1819" s="1" t="str">
        <f ca="1">IFERROR(__xludf.DUMMYFUNCTION("""COMPUTED_VALUE"""),"Manager who clearly describes what she/he needs")</f>
        <v>Manager who clearly describes what she/he needs</v>
      </c>
      <c r="P1819" s="1" t="str">
        <f ca="1">IFERROR(__xludf.DUMMYFUNCTION("""COMPUTED_VALUE"""),"Work with 7 to 10 or more people in my team")</f>
        <v>Work with 7 to 10 or more people in my team</v>
      </c>
      <c r="Q1819" s="1"/>
    </row>
    <row r="1820" spans="1:17" ht="13.2" x14ac:dyDescent="0.25">
      <c r="A1820" s="2">
        <f ca="1">IFERROR(__xludf.DUMMYFUNCTION("""COMPUTED_VALUE"""),45050.751438287)</f>
        <v>45050.751438286999</v>
      </c>
      <c r="B1820" s="1" t="str">
        <f ca="1">IFERROR(__xludf.DUMMYFUNCTION("""COMPUTED_VALUE"""),"India")</f>
        <v>India</v>
      </c>
      <c r="C1820" s="1">
        <f ca="1">IFERROR(__xludf.DUMMYFUNCTION("""COMPUTED_VALUE"""),412201)</f>
        <v>412201</v>
      </c>
      <c r="D1820" s="3" t="str">
        <f ca="1">IFERROR(__xludf.DUMMYFUNCTION("""COMPUTED_VALUE"""),"Female")</f>
        <v>Female</v>
      </c>
      <c r="E1820" s="1" t="str">
        <f ca="1">IFERROR(__xludf.DUMMYFUNCTION("""COMPUTED_VALUE"""),"My Parents")</f>
        <v>My Parents</v>
      </c>
      <c r="F1820" s="1" t="str">
        <f ca="1">IFERROR(__xludf.DUMMYFUNCTION("""COMPUTED_VALUE"""),"No I would not be pursuing Higher Education outside of India")</f>
        <v>No I would not be pursuing Higher Education outside of India</v>
      </c>
      <c r="G1820" s="1" t="str">
        <f ca="1">IFERROR(__xludf.DUMMYFUNCTION("""COMPUTED_VALUE"""),"This will be hard to do, but if it is the right company I would try")</f>
        <v>This will be hard to do, but if it is the right company I would try</v>
      </c>
      <c r="H1820" s="1" t="str">
        <f ca="1">IFERROR(__xludf.DUMMYFUNCTION("""COMPUTED_VALUE"""),"Yes")</f>
        <v>Yes</v>
      </c>
      <c r="I1820" s="1" t="str">
        <f ca="1">IFERROR(__xludf.DUMMYFUNCTION("""COMPUTED_VALUE"""),"Will NOT work for them")</f>
        <v>Will NOT work for them</v>
      </c>
      <c r="J1820" s="1">
        <f ca="1">IFERROR(__xludf.DUMMYFUNCTION("""COMPUTED_VALUE"""),6)</f>
        <v>6</v>
      </c>
      <c r="K1820" s="1" t="str">
        <f ca="1">IFERROR(__xludf.DUMMYFUNCTION("""COMPUTED_VALUE"""),"Fully Remote with Options to travel as and when needed")</f>
        <v>Fully Remote with Options to travel as and when needed</v>
      </c>
      <c r="L1820" s="1" t="str">
        <f ca="1">IFERROR(__xludf.DUMMYFUNCTION("""COMPUTED_VALUE"""),"Employer who pushes your limits by enabling an learning environment, and rewards you at the end")</f>
        <v>Employer who pushes your limits by enabling an learning environment, and rewards you at the end</v>
      </c>
      <c r="M18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820"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820" s="1" t="str">
        <f ca="1">IFERROR(__xludf.DUMMYFUNCTION("""COMPUTED_VALUE"""),"Manager who explains what is expected, sets a goal and helps achieve it")</f>
        <v>Manager who explains what is expected, sets a goal and helps achieve it</v>
      </c>
      <c r="P1820" s="1" t="str">
        <f ca="1">IFERROR(__xludf.DUMMYFUNCTION("""COMPUTED_VALUE"""),"Work with 2 to 3 people in my team")</f>
        <v>Work with 2 to 3 people in my team</v>
      </c>
      <c r="Q1820" s="1"/>
    </row>
    <row r="1821" spans="1:17" ht="13.2" x14ac:dyDescent="0.25">
      <c r="A1821" s="2">
        <f ca="1">IFERROR(__xludf.DUMMYFUNCTION("""COMPUTED_VALUE"""),45050.7540307523)</f>
        <v>45050.754030752301</v>
      </c>
      <c r="B1821" s="1" t="str">
        <f ca="1">IFERROR(__xludf.DUMMYFUNCTION("""COMPUTED_VALUE"""),"India")</f>
        <v>India</v>
      </c>
      <c r="C1821" s="1">
        <f ca="1">IFERROR(__xludf.DUMMYFUNCTION("""COMPUTED_VALUE"""),452001)</f>
        <v>452001</v>
      </c>
      <c r="D1821" s="3" t="str">
        <f ca="1">IFERROR(__xludf.DUMMYFUNCTION("""COMPUTED_VALUE"""),"Male")</f>
        <v>Male</v>
      </c>
      <c r="E1821" s="1" t="str">
        <f ca="1">IFERROR(__xludf.DUMMYFUNCTION("""COMPUTED_VALUE"""),"My Parents")</f>
        <v>My Parents</v>
      </c>
      <c r="F1821" s="1" t="str">
        <f ca="1">IFERROR(__xludf.DUMMYFUNCTION("""COMPUTED_VALUE"""),"No, But if someone could bare the cost I will")</f>
        <v>No, But if someone could bare the cost I will</v>
      </c>
      <c r="G1821" s="1" t="str">
        <f ca="1">IFERROR(__xludf.DUMMYFUNCTION("""COMPUTED_VALUE"""),"No way")</f>
        <v>No way</v>
      </c>
      <c r="H1821" s="1" t="str">
        <f ca="1">IFERROR(__xludf.DUMMYFUNCTION("""COMPUTED_VALUE"""),"Yes")</f>
        <v>Yes</v>
      </c>
      <c r="I1821" s="1" t="str">
        <f ca="1">IFERROR(__xludf.DUMMYFUNCTION("""COMPUTED_VALUE"""),"Will work for them")</f>
        <v>Will work for them</v>
      </c>
      <c r="J1821" s="1">
        <f ca="1">IFERROR(__xludf.DUMMYFUNCTION("""COMPUTED_VALUE"""),5)</f>
        <v>5</v>
      </c>
      <c r="K1821" s="1" t="str">
        <f ca="1">IFERROR(__xludf.DUMMYFUNCTION("""COMPUTED_VALUE"""),"Hybrid Working Environment with less than 3 days a month at office")</f>
        <v>Hybrid Working Environment with less than 3 days a month at office</v>
      </c>
      <c r="L1821" s="1" t="str">
        <f ca="1">IFERROR(__xludf.DUMMYFUNCTION("""COMPUTED_VALUE"""),"Employer who pushes your limits by enabling an learning environment, and rewards you at the end")</f>
        <v>Employer who pushes your limits by enabling an learning environment, and rewards you at the end</v>
      </c>
      <c r="M182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82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821" s="1" t="str">
        <f ca="1">IFERROR(__xludf.DUMMYFUNCTION("""COMPUTED_VALUE"""),"Manager who sets goal and helps me achieve it")</f>
        <v>Manager who sets goal and helps me achieve it</v>
      </c>
      <c r="P1821" s="1" t="str">
        <f ca="1">IFERROR(__xludf.DUMMYFUNCTION("""COMPUTED_VALUE"""),"Work with 2 to 3 people in my team")</f>
        <v>Work with 2 to 3 people in my team</v>
      </c>
      <c r="Q1821" s="1"/>
    </row>
    <row r="1822" spans="1:17" ht="13.2" x14ac:dyDescent="0.25">
      <c r="A1822" s="2">
        <f ca="1">IFERROR(__xludf.DUMMYFUNCTION("""COMPUTED_VALUE"""),45050.7795207638)</f>
        <v>45050.779520763797</v>
      </c>
      <c r="B1822" s="1" t="str">
        <f ca="1">IFERROR(__xludf.DUMMYFUNCTION("""COMPUTED_VALUE"""),"India")</f>
        <v>India</v>
      </c>
      <c r="C1822" s="1">
        <f ca="1">IFERROR(__xludf.DUMMYFUNCTION("""COMPUTED_VALUE"""),530047)</f>
        <v>530047</v>
      </c>
      <c r="D1822" s="3" t="str">
        <f ca="1">IFERROR(__xludf.DUMMYFUNCTION("""COMPUTED_VALUE"""),"Male")</f>
        <v>Male</v>
      </c>
      <c r="E1822" s="1" t="str">
        <f ca="1">IFERROR(__xludf.DUMMYFUNCTION("""COMPUTED_VALUE"""),"Influencers who had successful careers")</f>
        <v>Influencers who had successful careers</v>
      </c>
      <c r="F1822" s="1" t="str">
        <f ca="1">IFERROR(__xludf.DUMMYFUNCTION("""COMPUTED_VALUE"""),"Yes, I will earn and do that")</f>
        <v>Yes, I will earn and do that</v>
      </c>
      <c r="G1822" s="1" t="str">
        <f ca="1">IFERROR(__xludf.DUMMYFUNCTION("""COMPUTED_VALUE"""),"This will be hard to do, but if it is the right company I would try")</f>
        <v>This will be hard to do, but if it is the right company I would try</v>
      </c>
      <c r="H1822" s="1" t="str">
        <f ca="1">IFERROR(__xludf.DUMMYFUNCTION("""COMPUTED_VALUE"""),"No")</f>
        <v>No</v>
      </c>
      <c r="I1822" s="1" t="str">
        <f ca="1">IFERROR(__xludf.DUMMYFUNCTION("""COMPUTED_VALUE"""),"Will NOT work for them")</f>
        <v>Will NOT work for them</v>
      </c>
      <c r="J1822" s="1">
        <f ca="1">IFERROR(__xludf.DUMMYFUNCTION("""COMPUTED_VALUE"""),1)</f>
        <v>1</v>
      </c>
      <c r="K1822" s="1" t="str">
        <f ca="1">IFERROR(__xludf.DUMMYFUNCTION("""COMPUTED_VALUE"""),"Fully Remote with Options to travel as and when needed")</f>
        <v>Fully Remote with Options to travel as and when needed</v>
      </c>
      <c r="L1822" s="1" t="str">
        <f ca="1">IFERROR(__xludf.DUMMYFUNCTION("""COMPUTED_VALUE"""),"Employer who pushes your limits by enabling an learning environment, and rewards you at the end")</f>
        <v>Employer who pushes your limits by enabling an learning environment, and rewards you at the end</v>
      </c>
      <c r="M182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822"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1822" s="1" t="str">
        <f ca="1">IFERROR(__xludf.DUMMYFUNCTION("""COMPUTED_VALUE"""),"Manager who sets goal and helps me achieve it")</f>
        <v>Manager who sets goal and helps me achieve it</v>
      </c>
      <c r="P1822" s="1" t="str">
        <f ca="1">IFERROR(__xludf.DUMMYFUNCTION("""COMPUTED_VALUE"""),"Work with 7 to 10 or more people in my team")</f>
        <v>Work with 7 to 10 or more people in my team</v>
      </c>
      <c r="Q1822" s="1"/>
    </row>
    <row r="1823" spans="1:17" ht="13.2" x14ac:dyDescent="0.25">
      <c r="A1823" s="2">
        <f ca="1">IFERROR(__xludf.DUMMYFUNCTION("""COMPUTED_VALUE"""),45050.8605898148)</f>
        <v>45050.860589814802</v>
      </c>
      <c r="B1823" s="1" t="str">
        <f ca="1">IFERROR(__xludf.DUMMYFUNCTION("""COMPUTED_VALUE"""),"India")</f>
        <v>India</v>
      </c>
      <c r="C1823" s="1">
        <f ca="1">IFERROR(__xludf.DUMMYFUNCTION("""COMPUTED_VALUE"""),766001)</f>
        <v>766001</v>
      </c>
      <c r="D1823" s="3" t="str">
        <f ca="1">IFERROR(__xludf.DUMMYFUNCTION("""COMPUTED_VALUE"""),"Male")</f>
        <v>Male</v>
      </c>
      <c r="E1823" s="1" t="str">
        <f ca="1">IFERROR(__xludf.DUMMYFUNCTION("""COMPUTED_VALUE"""),"My Parents")</f>
        <v>My Parents</v>
      </c>
      <c r="F1823" s="1" t="str">
        <f ca="1">IFERROR(__xludf.DUMMYFUNCTION("""COMPUTED_VALUE"""),"No, But if someone could bare the cost I will")</f>
        <v>No, But if someone could bare the cost I will</v>
      </c>
      <c r="G1823" s="1" t="str">
        <f ca="1">IFERROR(__xludf.DUMMYFUNCTION("""COMPUTED_VALUE"""),"This will be hard to do, but if it is the right company I would try")</f>
        <v>This will be hard to do, but if it is the right company I would try</v>
      </c>
      <c r="H1823" s="1" t="str">
        <f ca="1">IFERROR(__xludf.DUMMYFUNCTION("""COMPUTED_VALUE"""),"No")</f>
        <v>No</v>
      </c>
      <c r="I1823" s="1" t="str">
        <f ca="1">IFERROR(__xludf.DUMMYFUNCTION("""COMPUTED_VALUE"""),"Will NOT work for them")</f>
        <v>Will NOT work for them</v>
      </c>
      <c r="J1823" s="1">
        <f ca="1">IFERROR(__xludf.DUMMYFUNCTION("""COMPUTED_VALUE"""),5)</f>
        <v>5</v>
      </c>
      <c r="K1823" s="1" t="str">
        <f ca="1">IFERROR(__xludf.DUMMYFUNCTION("""COMPUTED_VALUE"""),"Fully Remote with Options to travel as and when needed")</f>
        <v>Fully Remote with Options to travel as and when needed</v>
      </c>
      <c r="L1823" s="1" t="str">
        <f ca="1">IFERROR(__xludf.DUMMYFUNCTION("""COMPUTED_VALUE"""),"Employers who appreciates learning but doesn't enables an learning environment")</f>
        <v>Employers who appreciates learning but doesn't enables an learning environment</v>
      </c>
      <c r="M182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823" s="1" t="str">
        <f ca="1">IFERROR(__xludf.DUMMYFUNCTION("""COMPUTED_VALUE"""),"Design and Develop amazing software, Look deeply into Data and generate insights, I Want to sell things/Sales, Manufacturing / Oil and Gas/ Construction / Hard Physical Work related")</f>
        <v>Design and Develop amazing software, Look deeply into Data and generate insights, I Want to sell things/Sales, Manufacturing / Oil and Gas/ Construction / Hard Physical Work related</v>
      </c>
      <c r="O1823" s="1" t="str">
        <f ca="1">IFERROR(__xludf.DUMMYFUNCTION("""COMPUTED_VALUE"""),"Manager who clearly describes what she/he needs")</f>
        <v>Manager who clearly describes what she/he needs</v>
      </c>
      <c r="P1823" s="1" t="str">
        <f ca="1">IFERROR(__xludf.DUMMYFUNCTION("""COMPUTED_VALUE"""),"Work alone, Work with 5 to 6 people in my team")</f>
        <v>Work alone, Work with 5 to 6 people in my team</v>
      </c>
      <c r="Q1823" s="1"/>
    </row>
    <row r="1824" spans="1:17" ht="13.2" x14ac:dyDescent="0.25">
      <c r="A1824" s="2">
        <f ca="1">IFERROR(__xludf.DUMMYFUNCTION("""COMPUTED_VALUE"""),45050.8727399189)</f>
        <v>45050.872739918901</v>
      </c>
      <c r="B1824" s="1" t="str">
        <f ca="1">IFERROR(__xludf.DUMMYFUNCTION("""COMPUTED_VALUE"""),"India")</f>
        <v>India</v>
      </c>
      <c r="C1824" s="1">
        <f ca="1">IFERROR(__xludf.DUMMYFUNCTION("""COMPUTED_VALUE"""),201010)</f>
        <v>201010</v>
      </c>
      <c r="D1824" s="3" t="str">
        <f ca="1">IFERROR(__xludf.DUMMYFUNCTION("""COMPUTED_VALUE"""),"Male")</f>
        <v>Male</v>
      </c>
      <c r="E1824" s="1" t="str">
        <f ca="1">IFERROR(__xludf.DUMMYFUNCTION("""COMPUTED_VALUE"""),"People who have changed the world for better")</f>
        <v>People who have changed the world for better</v>
      </c>
      <c r="F1824" s="1" t="str">
        <f ca="1">IFERROR(__xludf.DUMMYFUNCTION("""COMPUTED_VALUE"""),"No, But if someone could bare the cost I will")</f>
        <v>No, But if someone could bare the cost I will</v>
      </c>
      <c r="G1824" s="1" t="str">
        <f ca="1">IFERROR(__xludf.DUMMYFUNCTION("""COMPUTED_VALUE"""),"This will be hard to do, but if it is the right company I would try")</f>
        <v>This will be hard to do, but if it is the right company I would try</v>
      </c>
      <c r="H1824" s="1" t="str">
        <f ca="1">IFERROR(__xludf.DUMMYFUNCTION("""COMPUTED_VALUE"""),"No")</f>
        <v>No</v>
      </c>
      <c r="I1824" s="1" t="str">
        <f ca="1">IFERROR(__xludf.DUMMYFUNCTION("""COMPUTED_VALUE"""),"Will NOT work for them")</f>
        <v>Will NOT work for them</v>
      </c>
      <c r="J1824" s="1">
        <f ca="1">IFERROR(__xludf.DUMMYFUNCTION("""COMPUTED_VALUE"""),8)</f>
        <v>8</v>
      </c>
      <c r="K1824" s="1" t="str">
        <f ca="1">IFERROR(__xludf.DUMMYFUNCTION("""COMPUTED_VALUE"""),"Hybrid Working Environment with more than 15 days a month at office")</f>
        <v>Hybrid Working Environment with more than 15 days a month at office</v>
      </c>
      <c r="L1824" s="1" t="str">
        <f ca="1">IFERROR(__xludf.DUMMYFUNCTION("""COMPUTED_VALUE"""),"Employer who pushes your limits by enabling an learning environment, and rewards you at the end")</f>
        <v>Employer who pushes your limits by enabling an learning environment, and rewards you at the end</v>
      </c>
      <c r="M182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824"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824" s="1" t="str">
        <f ca="1">IFERROR(__xludf.DUMMYFUNCTION("""COMPUTED_VALUE"""),"Manager who clearly describes what she/he needs")</f>
        <v>Manager who clearly describes what she/he needs</v>
      </c>
      <c r="P182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824" s="1"/>
    </row>
    <row r="1825" spans="1:17" ht="13.2" x14ac:dyDescent="0.25">
      <c r="A1825" s="2">
        <f ca="1">IFERROR(__xludf.DUMMYFUNCTION("""COMPUTED_VALUE"""),45050.9021290393)</f>
        <v>45050.902129039299</v>
      </c>
      <c r="B1825" s="1" t="str">
        <f ca="1">IFERROR(__xludf.DUMMYFUNCTION("""COMPUTED_VALUE"""),"India")</f>
        <v>India</v>
      </c>
      <c r="C1825" s="1">
        <f ca="1">IFERROR(__xludf.DUMMYFUNCTION("""COMPUTED_VALUE"""),201301)</f>
        <v>201301</v>
      </c>
      <c r="D1825" s="3" t="str">
        <f ca="1">IFERROR(__xludf.DUMMYFUNCTION("""COMPUTED_VALUE"""),"Female")</f>
        <v>Female</v>
      </c>
      <c r="E1825" s="1" t="str">
        <f ca="1">IFERROR(__xludf.DUMMYFUNCTION("""COMPUTED_VALUE"""),"My Parents")</f>
        <v>My Parents</v>
      </c>
      <c r="F1825" s="1" t="str">
        <f ca="1">IFERROR(__xludf.DUMMYFUNCTION("""COMPUTED_VALUE"""),"No I would not be pursuing Higher Education outside of India")</f>
        <v>No I would not be pursuing Higher Education outside of India</v>
      </c>
      <c r="G1825" s="1" t="str">
        <f ca="1">IFERROR(__xludf.DUMMYFUNCTION("""COMPUTED_VALUE"""),"No way")</f>
        <v>No way</v>
      </c>
      <c r="H1825" s="1" t="str">
        <f ca="1">IFERROR(__xludf.DUMMYFUNCTION("""COMPUTED_VALUE"""),"No")</f>
        <v>No</v>
      </c>
      <c r="I1825" s="1" t="str">
        <f ca="1">IFERROR(__xludf.DUMMYFUNCTION("""COMPUTED_VALUE"""),"Will NOT work for them")</f>
        <v>Will NOT work for them</v>
      </c>
      <c r="J1825" s="1">
        <f ca="1">IFERROR(__xludf.DUMMYFUNCTION("""COMPUTED_VALUE"""),8)</f>
        <v>8</v>
      </c>
      <c r="K1825" s="1" t="str">
        <f ca="1">IFERROR(__xludf.DUMMYFUNCTION("""COMPUTED_VALUE"""),"Every Day Office Environment")</f>
        <v>Every Day Office Environment</v>
      </c>
      <c r="L1825" s="1" t="str">
        <f ca="1">IFERROR(__xludf.DUMMYFUNCTION("""COMPUTED_VALUE"""),"Employer who pushes your limits by enabling an learning environment, and rewards you at the end")</f>
        <v>Employer who pushes your limits by enabling an learning environment, and rewards you at the end</v>
      </c>
      <c r="M18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2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825" s="1" t="str">
        <f ca="1">IFERROR(__xludf.DUMMYFUNCTION("""COMPUTED_VALUE"""),"Manager who explains what is expected, sets a goal and helps achieve it")</f>
        <v>Manager who explains what is expected, sets a goal and helps achieve it</v>
      </c>
      <c r="P1825" s="1" t="str">
        <f ca="1">IFERROR(__xludf.DUMMYFUNCTION("""COMPUTED_VALUE"""),"Work with 2 to 3 people in my team")</f>
        <v>Work with 2 to 3 people in my team</v>
      </c>
      <c r="Q1825" s="1"/>
    </row>
    <row r="1826" spans="1:17" ht="13.2" x14ac:dyDescent="0.25">
      <c r="A1826" s="2">
        <f ca="1">IFERROR(__xludf.DUMMYFUNCTION("""COMPUTED_VALUE"""),45050.9363097337)</f>
        <v>45050.936309733697</v>
      </c>
      <c r="B1826" s="1" t="str">
        <f ca="1">IFERROR(__xludf.DUMMYFUNCTION("""COMPUTED_VALUE"""),"India")</f>
        <v>India</v>
      </c>
      <c r="C1826" s="1">
        <f ca="1">IFERROR(__xludf.DUMMYFUNCTION("""COMPUTED_VALUE"""),781024)</f>
        <v>781024</v>
      </c>
      <c r="D1826" s="3" t="str">
        <f ca="1">IFERROR(__xludf.DUMMYFUNCTION("""COMPUTED_VALUE"""),"Male")</f>
        <v>Male</v>
      </c>
      <c r="E1826" s="1" t="str">
        <f ca="1">IFERROR(__xludf.DUMMYFUNCTION("""COMPUTED_VALUE"""),"My Parents")</f>
        <v>My Parents</v>
      </c>
      <c r="F1826" s="1" t="str">
        <f ca="1">IFERROR(__xludf.DUMMYFUNCTION("""COMPUTED_VALUE"""),"No, But if someone could bare the cost I will")</f>
        <v>No, But if someone could bare the cost I will</v>
      </c>
      <c r="G1826" s="1" t="str">
        <f ca="1">IFERROR(__xludf.DUMMYFUNCTION("""COMPUTED_VALUE"""),"This will be hard to do, but if it is the right company I would try")</f>
        <v>This will be hard to do, but if it is the right company I would try</v>
      </c>
      <c r="H1826" s="1" t="str">
        <f ca="1">IFERROR(__xludf.DUMMYFUNCTION("""COMPUTED_VALUE"""),"No")</f>
        <v>No</v>
      </c>
      <c r="I1826" s="1" t="str">
        <f ca="1">IFERROR(__xludf.DUMMYFUNCTION("""COMPUTED_VALUE"""),"Will NOT work for them")</f>
        <v>Will NOT work for them</v>
      </c>
      <c r="J1826" s="1">
        <f ca="1">IFERROR(__xludf.DUMMYFUNCTION("""COMPUTED_VALUE"""),10)</f>
        <v>10</v>
      </c>
      <c r="K1826" s="1" t="str">
        <f ca="1">IFERROR(__xludf.DUMMYFUNCTION("""COMPUTED_VALUE"""),"Fully Remote with No option to visit offices")</f>
        <v>Fully Remote with No option to visit offices</v>
      </c>
      <c r="L1826" s="1" t="str">
        <f ca="1">IFERROR(__xludf.DUMMYFUNCTION("""COMPUTED_VALUE"""),"Employer who rewards learning and enables that environment")</f>
        <v>Employer who rewards learning and enables that environment</v>
      </c>
      <c r="M1826" s="1" t="str">
        <f ca="1">IFERROR(__xludf.DUMMYFUNCTION("""COMPUTED_VALUE"""),"Self Paced Learning Portals of the Company, Instructor or Expert Learning Programs, Manager Teaching you")</f>
        <v>Self Paced Learning Portals of the Company, Instructor or Expert Learning Programs, Manager Teaching you</v>
      </c>
      <c r="N182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826" s="1" t="str">
        <f ca="1">IFERROR(__xludf.DUMMYFUNCTION("""COMPUTED_VALUE"""),"Manager who explains what is expected, sets a goal and helps achieve it")</f>
        <v>Manager who explains what is expected, sets a goal and helps achieve it</v>
      </c>
      <c r="P1826" s="1" t="str">
        <f ca="1">IFERROR(__xludf.DUMMYFUNCTION("""COMPUTED_VALUE"""),"Work with 2 to 3 people in my team")</f>
        <v>Work with 2 to 3 people in my team</v>
      </c>
      <c r="Q1826" s="1"/>
    </row>
    <row r="1827" spans="1:17" ht="13.2" x14ac:dyDescent="0.25">
      <c r="A1827" s="2">
        <f ca="1">IFERROR(__xludf.DUMMYFUNCTION("""COMPUTED_VALUE"""),45050.9375288888)</f>
        <v>45050.937528888797</v>
      </c>
      <c r="B1827" s="1" t="str">
        <f ca="1">IFERROR(__xludf.DUMMYFUNCTION("""COMPUTED_VALUE"""),"India")</f>
        <v>India</v>
      </c>
      <c r="C1827" s="1">
        <f ca="1">IFERROR(__xludf.DUMMYFUNCTION("""COMPUTED_VALUE"""),501504)</f>
        <v>501504</v>
      </c>
      <c r="D1827" s="3" t="str">
        <f ca="1">IFERROR(__xludf.DUMMYFUNCTION("""COMPUTED_VALUE"""),"Male")</f>
        <v>Male</v>
      </c>
      <c r="E1827" s="1" t="str">
        <f ca="1">IFERROR(__xludf.DUMMYFUNCTION("""COMPUTED_VALUE"""),"People who have changed the world for better")</f>
        <v>People who have changed the world for better</v>
      </c>
      <c r="F1827" s="1" t="str">
        <f ca="1">IFERROR(__xludf.DUMMYFUNCTION("""COMPUTED_VALUE"""),"No I would not be pursuing Higher Education outside of India")</f>
        <v>No I would not be pursuing Higher Education outside of India</v>
      </c>
      <c r="G1827" s="1" t="str">
        <f ca="1">IFERROR(__xludf.DUMMYFUNCTION("""COMPUTED_VALUE"""),"Will work for 3 years or more")</f>
        <v>Will work for 3 years or more</v>
      </c>
      <c r="H1827" s="1" t="str">
        <f ca="1">IFERROR(__xludf.DUMMYFUNCTION("""COMPUTED_VALUE"""),"No")</f>
        <v>No</v>
      </c>
      <c r="I1827" s="1" t="str">
        <f ca="1">IFERROR(__xludf.DUMMYFUNCTION("""COMPUTED_VALUE"""),"Will NOT work for them")</f>
        <v>Will NOT work for them</v>
      </c>
      <c r="J1827" s="1">
        <f ca="1">IFERROR(__xludf.DUMMYFUNCTION("""COMPUTED_VALUE"""),8)</f>
        <v>8</v>
      </c>
      <c r="K1827" s="1" t="str">
        <f ca="1">IFERROR(__xludf.DUMMYFUNCTION("""COMPUTED_VALUE"""),"Every Day Office Environment")</f>
        <v>Every Day Office Environment</v>
      </c>
      <c r="L1827" s="1" t="str">
        <f ca="1">IFERROR(__xludf.DUMMYFUNCTION("""COMPUTED_VALUE"""),"Employer who pushes your limits by enabling an learning environment, and rewards you at the end")</f>
        <v>Employer who pushes your limits by enabling an learning environment, and rewards you at the end</v>
      </c>
      <c r="M18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27"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827" s="1" t="str">
        <f ca="1">IFERROR(__xludf.DUMMYFUNCTION("""COMPUTED_VALUE"""),"Manager who sets goal and helps me achieve it")</f>
        <v>Manager who sets goal and helps me achieve it</v>
      </c>
      <c r="P1827" s="1" t="str">
        <f ca="1">IFERROR(__xludf.DUMMYFUNCTION("""COMPUTED_VALUE"""),"Work with 7 to 10 or more people in my team")</f>
        <v>Work with 7 to 10 or more people in my team</v>
      </c>
      <c r="Q1827" s="1"/>
    </row>
    <row r="1828" spans="1:17" ht="13.2" x14ac:dyDescent="0.25">
      <c r="A1828" s="2">
        <f ca="1">IFERROR(__xludf.DUMMYFUNCTION("""COMPUTED_VALUE"""),45051.5024486226)</f>
        <v>45051.502448622603</v>
      </c>
      <c r="B1828" s="1" t="str">
        <f ca="1">IFERROR(__xludf.DUMMYFUNCTION("""COMPUTED_VALUE"""),"India")</f>
        <v>India</v>
      </c>
      <c r="C1828" s="1">
        <f ca="1">IFERROR(__xludf.DUMMYFUNCTION("""COMPUTED_VALUE"""),110049)</f>
        <v>110049</v>
      </c>
      <c r="D1828" s="3" t="str">
        <f ca="1">IFERROR(__xludf.DUMMYFUNCTION("""COMPUTED_VALUE"""),"Female")</f>
        <v>Female</v>
      </c>
      <c r="E1828" s="1" t="str">
        <f ca="1">IFERROR(__xludf.DUMMYFUNCTION("""COMPUTED_VALUE"""),"My Parents")</f>
        <v>My Parents</v>
      </c>
      <c r="F1828" s="1" t="str">
        <f ca="1">IFERROR(__xludf.DUMMYFUNCTION("""COMPUTED_VALUE"""),"Yes, I will earn and do that")</f>
        <v>Yes, I will earn and do that</v>
      </c>
      <c r="G1828" s="1" t="str">
        <f ca="1">IFERROR(__xludf.DUMMYFUNCTION("""COMPUTED_VALUE"""),"This will be hard to do, but if it is the right company I would try")</f>
        <v>This will be hard to do, but if it is the right company I would try</v>
      </c>
      <c r="H1828" s="1" t="str">
        <f ca="1">IFERROR(__xludf.DUMMYFUNCTION("""COMPUTED_VALUE"""),"No")</f>
        <v>No</v>
      </c>
      <c r="I1828" s="1" t="str">
        <f ca="1">IFERROR(__xludf.DUMMYFUNCTION("""COMPUTED_VALUE"""),"Will NOT work for them")</f>
        <v>Will NOT work for them</v>
      </c>
      <c r="J1828" s="1">
        <f ca="1">IFERROR(__xludf.DUMMYFUNCTION("""COMPUTED_VALUE"""),7)</f>
        <v>7</v>
      </c>
      <c r="K1828" s="1" t="str">
        <f ca="1">IFERROR(__xludf.DUMMYFUNCTION("""COMPUTED_VALUE"""),"Hybrid Working Environment with more than 15 days a month at office")</f>
        <v>Hybrid Working Environment with more than 15 days a month at office</v>
      </c>
      <c r="L1828" s="1" t="str">
        <f ca="1">IFERROR(__xludf.DUMMYFUNCTION("""COMPUTED_VALUE"""),"Employer who rewards learning and enables that environment")</f>
        <v>Employer who rewards learning and enables that environment</v>
      </c>
      <c r="M182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28"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828" s="1" t="str">
        <f ca="1">IFERROR(__xludf.DUMMYFUNCTION("""COMPUTED_VALUE"""),"Manager who explains what is expected, sets a goal and helps achieve it")</f>
        <v>Manager who explains what is expected, sets a goal and helps achieve it</v>
      </c>
      <c r="P1828" s="1" t="str">
        <f ca="1">IFERROR(__xludf.DUMMYFUNCTION("""COMPUTED_VALUE"""),"Work with 5 to 6 people in my team")</f>
        <v>Work with 5 to 6 people in my team</v>
      </c>
      <c r="Q1828" s="1"/>
    </row>
    <row r="1829" spans="1:17" ht="13.2" x14ac:dyDescent="0.25">
      <c r="A1829" s="2">
        <f ca="1">IFERROR(__xludf.DUMMYFUNCTION("""COMPUTED_VALUE"""),45051.5077462962)</f>
        <v>45051.5077462962</v>
      </c>
      <c r="B1829" s="1" t="str">
        <f ca="1">IFERROR(__xludf.DUMMYFUNCTION("""COMPUTED_VALUE"""),"India")</f>
        <v>India</v>
      </c>
      <c r="C1829" s="1">
        <f ca="1">IFERROR(__xludf.DUMMYFUNCTION("""COMPUTED_VALUE"""),431122)</f>
        <v>431122</v>
      </c>
      <c r="D1829" s="3" t="str">
        <f ca="1">IFERROR(__xludf.DUMMYFUNCTION("""COMPUTED_VALUE"""),"Male")</f>
        <v>Male</v>
      </c>
      <c r="E1829" s="1" t="str">
        <f ca="1">IFERROR(__xludf.DUMMYFUNCTION("""COMPUTED_VALUE"""),"People who have changed the world for better")</f>
        <v>People who have changed the world for better</v>
      </c>
      <c r="F1829" s="1" t="str">
        <f ca="1">IFERROR(__xludf.DUMMYFUNCTION("""COMPUTED_VALUE"""),"No, But if someone could bare the cost I will")</f>
        <v>No, But if someone could bare the cost I will</v>
      </c>
      <c r="G1829" s="1" t="str">
        <f ca="1">IFERROR(__xludf.DUMMYFUNCTION("""COMPUTED_VALUE"""),"Will work for 3 years or more")</f>
        <v>Will work for 3 years or more</v>
      </c>
      <c r="H1829" s="1" t="str">
        <f ca="1">IFERROR(__xludf.DUMMYFUNCTION("""COMPUTED_VALUE"""),"No")</f>
        <v>No</v>
      </c>
      <c r="I1829" s="1" t="str">
        <f ca="1">IFERROR(__xludf.DUMMYFUNCTION("""COMPUTED_VALUE"""),"Will NOT work for them")</f>
        <v>Will NOT work for them</v>
      </c>
      <c r="J1829" s="1">
        <f ca="1">IFERROR(__xludf.DUMMYFUNCTION("""COMPUTED_VALUE"""),5)</f>
        <v>5</v>
      </c>
      <c r="K1829" s="1" t="str">
        <f ca="1">IFERROR(__xludf.DUMMYFUNCTION("""COMPUTED_VALUE"""),"Fully Remote with Options to travel as and when needed")</f>
        <v>Fully Remote with Options to travel as and when needed</v>
      </c>
      <c r="L1829" s="1" t="str">
        <f ca="1">IFERROR(__xludf.DUMMYFUNCTION("""COMPUTED_VALUE"""),"Employer who pushes your limits by enabling an learning environment, and rewards you at the end")</f>
        <v>Employer who pushes your limits by enabling an learning environment, and rewards you at the end</v>
      </c>
      <c r="M182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829"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829" s="1" t="str">
        <f ca="1">IFERROR(__xludf.DUMMYFUNCTION("""COMPUTED_VALUE"""),"Manager who sets goal and helps me achieve it")</f>
        <v>Manager who sets goal and helps me achieve it</v>
      </c>
      <c r="P1829" s="1" t="str">
        <f ca="1">IFERROR(__xludf.DUMMYFUNCTION("""COMPUTED_VALUE"""),"Work with 5 to 6 people in my team")</f>
        <v>Work with 5 to 6 people in my team</v>
      </c>
      <c r="Q1829" s="1"/>
    </row>
    <row r="1830" spans="1:17" ht="13.2" x14ac:dyDescent="0.25">
      <c r="A1830" s="2">
        <f ca="1">IFERROR(__xludf.DUMMYFUNCTION("""COMPUTED_VALUE"""),45051.5304120486)</f>
        <v>45051.530412048603</v>
      </c>
      <c r="B1830" s="1" t="str">
        <f ca="1">IFERROR(__xludf.DUMMYFUNCTION("""COMPUTED_VALUE"""),"India")</f>
        <v>India</v>
      </c>
      <c r="C1830" s="1">
        <f ca="1">IFERROR(__xludf.DUMMYFUNCTION("""COMPUTED_VALUE"""),201010)</f>
        <v>201010</v>
      </c>
      <c r="D1830" s="3" t="str">
        <f ca="1">IFERROR(__xludf.DUMMYFUNCTION("""COMPUTED_VALUE"""),"Female")</f>
        <v>Female</v>
      </c>
      <c r="E1830" s="1" t="str">
        <f ca="1">IFERROR(__xludf.DUMMYFUNCTION("""COMPUTED_VALUE"""),"People from my circle, but not family members")</f>
        <v>People from my circle, but not family members</v>
      </c>
      <c r="F1830" s="1" t="str">
        <f ca="1">IFERROR(__xludf.DUMMYFUNCTION("""COMPUTED_VALUE"""),"No I would not be pursuing Higher Education outside of India")</f>
        <v>No I would not be pursuing Higher Education outside of India</v>
      </c>
      <c r="G1830" s="1" t="str">
        <f ca="1">IFERROR(__xludf.DUMMYFUNCTION("""COMPUTED_VALUE"""),"No way")</f>
        <v>No way</v>
      </c>
      <c r="H1830" s="1" t="str">
        <f ca="1">IFERROR(__xludf.DUMMYFUNCTION("""COMPUTED_VALUE"""),"No")</f>
        <v>No</v>
      </c>
      <c r="I1830" s="1" t="str">
        <f ca="1">IFERROR(__xludf.DUMMYFUNCTION("""COMPUTED_VALUE"""),"Will NOT work for them")</f>
        <v>Will NOT work for them</v>
      </c>
      <c r="J1830" s="1">
        <f ca="1">IFERROR(__xludf.DUMMYFUNCTION("""COMPUTED_VALUE"""),5)</f>
        <v>5</v>
      </c>
      <c r="K1830" s="1" t="str">
        <f ca="1">IFERROR(__xludf.DUMMYFUNCTION("""COMPUTED_VALUE"""),"Hybrid Working Environment with more than 15 days a month at office")</f>
        <v>Hybrid Working Environment with more than 15 days a month at office</v>
      </c>
      <c r="L1830" s="1" t="str">
        <f ca="1">IFERROR(__xludf.DUMMYFUNCTION("""COMPUTED_VALUE"""),"Employer who pushes your limits by enabling an learning environment, and rewards you at the end")</f>
        <v>Employer who pushes your limits by enabling an learning environment, and rewards you at the end</v>
      </c>
      <c r="M1830" s="1" t="str">
        <f ca="1">IFERROR(__xludf.DUMMYFUNCTION("""COMPUTED_VALUE"""),"Instructor or Expert Learning Programs, Learning by observing others, Manager Teaching you")</f>
        <v>Instructor or Expert Learning Programs, Learning by observing others, Manager Teaching you</v>
      </c>
      <c r="N1830"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830" s="1" t="str">
        <f ca="1">IFERROR(__xludf.DUMMYFUNCTION("""COMPUTED_VALUE"""),"Manager who explains what is expected, sets a goal and helps achieve it")</f>
        <v>Manager who explains what is expected, sets a goal and helps achieve it</v>
      </c>
      <c r="P1830" s="1" t="str">
        <f ca="1">IFERROR(__xludf.DUMMYFUNCTION("""COMPUTED_VALUE"""),"Work with more than 10 people in my team")</f>
        <v>Work with more than 10 people in my team</v>
      </c>
      <c r="Q1830" s="1"/>
    </row>
    <row r="1831" spans="1:17" ht="13.2" x14ac:dyDescent="0.25">
      <c r="A1831" s="2">
        <f ca="1">IFERROR(__xludf.DUMMYFUNCTION("""COMPUTED_VALUE"""),45051.5337598842)</f>
        <v>45051.533759884202</v>
      </c>
      <c r="B1831" s="1" t="str">
        <f ca="1">IFERROR(__xludf.DUMMYFUNCTION("""COMPUTED_VALUE"""),"India")</f>
        <v>India</v>
      </c>
      <c r="C1831" s="1">
        <f ca="1">IFERROR(__xludf.DUMMYFUNCTION("""COMPUTED_VALUE"""),110060)</f>
        <v>110060</v>
      </c>
      <c r="D1831" s="3" t="str">
        <f ca="1">IFERROR(__xludf.DUMMYFUNCTION("""COMPUTED_VALUE"""),"Male")</f>
        <v>Male</v>
      </c>
      <c r="E1831" s="1" t="str">
        <f ca="1">IFERROR(__xludf.DUMMYFUNCTION("""COMPUTED_VALUE"""),"My Parents")</f>
        <v>My Parents</v>
      </c>
      <c r="F1831" s="1" t="str">
        <f ca="1">IFERROR(__xludf.DUMMYFUNCTION("""COMPUTED_VALUE"""),"No, But if someone could bare the cost I will")</f>
        <v>No, But if someone could bare the cost I will</v>
      </c>
      <c r="G1831" s="1" t="str">
        <f ca="1">IFERROR(__xludf.DUMMYFUNCTION("""COMPUTED_VALUE"""),"No way")</f>
        <v>No way</v>
      </c>
      <c r="H1831" s="1" t="str">
        <f ca="1">IFERROR(__xludf.DUMMYFUNCTION("""COMPUTED_VALUE"""),"No")</f>
        <v>No</v>
      </c>
      <c r="I1831" s="1" t="str">
        <f ca="1">IFERROR(__xludf.DUMMYFUNCTION("""COMPUTED_VALUE"""),"Will NOT work for them")</f>
        <v>Will NOT work for them</v>
      </c>
      <c r="J1831" s="1">
        <f ca="1">IFERROR(__xludf.DUMMYFUNCTION("""COMPUTED_VALUE"""),5)</f>
        <v>5</v>
      </c>
      <c r="K1831" s="1" t="str">
        <f ca="1">IFERROR(__xludf.DUMMYFUNCTION("""COMPUTED_VALUE"""),"Hybrid Working Environment with more than 15 days a month at office")</f>
        <v>Hybrid Working Environment with more than 15 days a month at office</v>
      </c>
      <c r="L1831" s="1" t="str">
        <f ca="1">IFERROR(__xludf.DUMMYFUNCTION("""COMPUTED_VALUE"""),"Employer who appreciates learning and enables that environment")</f>
        <v>Employer who appreciates learning and enables that environment</v>
      </c>
      <c r="M183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31"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831" s="1" t="str">
        <f ca="1">IFERROR(__xludf.DUMMYFUNCTION("""COMPUTED_VALUE"""),"Manager who explains what is expected, sets a goal and helps achieve it")</f>
        <v>Manager who explains what is expected, sets a goal and helps achieve it</v>
      </c>
      <c r="P1831" s="1" t="str">
        <f ca="1">IFERROR(__xludf.DUMMYFUNCTION("""COMPUTED_VALUE"""),"Work with 5 to 6 people in my team")</f>
        <v>Work with 5 to 6 people in my team</v>
      </c>
      <c r="Q1831" s="1"/>
    </row>
    <row r="1832" spans="1:17" ht="13.2" x14ac:dyDescent="0.25">
      <c r="A1832" s="2">
        <f ca="1">IFERROR(__xludf.DUMMYFUNCTION("""COMPUTED_VALUE"""),45051.616322581)</f>
        <v>45051.616322581001</v>
      </c>
      <c r="B1832" s="1" t="str">
        <f ca="1">IFERROR(__xludf.DUMMYFUNCTION("""COMPUTED_VALUE"""),"India")</f>
        <v>India</v>
      </c>
      <c r="C1832" s="1">
        <f ca="1">IFERROR(__xludf.DUMMYFUNCTION("""COMPUTED_VALUE"""),462039)</f>
        <v>462039</v>
      </c>
      <c r="D1832" s="3" t="str">
        <f ca="1">IFERROR(__xludf.DUMMYFUNCTION("""COMPUTED_VALUE"""),"Male")</f>
        <v>Male</v>
      </c>
      <c r="E1832" s="1" t="str">
        <f ca="1">IFERROR(__xludf.DUMMYFUNCTION("""COMPUTED_VALUE"""),"Influencers who had successful careers")</f>
        <v>Influencers who had successful careers</v>
      </c>
      <c r="F1832" s="1" t="str">
        <f ca="1">IFERROR(__xludf.DUMMYFUNCTION("""COMPUTED_VALUE"""),"Yes, I will earn and do that")</f>
        <v>Yes, I will earn and do that</v>
      </c>
      <c r="G1832" s="1" t="str">
        <f ca="1">IFERROR(__xludf.DUMMYFUNCTION("""COMPUTED_VALUE"""),"This will be hard to do, but if it is the right company I would try")</f>
        <v>This will be hard to do, but if it is the right company I would try</v>
      </c>
      <c r="H1832" s="1" t="str">
        <f ca="1">IFERROR(__xludf.DUMMYFUNCTION("""COMPUTED_VALUE"""),"No")</f>
        <v>No</v>
      </c>
      <c r="I1832" s="1" t="str">
        <f ca="1">IFERROR(__xludf.DUMMYFUNCTION("""COMPUTED_VALUE"""),"Will NOT work for them")</f>
        <v>Will NOT work for them</v>
      </c>
      <c r="J1832" s="1">
        <f ca="1">IFERROR(__xludf.DUMMYFUNCTION("""COMPUTED_VALUE"""),3)</f>
        <v>3</v>
      </c>
      <c r="K1832" s="1" t="str">
        <f ca="1">IFERROR(__xludf.DUMMYFUNCTION("""COMPUTED_VALUE"""),"Fully Remote with Options to travel as and when needed")</f>
        <v>Fully Remote with Options to travel as and when needed</v>
      </c>
      <c r="L1832" s="1" t="str">
        <f ca="1">IFERROR(__xludf.DUMMYFUNCTION("""COMPUTED_VALUE"""),"Employer who pushes your limits by enabling an learning environment, and rewards you at the end")</f>
        <v>Employer who pushes your limits by enabling an learning environment, and rewards you at the end</v>
      </c>
      <c r="M183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832" s="1" t="str">
        <f ca="1">IFERROR(__xludf.DUMMYFUNCTION("""COMPUTED_VALUE"""),"Design and Creative strategy in any company, Manage and drive End-to-End Projects or Products, Become a content Creator in some platform, An Artificial Intelligence Specialist / Talking to Robots")</f>
        <v>Design and Creative strategy in any company, Manage and drive End-to-End Projects or Products, Become a content Creator in some platform, An Artificial Intelligence Specialist / Talking to Robots</v>
      </c>
      <c r="O1832" s="1" t="str">
        <f ca="1">IFERROR(__xludf.DUMMYFUNCTION("""COMPUTED_VALUE"""),"Manager who sets goal and helps me achieve it")</f>
        <v>Manager who sets goal and helps me achieve it</v>
      </c>
      <c r="P1832" s="1" t="str">
        <f ca="1">IFERROR(__xludf.DUMMYFUNCTION("""COMPUTED_VALUE"""),"Work with 5 to 6 people in my team")</f>
        <v>Work with 5 to 6 people in my team</v>
      </c>
      <c r="Q1832" s="1"/>
    </row>
    <row r="1833" spans="1:17" ht="13.2" x14ac:dyDescent="0.25">
      <c r="A1833" s="2">
        <f ca="1">IFERROR(__xludf.DUMMYFUNCTION("""COMPUTED_VALUE"""),45051.7514229629)</f>
        <v>45051.751422962901</v>
      </c>
      <c r="B1833" s="1" t="str">
        <f ca="1">IFERROR(__xludf.DUMMYFUNCTION("""COMPUTED_VALUE"""),"India")</f>
        <v>India</v>
      </c>
      <c r="C1833" s="1">
        <f ca="1">IFERROR(__xludf.DUMMYFUNCTION("""COMPUTED_VALUE"""),587103)</f>
        <v>587103</v>
      </c>
      <c r="D1833" s="3" t="str">
        <f ca="1">IFERROR(__xludf.DUMMYFUNCTION("""COMPUTED_VALUE"""),"Female")</f>
        <v>Female</v>
      </c>
      <c r="E1833" s="1" t="str">
        <f ca="1">IFERROR(__xludf.DUMMYFUNCTION("""COMPUTED_VALUE"""),"Influencers who had successful careers")</f>
        <v>Influencers who had successful careers</v>
      </c>
      <c r="F1833" s="1" t="str">
        <f ca="1">IFERROR(__xludf.DUMMYFUNCTION("""COMPUTED_VALUE"""),"No I would not be pursuing Higher Education outside of India")</f>
        <v>No I would not be pursuing Higher Education outside of India</v>
      </c>
      <c r="G1833" s="1" t="str">
        <f ca="1">IFERROR(__xludf.DUMMYFUNCTION("""COMPUTED_VALUE"""),"This will be hard to do, but if it is the right company I would try")</f>
        <v>This will be hard to do, but if it is the right company I would try</v>
      </c>
      <c r="H1833" s="1" t="str">
        <f ca="1">IFERROR(__xludf.DUMMYFUNCTION("""COMPUTED_VALUE"""),"No")</f>
        <v>No</v>
      </c>
      <c r="I1833" s="1" t="str">
        <f ca="1">IFERROR(__xludf.DUMMYFUNCTION("""COMPUTED_VALUE"""),"Will NOT work for them")</f>
        <v>Will NOT work for them</v>
      </c>
      <c r="J1833" s="1">
        <f ca="1">IFERROR(__xludf.DUMMYFUNCTION("""COMPUTED_VALUE"""),3)</f>
        <v>3</v>
      </c>
      <c r="K1833" s="1" t="str">
        <f ca="1">IFERROR(__xludf.DUMMYFUNCTION("""COMPUTED_VALUE"""),"Every Day Office Environment")</f>
        <v>Every Day Office Environment</v>
      </c>
      <c r="L1833" s="1" t="str">
        <f ca="1">IFERROR(__xludf.DUMMYFUNCTION("""COMPUTED_VALUE"""),"Employer who pushes your limits by enabling an learning environment, and rewards you at the end")</f>
        <v>Employer who pushes your limits by enabling an learning environment, and rewards you at the end</v>
      </c>
      <c r="M183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33"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1833" s="1" t="str">
        <f ca="1">IFERROR(__xludf.DUMMYFUNCTION("""COMPUTED_VALUE"""),"Manager who sets goal and helps me achieve it")</f>
        <v>Manager who sets goal and helps me achieve it</v>
      </c>
      <c r="P1833" s="1" t="str">
        <f ca="1">IFERROR(__xludf.DUMMYFUNCTION("""COMPUTED_VALUE"""),"Work with 7 to 10 or more people in my team")</f>
        <v>Work with 7 to 10 or more people in my team</v>
      </c>
      <c r="Q1833" s="1"/>
    </row>
    <row r="1834" spans="1:17" ht="13.2" x14ac:dyDescent="0.25">
      <c r="A1834" s="2">
        <f ca="1">IFERROR(__xludf.DUMMYFUNCTION("""COMPUTED_VALUE"""),45051.9793390972)</f>
        <v>45051.979339097197</v>
      </c>
      <c r="B1834" s="1" t="str">
        <f ca="1">IFERROR(__xludf.DUMMYFUNCTION("""COMPUTED_VALUE"""),"India")</f>
        <v>India</v>
      </c>
      <c r="C1834" s="1">
        <f ca="1">IFERROR(__xludf.DUMMYFUNCTION("""COMPUTED_VALUE"""),600119)</f>
        <v>600119</v>
      </c>
      <c r="D1834" s="3" t="str">
        <f ca="1">IFERROR(__xludf.DUMMYFUNCTION("""COMPUTED_VALUE"""),"Male")</f>
        <v>Male</v>
      </c>
      <c r="E1834" s="1" t="str">
        <f ca="1">IFERROR(__xludf.DUMMYFUNCTION("""COMPUTED_VALUE"""),"Influencers who had successful careers")</f>
        <v>Influencers who had successful careers</v>
      </c>
      <c r="F1834" s="1" t="str">
        <f ca="1">IFERROR(__xludf.DUMMYFUNCTION("""COMPUTED_VALUE"""),"Yes, I will earn and do that")</f>
        <v>Yes, I will earn and do that</v>
      </c>
      <c r="G1834" s="1" t="str">
        <f ca="1">IFERROR(__xludf.DUMMYFUNCTION("""COMPUTED_VALUE"""),"Will work for 3 years or more")</f>
        <v>Will work for 3 years or more</v>
      </c>
      <c r="H1834" s="1" t="str">
        <f ca="1">IFERROR(__xludf.DUMMYFUNCTION("""COMPUTED_VALUE"""),"No")</f>
        <v>No</v>
      </c>
      <c r="I1834" s="1" t="str">
        <f ca="1">IFERROR(__xludf.DUMMYFUNCTION("""COMPUTED_VALUE"""),"Will work for them")</f>
        <v>Will work for them</v>
      </c>
      <c r="J1834" s="1">
        <f ca="1">IFERROR(__xludf.DUMMYFUNCTION("""COMPUTED_VALUE"""),6)</f>
        <v>6</v>
      </c>
      <c r="K1834" s="1" t="str">
        <f ca="1">IFERROR(__xludf.DUMMYFUNCTION("""COMPUTED_VALUE"""),"Fully Remote with Options to travel as and when needed")</f>
        <v>Fully Remote with Options to travel as and when needed</v>
      </c>
      <c r="L1834" s="1" t="str">
        <f ca="1">IFERROR(__xludf.DUMMYFUNCTION("""COMPUTED_VALUE"""),"Employer who appreciates learning and enables that environment")</f>
        <v>Employer who appreciates learning and enables that environment</v>
      </c>
      <c r="M183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34"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834" s="1" t="str">
        <f ca="1">IFERROR(__xludf.DUMMYFUNCTION("""COMPUTED_VALUE"""),"Manager who sets targets and expects me to achieve it")</f>
        <v>Manager who sets targets and expects me to achieve it</v>
      </c>
      <c r="P1834" s="1" t="str">
        <f ca="1">IFERROR(__xludf.DUMMYFUNCTION("""COMPUTED_VALUE"""),"Work with 2 to 3 people in my team")</f>
        <v>Work with 2 to 3 people in my team</v>
      </c>
      <c r="Q1834" s="1"/>
    </row>
    <row r="1835" spans="1:17" ht="13.2" x14ac:dyDescent="0.25">
      <c r="A1835" s="2">
        <f ca="1">IFERROR(__xludf.DUMMYFUNCTION("""COMPUTED_VALUE"""),45052.0038293634)</f>
        <v>45052.003829363399</v>
      </c>
      <c r="B1835" s="1" t="str">
        <f ca="1">IFERROR(__xludf.DUMMYFUNCTION("""COMPUTED_VALUE"""),"India")</f>
        <v>India</v>
      </c>
      <c r="C1835" s="1">
        <f ca="1">IFERROR(__xludf.DUMMYFUNCTION("""COMPUTED_VALUE"""),605004)</f>
        <v>605004</v>
      </c>
      <c r="D1835" s="3" t="str">
        <f ca="1">IFERROR(__xludf.DUMMYFUNCTION("""COMPUTED_VALUE"""),"Male")</f>
        <v>Male</v>
      </c>
      <c r="E1835" s="1" t="str">
        <f ca="1">IFERROR(__xludf.DUMMYFUNCTION("""COMPUTED_VALUE"""),"Influencers who had successful careers")</f>
        <v>Influencers who had successful careers</v>
      </c>
      <c r="F1835" s="1" t="str">
        <f ca="1">IFERROR(__xludf.DUMMYFUNCTION("""COMPUTED_VALUE"""),"Yes, I will earn and do that")</f>
        <v>Yes, I will earn and do that</v>
      </c>
      <c r="G1835" s="1" t="str">
        <f ca="1">IFERROR(__xludf.DUMMYFUNCTION("""COMPUTED_VALUE"""),"This will be hard to do, but if it is the right company I would try")</f>
        <v>This will be hard to do, but if it is the right company I would try</v>
      </c>
      <c r="H1835" s="1" t="str">
        <f ca="1">IFERROR(__xludf.DUMMYFUNCTION("""COMPUTED_VALUE"""),"No")</f>
        <v>No</v>
      </c>
      <c r="I1835" s="1" t="str">
        <f ca="1">IFERROR(__xludf.DUMMYFUNCTION("""COMPUTED_VALUE"""),"Will NOT work for them")</f>
        <v>Will NOT work for them</v>
      </c>
      <c r="J1835" s="1">
        <f ca="1">IFERROR(__xludf.DUMMYFUNCTION("""COMPUTED_VALUE"""),6)</f>
        <v>6</v>
      </c>
      <c r="K1835" s="1" t="str">
        <f ca="1">IFERROR(__xludf.DUMMYFUNCTION("""COMPUTED_VALUE"""),"Hybrid Working Environment with more than 15 days a month at office")</f>
        <v>Hybrid Working Environment with more than 15 days a month at office</v>
      </c>
      <c r="L1835" s="1" t="str">
        <f ca="1">IFERROR(__xludf.DUMMYFUNCTION("""COMPUTED_VALUE"""),"Employer who rewards learning and enables that environment")</f>
        <v>Employer who rewards learning and enables that environment</v>
      </c>
      <c r="M183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35" s="1" t="str">
        <f ca="1">IFERROR(__xludf.DUMMYFUNCTION("""COMPUTED_VALUE"""),"Design and Creative strategy in any company, Work as a freelancer and do my thing my way, Entrepreneur or Start Up, Manufacturing / Oil and Gas/ Construction / Hard Physical Work related")</f>
        <v>Design and Creative strategy in any company, Work as a freelancer and do my thing my way, Entrepreneur or Start Up, Manufacturing / Oil and Gas/ Construction / Hard Physical Work related</v>
      </c>
      <c r="O1835" s="1" t="str">
        <f ca="1">IFERROR(__xludf.DUMMYFUNCTION("""COMPUTED_VALUE"""),"Manager who explains what is expected, sets a goal and helps achieve it")</f>
        <v>Manager who explains what is expected, sets a goal and helps achieve it</v>
      </c>
      <c r="P1835" s="1" t="str">
        <f ca="1">IFERROR(__xludf.DUMMYFUNCTION("""COMPUTED_VALUE"""),"Work with 2 to 3 people in my team")</f>
        <v>Work with 2 to 3 people in my team</v>
      </c>
      <c r="Q1835" s="1"/>
    </row>
    <row r="1836" spans="1:17" ht="13.2" x14ac:dyDescent="0.25">
      <c r="A1836" s="2">
        <f ca="1">IFERROR(__xludf.DUMMYFUNCTION("""COMPUTED_VALUE"""),45052.0076595023)</f>
        <v>45052.007659502298</v>
      </c>
      <c r="B1836" s="1" t="str">
        <f ca="1">IFERROR(__xludf.DUMMYFUNCTION("""COMPUTED_VALUE"""),"Canada")</f>
        <v>Canada</v>
      </c>
      <c r="C1836" s="1" t="str">
        <f ca="1">IFERROR(__xludf.DUMMYFUNCTION("""COMPUTED_VALUE"""),"M1R1K4")</f>
        <v>M1R1K4</v>
      </c>
      <c r="D1836" s="3" t="str">
        <f ca="1">IFERROR(__xludf.DUMMYFUNCTION("""COMPUTED_VALUE"""),"Female")</f>
        <v>Female</v>
      </c>
      <c r="E1836" s="1" t="str">
        <f ca="1">IFERROR(__xludf.DUMMYFUNCTION("""COMPUTED_VALUE"""),"People who have changed the world for better")</f>
        <v>People who have changed the world for better</v>
      </c>
      <c r="F1836" s="1" t="str">
        <f ca="1">IFERROR(__xludf.DUMMYFUNCTION("""COMPUTED_VALUE"""),"Yes, I will earn and do that")</f>
        <v>Yes, I will earn and do that</v>
      </c>
      <c r="G1836" s="1" t="str">
        <f ca="1">IFERROR(__xludf.DUMMYFUNCTION("""COMPUTED_VALUE"""),"This will be hard to do, but if it is the right company I would try")</f>
        <v>This will be hard to do, but if it is the right company I would try</v>
      </c>
      <c r="H1836" s="1" t="str">
        <f ca="1">IFERROR(__xludf.DUMMYFUNCTION("""COMPUTED_VALUE"""),"No")</f>
        <v>No</v>
      </c>
      <c r="I1836" s="1" t="str">
        <f ca="1">IFERROR(__xludf.DUMMYFUNCTION("""COMPUTED_VALUE"""),"Will NOT work for them")</f>
        <v>Will NOT work for them</v>
      </c>
      <c r="J1836" s="1">
        <f ca="1">IFERROR(__xludf.DUMMYFUNCTION("""COMPUTED_VALUE"""),5)</f>
        <v>5</v>
      </c>
      <c r="K1836" s="1" t="str">
        <f ca="1">IFERROR(__xludf.DUMMYFUNCTION("""COMPUTED_VALUE"""),"Fully Remote with Options to travel as and when needed")</f>
        <v>Fully Remote with Options to travel as and when needed</v>
      </c>
      <c r="L1836" s="1" t="str">
        <f ca="1">IFERROR(__xludf.DUMMYFUNCTION("""COMPUTED_VALUE"""),"Employer who pushes your limits by enabling an learning environment, and rewards you at the end")</f>
        <v>Employer who pushes your limits by enabling an learning environment, and rewards you at the end</v>
      </c>
      <c r="M183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83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836" s="1" t="str">
        <f ca="1">IFERROR(__xludf.DUMMYFUNCTION("""COMPUTED_VALUE"""),"Manager who explains what is expected, sets a goal and helps achieve it")</f>
        <v>Manager who explains what is expected, sets a goal and helps achieve it</v>
      </c>
      <c r="P1836" s="1" t="str">
        <f ca="1">IFERROR(__xludf.DUMMYFUNCTION("""COMPUTED_VALUE"""),"Work with 5 to 6 people in my team")</f>
        <v>Work with 5 to 6 people in my team</v>
      </c>
      <c r="Q1836" s="1"/>
    </row>
    <row r="1837" spans="1:17" ht="13.2" x14ac:dyDescent="0.25">
      <c r="A1837" s="2">
        <f ca="1">IFERROR(__xludf.DUMMYFUNCTION("""COMPUTED_VALUE"""),45052.0998597916)</f>
        <v>45052.099859791597</v>
      </c>
      <c r="B1837" s="1" t="str">
        <f ca="1">IFERROR(__xludf.DUMMYFUNCTION("""COMPUTED_VALUE"""),"India")</f>
        <v>India</v>
      </c>
      <c r="C1837" s="1">
        <f ca="1">IFERROR(__xludf.DUMMYFUNCTION("""COMPUTED_VALUE"""),444606)</f>
        <v>444606</v>
      </c>
      <c r="D1837" s="3" t="str">
        <f ca="1">IFERROR(__xludf.DUMMYFUNCTION("""COMPUTED_VALUE"""),"Female")</f>
        <v>Female</v>
      </c>
      <c r="E1837" s="1" t="str">
        <f ca="1">IFERROR(__xludf.DUMMYFUNCTION("""COMPUTED_VALUE"""),"Influencers who had successful careers")</f>
        <v>Influencers who had successful careers</v>
      </c>
      <c r="F1837" s="1" t="str">
        <f ca="1">IFERROR(__xludf.DUMMYFUNCTION("""COMPUTED_VALUE"""),"Yes, I will earn and do that")</f>
        <v>Yes, I will earn and do that</v>
      </c>
      <c r="G1837" s="1" t="str">
        <f ca="1">IFERROR(__xludf.DUMMYFUNCTION("""COMPUTED_VALUE"""),"This will be hard to do, but if it is the right company I would try")</f>
        <v>This will be hard to do, but if it is the right company I would try</v>
      </c>
      <c r="H1837" s="1" t="str">
        <f ca="1">IFERROR(__xludf.DUMMYFUNCTION("""COMPUTED_VALUE"""),"No")</f>
        <v>No</v>
      </c>
      <c r="I1837" s="1" t="str">
        <f ca="1">IFERROR(__xludf.DUMMYFUNCTION("""COMPUTED_VALUE"""),"Will NOT work for them")</f>
        <v>Will NOT work for them</v>
      </c>
      <c r="J1837" s="1">
        <f ca="1">IFERROR(__xludf.DUMMYFUNCTION("""COMPUTED_VALUE"""),10)</f>
        <v>10</v>
      </c>
      <c r="K1837" s="1" t="str">
        <f ca="1">IFERROR(__xludf.DUMMYFUNCTION("""COMPUTED_VALUE"""),"Hybrid Working Environment with more than 15 days a month at office")</f>
        <v>Hybrid Working Environment with more than 15 days a month at office</v>
      </c>
      <c r="L1837" s="1" t="str">
        <f ca="1">IFERROR(__xludf.DUMMYFUNCTION("""COMPUTED_VALUE"""),"Employers who appreciates learning but doesn't enables an learning environment")</f>
        <v>Employers who appreciates learning but doesn't enables an learning environment</v>
      </c>
      <c r="M183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837"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837" s="1" t="str">
        <f ca="1">IFERROR(__xludf.DUMMYFUNCTION("""COMPUTED_VALUE"""),"Manager who clearly describes what she/he needs")</f>
        <v>Manager who clearly describes what she/he needs</v>
      </c>
      <c r="P1837" s="1" t="str">
        <f ca="1">IFERROR(__xludf.DUMMYFUNCTION("""COMPUTED_VALUE"""),"Work alone, Work with 2 to 3 people in my team")</f>
        <v>Work alone, Work with 2 to 3 people in my team</v>
      </c>
      <c r="Q1837" s="1"/>
    </row>
    <row r="1838" spans="1:17" ht="13.2" x14ac:dyDescent="0.25">
      <c r="A1838" s="2">
        <f ca="1">IFERROR(__xludf.DUMMYFUNCTION("""COMPUTED_VALUE"""),45052.6545548032)</f>
        <v>45052.654554803201</v>
      </c>
      <c r="B1838" s="1" t="str">
        <f ca="1">IFERROR(__xludf.DUMMYFUNCTION("""COMPUTED_VALUE"""),"India")</f>
        <v>India</v>
      </c>
      <c r="C1838" s="1">
        <f ca="1">IFERROR(__xludf.DUMMYFUNCTION("""COMPUTED_VALUE"""),452003)</f>
        <v>452003</v>
      </c>
      <c r="D1838" s="3" t="str">
        <f ca="1">IFERROR(__xludf.DUMMYFUNCTION("""COMPUTED_VALUE"""),"Male")</f>
        <v>Male</v>
      </c>
      <c r="E1838" s="1" t="str">
        <f ca="1">IFERROR(__xludf.DUMMYFUNCTION("""COMPUTED_VALUE"""),"People who have changed the world for better")</f>
        <v>People who have changed the world for better</v>
      </c>
      <c r="F1838" s="1" t="str">
        <f ca="1">IFERROR(__xludf.DUMMYFUNCTION("""COMPUTED_VALUE"""),"No, But if someone could bare the cost I will")</f>
        <v>No, But if someone could bare the cost I will</v>
      </c>
      <c r="G1838" s="1" t="str">
        <f ca="1">IFERROR(__xludf.DUMMYFUNCTION("""COMPUTED_VALUE"""),"Will work for 3 years or more")</f>
        <v>Will work for 3 years or more</v>
      </c>
      <c r="H1838" s="1" t="str">
        <f ca="1">IFERROR(__xludf.DUMMYFUNCTION("""COMPUTED_VALUE"""),"No")</f>
        <v>No</v>
      </c>
      <c r="I1838" s="1" t="str">
        <f ca="1">IFERROR(__xludf.DUMMYFUNCTION("""COMPUTED_VALUE"""),"Will NOT work for them")</f>
        <v>Will NOT work for them</v>
      </c>
      <c r="J1838" s="1">
        <f ca="1">IFERROR(__xludf.DUMMYFUNCTION("""COMPUTED_VALUE"""),5)</f>
        <v>5</v>
      </c>
      <c r="K1838" s="1" t="str">
        <f ca="1">IFERROR(__xludf.DUMMYFUNCTION("""COMPUTED_VALUE"""),"Hybrid Working Environment with less than 3 days a month at office")</f>
        <v>Hybrid Working Environment with less than 3 days a month at office</v>
      </c>
      <c r="L1838" s="1" t="str">
        <f ca="1">IFERROR(__xludf.DUMMYFUNCTION("""COMPUTED_VALUE"""),"Employer who appreciates learning and enables that environment")</f>
        <v>Employer who appreciates learning and enables that environment</v>
      </c>
      <c r="M183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838"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1838" s="1" t="str">
        <f ca="1">IFERROR(__xludf.DUMMYFUNCTION("""COMPUTED_VALUE"""),"Manager who sets goal and helps me achieve it")</f>
        <v>Manager who sets goal and helps me achieve it</v>
      </c>
      <c r="P1838" s="1" t="str">
        <f ca="1">IFERROR(__xludf.DUMMYFUNCTION("""COMPUTED_VALUE"""),"Work with 2 to 3 people in my team, Work with 5 to 6 people in my team")</f>
        <v>Work with 2 to 3 people in my team, Work with 5 to 6 people in my team</v>
      </c>
      <c r="Q1838" s="1"/>
    </row>
    <row r="1839" spans="1:17" ht="13.2" x14ac:dyDescent="0.25">
      <c r="A1839" s="2">
        <f ca="1">IFERROR(__xludf.DUMMYFUNCTION("""COMPUTED_VALUE"""),45052.7131636226)</f>
        <v>45052.713163622597</v>
      </c>
      <c r="B1839" s="1" t="str">
        <f ca="1">IFERROR(__xludf.DUMMYFUNCTION("""COMPUTED_VALUE"""),"India")</f>
        <v>India</v>
      </c>
      <c r="C1839" s="1">
        <f ca="1">IFERROR(__xludf.DUMMYFUNCTION("""COMPUTED_VALUE"""),412201)</f>
        <v>412201</v>
      </c>
      <c r="D1839" s="3" t="str">
        <f ca="1">IFERROR(__xludf.DUMMYFUNCTION("""COMPUTED_VALUE"""),"Male")</f>
        <v>Male</v>
      </c>
      <c r="E1839" s="1" t="str">
        <f ca="1">IFERROR(__xludf.DUMMYFUNCTION("""COMPUTED_VALUE"""),"My Parents")</f>
        <v>My Parents</v>
      </c>
      <c r="F1839" s="1" t="str">
        <f ca="1">IFERROR(__xludf.DUMMYFUNCTION("""COMPUTED_VALUE"""),"Yes, I will earn and do that")</f>
        <v>Yes, I will earn and do that</v>
      </c>
      <c r="G1839" s="1" t="str">
        <f ca="1">IFERROR(__xludf.DUMMYFUNCTION("""COMPUTED_VALUE"""),"This will be hard to do, but if it is the right company I would try")</f>
        <v>This will be hard to do, but if it is the right company I would try</v>
      </c>
      <c r="H1839" s="1" t="str">
        <f ca="1">IFERROR(__xludf.DUMMYFUNCTION("""COMPUTED_VALUE"""),"No")</f>
        <v>No</v>
      </c>
      <c r="I1839" s="1" t="str">
        <f ca="1">IFERROR(__xludf.DUMMYFUNCTION("""COMPUTED_VALUE"""),"Will NOT work for them")</f>
        <v>Will NOT work for them</v>
      </c>
      <c r="J1839" s="1">
        <f ca="1">IFERROR(__xludf.DUMMYFUNCTION("""COMPUTED_VALUE"""),9)</f>
        <v>9</v>
      </c>
      <c r="K1839" s="1" t="str">
        <f ca="1">IFERROR(__xludf.DUMMYFUNCTION("""COMPUTED_VALUE"""),"Hybrid Working Environment with more than 15 days a month at office")</f>
        <v>Hybrid Working Environment with more than 15 days a month at office</v>
      </c>
      <c r="L1839" s="1" t="str">
        <f ca="1">IFERROR(__xludf.DUMMYFUNCTION("""COMPUTED_VALUE"""),"Employer who pushes your limits by enabling an learning environment, and rewards you at the end")</f>
        <v>Employer who pushes your limits by enabling an learning environment, and rewards you at the end</v>
      </c>
      <c r="M183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839" s="1" t="str">
        <f ca="1">IFERROR(__xludf.DUMMYFUNCTION("""COMPUTED_VALUE"""),"Design and Creative strategy in any company, Manage and drive End-to-End Projects or Products, Become a content Creator in some platform, Entrepreneur or Start Up")</f>
        <v>Design and Creative strategy in any company, Manage and drive End-to-End Projects or Products, Become a content Creator in some platform, Entrepreneur or Start Up</v>
      </c>
      <c r="O1839" s="1" t="str">
        <f ca="1">IFERROR(__xludf.DUMMYFUNCTION("""COMPUTED_VALUE"""),"Manager who explains what is expected, sets a goal and helps achieve it")</f>
        <v>Manager who explains what is expected, sets a goal and helps achieve it</v>
      </c>
      <c r="P1839" s="1" t="str">
        <f ca="1">IFERROR(__xludf.DUMMYFUNCTION("""COMPUTED_VALUE"""),"Work with 5 to 6 people in my team")</f>
        <v>Work with 5 to 6 people in my team</v>
      </c>
      <c r="Q1839" s="1"/>
    </row>
    <row r="1840" spans="1:17" ht="13.2" x14ac:dyDescent="0.25">
      <c r="A1840" s="2">
        <f ca="1">IFERROR(__xludf.DUMMYFUNCTION("""COMPUTED_VALUE"""),45052.8000536111)</f>
        <v>45052.800053611099</v>
      </c>
      <c r="B1840" s="1" t="str">
        <f ca="1">IFERROR(__xludf.DUMMYFUNCTION("""COMPUTED_VALUE"""),"India")</f>
        <v>India</v>
      </c>
      <c r="C1840" s="1">
        <f ca="1">IFERROR(__xludf.DUMMYFUNCTION("""COMPUTED_VALUE"""),411046)</f>
        <v>411046</v>
      </c>
      <c r="D1840" s="3" t="str">
        <f ca="1">IFERROR(__xludf.DUMMYFUNCTION("""COMPUTED_VALUE"""),"Female")</f>
        <v>Female</v>
      </c>
      <c r="E1840" s="1" t="str">
        <f ca="1">IFERROR(__xludf.DUMMYFUNCTION("""COMPUTED_VALUE"""),"Influencers who had successful careers")</f>
        <v>Influencers who had successful careers</v>
      </c>
      <c r="F1840" s="1" t="str">
        <f ca="1">IFERROR(__xludf.DUMMYFUNCTION("""COMPUTED_VALUE"""),"No, But if someone could bare the cost I will")</f>
        <v>No, But if someone could bare the cost I will</v>
      </c>
      <c r="G1840" s="1" t="str">
        <f ca="1">IFERROR(__xludf.DUMMYFUNCTION("""COMPUTED_VALUE"""),"This will be hard to do, but if it is the right company I would try")</f>
        <v>This will be hard to do, but if it is the right company I would try</v>
      </c>
      <c r="H1840" s="1" t="str">
        <f ca="1">IFERROR(__xludf.DUMMYFUNCTION("""COMPUTED_VALUE"""),"No")</f>
        <v>No</v>
      </c>
      <c r="I1840" s="1" t="str">
        <f ca="1">IFERROR(__xludf.DUMMYFUNCTION("""COMPUTED_VALUE"""),"Will NOT work for them")</f>
        <v>Will NOT work for them</v>
      </c>
      <c r="J1840" s="1">
        <f ca="1">IFERROR(__xludf.DUMMYFUNCTION("""COMPUTED_VALUE"""),5)</f>
        <v>5</v>
      </c>
      <c r="K1840" s="1" t="str">
        <f ca="1">IFERROR(__xludf.DUMMYFUNCTION("""COMPUTED_VALUE"""),"Fully Remote with Options to travel as and when needed")</f>
        <v>Fully Remote with Options to travel as and when needed</v>
      </c>
      <c r="L1840" s="1" t="str">
        <f ca="1">IFERROR(__xludf.DUMMYFUNCTION("""COMPUTED_VALUE"""),"Employer who pushes your limits by enabling an learning environment, and rewards you at the end")</f>
        <v>Employer who pushes your limits by enabling an learning environment, and rewards you at the end</v>
      </c>
      <c r="M184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840" s="1" t="str">
        <f ca="1">IFERROR(__xludf.DUMMYFUNCTION("""COMPUTED_VALUE"""),"Business Operations in any organization, Build and develop a Team, Look deeply into Data and generate insights, Become a content Creator in some platform")</f>
        <v>Business Operations in any organization, Build and develop a Team, Look deeply into Data and generate insights, Become a content Creator in some platform</v>
      </c>
      <c r="O1840" s="1" t="str">
        <f ca="1">IFERROR(__xludf.DUMMYFUNCTION("""COMPUTED_VALUE"""),"Manager who explains what is expected, sets a goal and helps achieve it")</f>
        <v>Manager who explains what is expected, sets a goal and helps achieve it</v>
      </c>
      <c r="P1840" s="1" t="str">
        <f ca="1">IFERROR(__xludf.DUMMYFUNCTION("""COMPUTED_VALUE"""),"Work with 2 to 3 people in my team")</f>
        <v>Work with 2 to 3 people in my team</v>
      </c>
      <c r="Q1840" s="1"/>
    </row>
    <row r="1841" spans="1:17" ht="13.2" x14ac:dyDescent="0.25">
      <c r="A1841" s="2">
        <f ca="1">IFERROR(__xludf.DUMMYFUNCTION("""COMPUTED_VALUE"""),45053.6075050694)</f>
        <v>45053.607505069398</v>
      </c>
      <c r="B1841" s="1" t="str">
        <f ca="1">IFERROR(__xludf.DUMMYFUNCTION("""COMPUTED_VALUE"""),"India")</f>
        <v>India</v>
      </c>
      <c r="C1841" s="1">
        <f ca="1">IFERROR(__xludf.DUMMYFUNCTION("""COMPUTED_VALUE"""),732139)</f>
        <v>732139</v>
      </c>
      <c r="D1841" s="3" t="str">
        <f ca="1">IFERROR(__xludf.DUMMYFUNCTION("""COMPUTED_VALUE"""),"Male")</f>
        <v>Male</v>
      </c>
      <c r="E1841" s="1" t="str">
        <f ca="1">IFERROR(__xludf.DUMMYFUNCTION("""COMPUTED_VALUE"""),"My Parents")</f>
        <v>My Parents</v>
      </c>
      <c r="F1841" s="1" t="str">
        <f ca="1">IFERROR(__xludf.DUMMYFUNCTION("""COMPUTED_VALUE"""),"Yes, I will earn and do that")</f>
        <v>Yes, I will earn and do that</v>
      </c>
      <c r="G1841" s="1" t="str">
        <f ca="1">IFERROR(__xludf.DUMMYFUNCTION("""COMPUTED_VALUE"""),"Will work for 3 years or more")</f>
        <v>Will work for 3 years or more</v>
      </c>
      <c r="H1841" s="1" t="str">
        <f ca="1">IFERROR(__xludf.DUMMYFUNCTION("""COMPUTED_VALUE"""),"Yes")</f>
        <v>Yes</v>
      </c>
      <c r="I1841" s="1" t="str">
        <f ca="1">IFERROR(__xludf.DUMMYFUNCTION("""COMPUTED_VALUE"""),"Will work for them")</f>
        <v>Will work for them</v>
      </c>
      <c r="J1841" s="1">
        <f ca="1">IFERROR(__xludf.DUMMYFUNCTION("""COMPUTED_VALUE"""),9)</f>
        <v>9</v>
      </c>
      <c r="K1841" s="1" t="str">
        <f ca="1">IFERROR(__xludf.DUMMYFUNCTION("""COMPUTED_VALUE"""),"Hybrid Working Environment with more than 15 days a month at office")</f>
        <v>Hybrid Working Environment with more than 15 days a month at office</v>
      </c>
      <c r="L1841" s="1" t="str">
        <f ca="1">IFERROR(__xludf.DUMMYFUNCTION("""COMPUTED_VALUE"""),"Employer who pushes your limits by enabling an learning environment, and rewards you at the end")</f>
        <v>Employer who pushes your limits by enabling an learning environment, and rewards you at the end</v>
      </c>
      <c r="M1841" s="1" t="str">
        <f ca="1">IFERROR(__xludf.DUMMYFUNCTION("""COMPUTED_VALUE"""),"Self Paced Learning Portals of the Company, Instructor or Expert Learning Programs, Manager Teaching you")</f>
        <v>Self Paced Learning Portals of the Company, Instructor or Expert Learning Programs, Manager Teaching you</v>
      </c>
      <c r="N1841"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841" s="1" t="str">
        <f ca="1">IFERROR(__xludf.DUMMYFUNCTION("""COMPUTED_VALUE"""),"Manager who explains what is expected, sets a goal and helps achieve it")</f>
        <v>Manager who explains what is expected, sets a goal and helps achieve it</v>
      </c>
      <c r="P1841" s="1" t="str">
        <f ca="1">IFERROR(__xludf.DUMMYFUNCTION("""COMPUTED_VALUE"""),"Work with more than 10 people in my team")</f>
        <v>Work with more than 10 people in my team</v>
      </c>
      <c r="Q1841" s="1"/>
    </row>
    <row r="1842" spans="1:17" ht="13.2" x14ac:dyDescent="0.25">
      <c r="A1842" s="2">
        <f ca="1">IFERROR(__xludf.DUMMYFUNCTION("""COMPUTED_VALUE"""),45054.5394036689)</f>
        <v>45054.539403668903</v>
      </c>
      <c r="B1842" s="1" t="str">
        <f ca="1">IFERROR(__xludf.DUMMYFUNCTION("""COMPUTED_VALUE"""),"India")</f>
        <v>India</v>
      </c>
      <c r="C1842" s="1">
        <f ca="1">IFERROR(__xludf.DUMMYFUNCTION("""COMPUTED_VALUE"""),110019)</f>
        <v>110019</v>
      </c>
      <c r="D1842" s="3" t="str">
        <f ca="1">IFERROR(__xludf.DUMMYFUNCTION("""COMPUTED_VALUE"""),"Male")</f>
        <v>Male</v>
      </c>
      <c r="E1842" s="1" t="str">
        <f ca="1">IFERROR(__xludf.DUMMYFUNCTION("""COMPUTED_VALUE"""),"Influencers who had successful careers")</f>
        <v>Influencers who had successful careers</v>
      </c>
      <c r="F1842" s="1" t="str">
        <f ca="1">IFERROR(__xludf.DUMMYFUNCTION("""COMPUTED_VALUE"""),"No, But if someone could bare the cost I will")</f>
        <v>No, But if someone could bare the cost I will</v>
      </c>
      <c r="G1842" s="1" t="str">
        <f ca="1">IFERROR(__xludf.DUMMYFUNCTION("""COMPUTED_VALUE"""),"This will be hard to do, but if it is the right company I would try")</f>
        <v>This will be hard to do, but if it is the right company I would try</v>
      </c>
      <c r="H1842" s="1" t="str">
        <f ca="1">IFERROR(__xludf.DUMMYFUNCTION("""COMPUTED_VALUE"""),"No")</f>
        <v>No</v>
      </c>
      <c r="I1842" s="1" t="str">
        <f ca="1">IFERROR(__xludf.DUMMYFUNCTION("""COMPUTED_VALUE"""),"Will NOT work for them")</f>
        <v>Will NOT work for them</v>
      </c>
      <c r="J1842" s="1">
        <f ca="1">IFERROR(__xludf.DUMMYFUNCTION("""COMPUTED_VALUE"""),5)</f>
        <v>5</v>
      </c>
      <c r="K1842" s="1" t="str">
        <f ca="1">IFERROR(__xludf.DUMMYFUNCTION("""COMPUTED_VALUE"""),"Fully Remote with Options to travel as and when needed")</f>
        <v>Fully Remote with Options to travel as and when needed</v>
      </c>
      <c r="L1842" s="1" t="str">
        <f ca="1">IFERROR(__xludf.DUMMYFUNCTION("""COMPUTED_VALUE"""),"Employer who pushes your limits by enabling an learning environment, and rewards you at the end")</f>
        <v>Employer who pushes your limits by enabling an learning environment, and rewards you at the end</v>
      </c>
      <c r="M18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842"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842" s="1" t="str">
        <f ca="1">IFERROR(__xludf.DUMMYFUNCTION("""COMPUTED_VALUE"""),"Manager who explains what is expected, sets a goal and helps achieve it")</f>
        <v>Manager who explains what is expected, sets a goal and helps achieve it</v>
      </c>
      <c r="P1842" s="1" t="str">
        <f ca="1">IFERROR(__xludf.DUMMYFUNCTION("""COMPUTED_VALUE"""),"Work with 5 to 6 people in my team")</f>
        <v>Work with 5 to 6 people in my team</v>
      </c>
      <c r="Q1842" s="1"/>
    </row>
    <row r="1843" spans="1:17" ht="13.2" x14ac:dyDescent="0.25">
      <c r="A1843" s="2">
        <f ca="1">IFERROR(__xludf.DUMMYFUNCTION("""COMPUTED_VALUE"""),45055.3108697222)</f>
        <v>45055.310869722198</v>
      </c>
      <c r="B1843" s="1" t="str">
        <f ca="1">IFERROR(__xludf.DUMMYFUNCTION("""COMPUTED_VALUE"""),"India")</f>
        <v>India</v>
      </c>
      <c r="C1843" s="1">
        <f ca="1">IFERROR(__xludf.DUMMYFUNCTION("""COMPUTED_VALUE"""),637001)</f>
        <v>637001</v>
      </c>
      <c r="D1843" s="3" t="str">
        <f ca="1">IFERROR(__xludf.DUMMYFUNCTION("""COMPUTED_VALUE"""),"Female")</f>
        <v>Female</v>
      </c>
      <c r="E1843" s="1" t="str">
        <f ca="1">IFERROR(__xludf.DUMMYFUNCTION("""COMPUTED_VALUE"""),"Influencers who had successful careers")</f>
        <v>Influencers who had successful careers</v>
      </c>
      <c r="F1843" s="1" t="str">
        <f ca="1">IFERROR(__xludf.DUMMYFUNCTION("""COMPUTED_VALUE"""),"Yes, I will earn and do that")</f>
        <v>Yes, I will earn and do that</v>
      </c>
      <c r="G1843" s="1" t="str">
        <f ca="1">IFERROR(__xludf.DUMMYFUNCTION("""COMPUTED_VALUE"""),"This will be hard to do, but if it is the right company I would try")</f>
        <v>This will be hard to do, but if it is the right company I would try</v>
      </c>
      <c r="H1843" s="1" t="str">
        <f ca="1">IFERROR(__xludf.DUMMYFUNCTION("""COMPUTED_VALUE"""),"No")</f>
        <v>No</v>
      </c>
      <c r="I1843" s="1" t="str">
        <f ca="1">IFERROR(__xludf.DUMMYFUNCTION("""COMPUTED_VALUE"""),"Will NOT work for them")</f>
        <v>Will NOT work for them</v>
      </c>
      <c r="J1843" s="1">
        <f ca="1">IFERROR(__xludf.DUMMYFUNCTION("""COMPUTED_VALUE"""),3)</f>
        <v>3</v>
      </c>
      <c r="K1843" s="1" t="str">
        <f ca="1">IFERROR(__xludf.DUMMYFUNCTION("""COMPUTED_VALUE"""),"Hybrid Working Environment with more than 15 days a month at office")</f>
        <v>Hybrid Working Environment with more than 15 days a month at office</v>
      </c>
      <c r="L1843" s="1" t="str">
        <f ca="1">IFERROR(__xludf.DUMMYFUNCTION("""COMPUTED_VALUE"""),"Employer who pushes your limits by enabling an learning environment, and rewards you at the end")</f>
        <v>Employer who pushes your limits by enabling an learning environment, and rewards you at the end</v>
      </c>
      <c r="M1843" s="1" t="str">
        <f ca="1">IFERROR(__xludf.DUMMYFUNCTION("""COMPUTED_VALUE"""),"Instructor or Expert Learning Programs, Learning by observing others, Manager Teaching you")</f>
        <v>Instructor or Expert Learning Programs, Learning by observing others, Manager Teaching you</v>
      </c>
      <c r="N1843"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1843" s="1" t="str">
        <f ca="1">IFERROR(__xludf.DUMMYFUNCTION("""COMPUTED_VALUE"""),"Manager who explains what is expected, sets a goal and helps achieve it")</f>
        <v>Manager who explains what is expected, sets a goal and helps achieve it</v>
      </c>
      <c r="P1843" s="1" t="str">
        <f ca="1">IFERROR(__xludf.DUMMYFUNCTION("""COMPUTED_VALUE"""),"Work with 2 to 3 people in my team")</f>
        <v>Work with 2 to 3 people in my team</v>
      </c>
      <c r="Q1843" s="1"/>
    </row>
    <row r="1844" spans="1:17" ht="13.2" x14ac:dyDescent="0.25">
      <c r="A1844" s="1"/>
      <c r="B1844" s="1"/>
      <c r="C1844" s="1"/>
      <c r="D1844" s="3"/>
      <c r="E1844" s="1"/>
      <c r="F1844" s="1"/>
      <c r="G1844" s="1"/>
      <c r="H1844" s="1"/>
      <c r="I1844" s="1"/>
      <c r="J1844" s="1"/>
      <c r="K1844" s="1"/>
      <c r="L1844" s="1"/>
      <c r="M1844" s="1"/>
      <c r="N1844" s="1"/>
      <c r="O1844" s="1"/>
      <c r="P1844" s="1"/>
      <c r="Q1844" s="1"/>
    </row>
    <row r="1845" spans="1:17" ht="13.2" x14ac:dyDescent="0.25">
      <c r="A1845" s="1"/>
      <c r="B1845" s="1"/>
      <c r="C1845" s="1"/>
      <c r="D1845" s="3"/>
      <c r="E1845" s="1"/>
      <c r="F1845" s="1"/>
      <c r="G1845" s="1"/>
      <c r="H1845" s="1"/>
      <c r="I1845" s="1"/>
      <c r="J1845" s="1"/>
      <c r="K1845" s="1"/>
      <c r="L1845" s="1"/>
      <c r="M1845" s="1"/>
      <c r="N1845" s="1"/>
      <c r="O1845" s="1"/>
      <c r="P1845" s="1"/>
      <c r="Q1845" s="1"/>
    </row>
    <row r="1846" spans="1:17" ht="13.2" x14ac:dyDescent="0.25">
      <c r="A1846" s="1"/>
      <c r="B1846" s="1"/>
      <c r="C1846" s="1"/>
      <c r="D1846" s="3"/>
      <c r="E1846" s="1"/>
      <c r="F1846" s="1"/>
      <c r="G1846" s="1"/>
      <c r="H1846" s="1"/>
      <c r="I1846" s="1"/>
      <c r="J1846" s="1"/>
      <c r="K1846" s="1"/>
      <c r="L1846" s="1"/>
      <c r="M1846" s="1"/>
      <c r="N1846" s="1"/>
      <c r="O1846" s="1"/>
      <c r="P1846" s="1"/>
      <c r="Q1846" s="1"/>
    </row>
    <row r="1847" spans="1:17" ht="13.2" x14ac:dyDescent="0.25">
      <c r="A1847" s="1"/>
      <c r="B1847" s="1"/>
      <c r="C1847" s="1"/>
      <c r="D1847" s="3"/>
      <c r="E1847" s="1"/>
      <c r="F1847" s="1"/>
      <c r="G1847" s="1"/>
      <c r="H1847" s="1"/>
      <c r="I1847" s="1"/>
      <c r="J1847" s="1"/>
      <c r="K1847" s="1"/>
      <c r="L1847" s="1"/>
      <c r="M1847" s="1"/>
      <c r="N1847" s="1"/>
      <c r="O1847" s="1"/>
      <c r="P1847" s="1"/>
      <c r="Q1847" s="1"/>
    </row>
    <row r="1848" spans="1:17" ht="13.2" x14ac:dyDescent="0.25">
      <c r="A1848" s="1"/>
      <c r="B1848" s="1"/>
      <c r="C1848" s="1"/>
      <c r="D1848" s="3"/>
      <c r="E1848" s="1"/>
      <c r="F1848" s="1"/>
      <c r="G1848" s="1"/>
      <c r="H1848" s="1"/>
      <c r="I1848" s="1"/>
      <c r="J1848" s="1"/>
      <c r="K1848" s="1"/>
      <c r="L1848" s="1"/>
      <c r="M1848" s="1"/>
      <c r="N1848" s="1"/>
      <c r="O1848" s="1"/>
      <c r="P1848" s="1"/>
      <c r="Q1848" s="1"/>
    </row>
    <row r="1849" spans="1:17" ht="13.2" x14ac:dyDescent="0.25">
      <c r="A1849" s="1"/>
      <c r="B1849" s="1"/>
      <c r="C1849" s="1"/>
      <c r="D1849" s="3"/>
      <c r="E1849" s="1"/>
      <c r="F1849" s="1"/>
      <c r="G1849" s="1"/>
      <c r="H1849" s="1"/>
      <c r="I1849" s="1"/>
      <c r="J1849" s="1"/>
      <c r="K1849" s="1"/>
      <c r="L1849" s="1"/>
      <c r="M1849" s="1"/>
      <c r="N1849" s="1"/>
      <c r="O1849" s="1"/>
      <c r="P1849" s="1"/>
      <c r="Q1849" s="1"/>
    </row>
    <row r="1850" spans="1:17" ht="13.2" x14ac:dyDescent="0.25">
      <c r="A1850" s="1"/>
      <c r="B1850" s="1"/>
      <c r="C1850" s="1"/>
      <c r="D1850" s="3"/>
      <c r="E1850" s="1"/>
      <c r="F1850" s="1"/>
      <c r="G1850" s="1"/>
      <c r="H1850" s="1"/>
      <c r="I1850" s="1"/>
      <c r="J1850" s="1"/>
      <c r="K1850" s="1"/>
      <c r="L1850" s="1"/>
      <c r="M1850" s="1"/>
      <c r="N1850" s="1"/>
      <c r="O1850" s="1"/>
      <c r="P1850" s="1"/>
      <c r="Q1850" s="1"/>
    </row>
    <row r="1851" spans="1:17" ht="13.2" x14ac:dyDescent="0.25">
      <c r="A1851" s="1"/>
      <c r="B1851" s="1"/>
      <c r="C1851" s="1"/>
      <c r="D1851" s="3"/>
      <c r="E1851" s="1"/>
      <c r="F1851" s="1"/>
      <c r="G1851" s="1"/>
      <c r="H1851" s="1"/>
      <c r="I1851" s="1"/>
      <c r="J1851" s="1"/>
      <c r="K1851" s="1"/>
      <c r="L1851" s="1"/>
      <c r="M1851" s="1"/>
      <c r="N1851" s="1"/>
      <c r="O1851" s="1"/>
      <c r="P1851" s="1"/>
      <c r="Q1851" s="1"/>
    </row>
    <row r="1852" spans="1:17" ht="13.2" x14ac:dyDescent="0.25">
      <c r="A1852" s="1"/>
      <c r="B1852" s="1"/>
      <c r="C1852" s="1"/>
      <c r="D1852" s="3"/>
      <c r="E1852" s="1"/>
      <c r="F1852" s="1"/>
      <c r="G1852" s="1"/>
      <c r="H1852" s="1"/>
      <c r="I1852" s="1"/>
      <c r="J1852" s="1"/>
      <c r="K1852" s="1"/>
      <c r="L1852" s="1"/>
      <c r="M1852" s="1"/>
      <c r="N1852" s="1"/>
      <c r="O1852" s="1"/>
      <c r="P1852" s="1"/>
      <c r="Q1852" s="1"/>
    </row>
    <row r="1853" spans="1:17" ht="13.2" x14ac:dyDescent="0.25">
      <c r="A1853" s="1"/>
      <c r="B1853" s="1"/>
      <c r="C1853" s="1"/>
      <c r="D1853" s="3"/>
      <c r="E1853" s="1"/>
      <c r="F1853" s="1"/>
      <c r="G1853" s="1"/>
      <c r="H1853" s="1"/>
      <c r="I1853" s="1"/>
      <c r="J1853" s="1"/>
      <c r="K1853" s="1"/>
      <c r="L1853" s="1"/>
      <c r="M1853" s="1"/>
      <c r="N1853" s="1"/>
      <c r="O1853" s="1"/>
      <c r="P1853" s="1"/>
      <c r="Q1853" s="1"/>
    </row>
    <row r="1854" spans="1:17" ht="13.2" x14ac:dyDescent="0.25">
      <c r="A1854" s="1"/>
      <c r="B1854" s="1"/>
      <c r="C1854" s="1"/>
      <c r="D1854" s="3"/>
      <c r="E1854" s="1"/>
      <c r="F1854" s="1"/>
      <c r="G1854" s="1"/>
      <c r="H1854" s="1"/>
      <c r="I1854" s="1"/>
      <c r="J1854" s="1"/>
      <c r="K1854" s="1"/>
      <c r="L1854" s="1"/>
      <c r="M1854" s="1"/>
      <c r="N1854" s="1"/>
      <c r="O1854" s="1"/>
      <c r="P1854" s="1"/>
      <c r="Q1854" s="1"/>
    </row>
    <row r="1855" spans="1:17" ht="13.2" x14ac:dyDescent="0.25">
      <c r="A1855" s="1"/>
      <c r="B1855" s="1"/>
      <c r="C1855" s="1"/>
      <c r="D1855" s="3"/>
      <c r="E1855" s="1"/>
      <c r="F1855" s="1"/>
      <c r="G1855" s="1"/>
      <c r="H1855" s="1"/>
      <c r="I1855" s="1"/>
      <c r="J1855" s="1"/>
      <c r="K1855" s="1"/>
      <c r="L1855" s="1"/>
      <c r="M1855" s="1"/>
      <c r="N1855" s="1"/>
      <c r="O1855" s="1"/>
      <c r="P1855" s="1"/>
      <c r="Q1855" s="1"/>
    </row>
    <row r="1856" spans="1:17" ht="13.2" x14ac:dyDescent="0.25">
      <c r="A1856" s="1"/>
      <c r="B1856" s="1"/>
      <c r="C1856" s="1"/>
      <c r="D1856" s="3"/>
      <c r="E1856" s="1"/>
      <c r="F1856" s="1"/>
      <c r="G1856" s="1"/>
      <c r="H1856" s="1"/>
      <c r="I1856" s="1"/>
      <c r="J1856" s="1"/>
      <c r="K1856" s="1"/>
      <c r="L1856" s="1"/>
      <c r="M1856" s="1"/>
      <c r="N1856" s="1"/>
      <c r="O1856" s="1"/>
      <c r="P1856" s="1"/>
      <c r="Q1856" s="1"/>
    </row>
    <row r="1857" spans="1:17" ht="13.2" x14ac:dyDescent="0.25">
      <c r="A1857" s="1"/>
      <c r="B1857" s="1"/>
      <c r="C1857" s="1"/>
      <c r="D1857" s="3"/>
      <c r="E1857" s="1"/>
      <c r="F1857" s="1"/>
      <c r="G1857" s="1"/>
      <c r="H1857" s="1"/>
      <c r="I1857" s="1"/>
      <c r="J1857" s="1"/>
      <c r="K1857" s="1"/>
      <c r="L1857" s="1"/>
      <c r="M1857" s="1"/>
      <c r="N1857" s="1"/>
      <c r="O1857" s="1"/>
      <c r="P1857" s="1"/>
      <c r="Q1857" s="1"/>
    </row>
    <row r="1858" spans="1:17" ht="13.2" x14ac:dyDescent="0.25">
      <c r="A1858" s="1"/>
      <c r="B1858" s="1"/>
      <c r="C1858" s="1"/>
      <c r="D1858" s="3"/>
      <c r="E1858" s="1"/>
      <c r="F1858" s="1"/>
      <c r="G1858" s="1"/>
      <c r="H1858" s="1"/>
      <c r="I1858" s="1"/>
      <c r="J1858" s="1"/>
      <c r="K1858" s="1"/>
      <c r="L1858" s="1"/>
      <c r="M1858" s="1"/>
      <c r="N1858" s="1"/>
      <c r="O1858" s="1"/>
      <c r="P1858" s="1"/>
      <c r="Q1858" s="1"/>
    </row>
    <row r="1859" spans="1:17" ht="13.2" x14ac:dyDescent="0.25">
      <c r="A1859" s="1"/>
      <c r="B1859" s="1"/>
      <c r="C1859" s="1"/>
      <c r="D1859" s="3"/>
      <c r="E1859" s="1"/>
      <c r="F1859" s="1"/>
      <c r="G1859" s="1"/>
      <c r="H1859" s="1"/>
      <c r="I1859" s="1"/>
      <c r="J1859" s="1"/>
      <c r="K1859" s="1"/>
      <c r="L1859" s="1"/>
      <c r="M1859" s="1"/>
      <c r="N1859" s="1"/>
      <c r="O1859" s="1"/>
      <c r="P1859" s="1"/>
      <c r="Q1859" s="1"/>
    </row>
    <row r="1860" spans="1:17" ht="13.2" x14ac:dyDescent="0.25">
      <c r="A1860" s="1"/>
      <c r="B1860" s="1"/>
      <c r="C1860" s="1"/>
      <c r="D1860" s="3"/>
      <c r="E1860" s="1"/>
      <c r="F1860" s="1"/>
      <c r="G1860" s="1"/>
      <c r="H1860" s="1"/>
      <c r="I1860" s="1"/>
      <c r="J1860" s="1"/>
      <c r="K1860" s="1"/>
      <c r="L1860" s="1"/>
      <c r="M1860" s="1"/>
      <c r="N1860" s="1"/>
      <c r="O1860" s="1"/>
      <c r="P1860" s="1"/>
      <c r="Q1860" s="1"/>
    </row>
    <row r="1861" spans="1:17" ht="13.2" x14ac:dyDescent="0.25">
      <c r="A1861" s="1"/>
      <c r="B1861" s="1"/>
      <c r="C1861" s="1"/>
      <c r="D1861" s="3"/>
      <c r="E1861" s="1"/>
      <c r="F1861" s="1"/>
      <c r="G1861" s="1"/>
      <c r="H1861" s="1"/>
      <c r="I1861" s="1"/>
      <c r="J1861" s="1"/>
      <c r="K1861" s="1"/>
      <c r="L1861" s="1"/>
      <c r="M1861" s="1"/>
      <c r="N1861" s="1"/>
      <c r="O1861" s="1"/>
      <c r="P1861" s="1"/>
      <c r="Q1861" s="1"/>
    </row>
    <row r="1862" spans="1:17" ht="13.2" x14ac:dyDescent="0.25">
      <c r="A1862" s="1"/>
      <c r="B1862" s="1"/>
      <c r="C1862" s="1"/>
      <c r="D1862" s="3"/>
      <c r="E1862" s="1"/>
      <c r="F1862" s="1"/>
      <c r="G1862" s="1"/>
      <c r="H1862" s="1"/>
      <c r="I1862" s="1"/>
      <c r="J1862" s="1"/>
      <c r="K1862" s="1"/>
      <c r="L1862" s="1"/>
      <c r="M1862" s="1"/>
      <c r="N1862" s="1"/>
      <c r="O1862" s="1"/>
      <c r="P1862" s="1"/>
      <c r="Q1862" s="1"/>
    </row>
    <row r="1863" spans="1:17" ht="13.2" x14ac:dyDescent="0.25">
      <c r="A1863" s="1"/>
      <c r="B1863" s="1"/>
      <c r="C1863" s="1"/>
      <c r="D1863" s="3"/>
      <c r="E1863" s="1"/>
      <c r="F1863" s="1"/>
      <c r="G1863" s="1"/>
      <c r="H1863" s="1"/>
      <c r="I1863" s="1"/>
      <c r="J1863" s="1"/>
      <c r="K1863" s="1"/>
      <c r="L1863" s="1"/>
      <c r="M1863" s="1"/>
      <c r="N1863" s="1"/>
      <c r="O1863" s="1"/>
      <c r="P1863" s="1"/>
      <c r="Q1863" s="1"/>
    </row>
    <row r="1864" spans="1:17" ht="13.2" x14ac:dyDescent="0.25">
      <c r="A1864" s="1"/>
      <c r="B1864" s="1"/>
      <c r="C1864" s="1"/>
      <c r="D1864" s="3"/>
      <c r="E1864" s="1"/>
      <c r="F1864" s="1"/>
      <c r="G1864" s="1"/>
      <c r="H1864" s="1"/>
      <c r="I1864" s="1"/>
      <c r="J1864" s="1"/>
      <c r="K1864" s="1"/>
      <c r="L1864" s="1"/>
      <c r="M1864" s="1"/>
      <c r="N1864" s="1"/>
      <c r="O1864" s="1"/>
      <c r="P1864" s="1"/>
      <c r="Q1864" s="1"/>
    </row>
    <row r="1865" spans="1:17" ht="13.2" x14ac:dyDescent="0.25">
      <c r="A1865" s="1"/>
      <c r="B1865" s="1"/>
      <c r="C1865" s="1"/>
      <c r="D1865" s="3"/>
      <c r="E1865" s="1"/>
      <c r="F1865" s="1"/>
      <c r="G1865" s="1"/>
      <c r="H1865" s="1"/>
      <c r="I1865" s="1"/>
      <c r="J1865" s="1"/>
      <c r="K1865" s="1"/>
      <c r="L1865" s="1"/>
      <c r="M1865" s="1"/>
      <c r="N1865" s="1"/>
      <c r="O1865" s="1"/>
      <c r="P1865" s="1"/>
      <c r="Q1865" s="1"/>
    </row>
    <row r="1866" spans="1:17" ht="13.2" x14ac:dyDescent="0.25">
      <c r="A1866" s="1"/>
      <c r="B1866" s="1"/>
      <c r="C1866" s="1"/>
      <c r="D1866" s="3"/>
      <c r="E1866" s="1"/>
      <c r="F1866" s="1"/>
      <c r="G1866" s="1"/>
      <c r="H1866" s="1"/>
      <c r="I1866" s="1"/>
      <c r="J1866" s="1"/>
      <c r="K1866" s="1"/>
      <c r="L1866" s="1"/>
      <c r="M1866" s="1"/>
      <c r="N1866" s="1"/>
      <c r="O1866" s="1"/>
      <c r="P1866" s="1"/>
      <c r="Q1866" s="1"/>
    </row>
    <row r="1867" spans="1:17" ht="13.2" x14ac:dyDescent="0.25">
      <c r="A1867" s="1"/>
      <c r="B1867" s="1"/>
      <c r="C1867" s="1"/>
      <c r="D1867" s="3"/>
      <c r="E1867" s="1"/>
      <c r="F1867" s="1"/>
      <c r="G1867" s="1"/>
      <c r="H1867" s="1"/>
      <c r="I1867" s="1"/>
      <c r="J1867" s="1"/>
      <c r="K1867" s="1"/>
      <c r="L1867" s="1"/>
      <c r="M1867" s="1"/>
      <c r="N1867" s="1"/>
      <c r="O1867" s="1"/>
      <c r="P1867" s="1"/>
      <c r="Q1867" s="1"/>
    </row>
    <row r="1868" spans="1:17" ht="13.2" x14ac:dyDescent="0.25">
      <c r="A1868" s="1"/>
      <c r="B1868" s="1"/>
      <c r="C1868" s="1"/>
      <c r="D1868" s="3"/>
      <c r="E1868" s="1"/>
      <c r="F1868" s="1"/>
      <c r="G1868" s="1"/>
      <c r="H1868" s="1"/>
      <c r="I1868" s="1"/>
      <c r="J1868" s="1"/>
      <c r="K1868" s="1"/>
      <c r="L1868" s="1"/>
      <c r="M1868" s="1"/>
      <c r="N1868" s="1"/>
      <c r="O1868" s="1"/>
      <c r="P1868" s="1"/>
      <c r="Q1868" s="1"/>
    </row>
    <row r="1869" spans="1:17" ht="13.2" x14ac:dyDescent="0.25">
      <c r="A1869" s="1"/>
      <c r="B1869" s="1"/>
      <c r="C1869" s="1"/>
      <c r="D1869" s="3"/>
      <c r="E1869" s="1"/>
      <c r="F1869" s="1"/>
      <c r="G1869" s="1"/>
      <c r="H1869" s="1"/>
      <c r="I1869" s="1"/>
      <c r="J1869" s="1"/>
      <c r="K1869" s="1"/>
      <c r="L1869" s="1"/>
      <c r="M1869" s="1"/>
      <c r="N1869" s="1"/>
      <c r="O1869" s="1"/>
      <c r="P1869" s="1"/>
      <c r="Q1869" s="1"/>
    </row>
    <row r="1870" spans="1:17" ht="13.2" x14ac:dyDescent="0.25">
      <c r="A1870" s="1"/>
      <c r="B1870" s="1"/>
      <c r="C1870" s="1"/>
      <c r="D1870" s="3"/>
      <c r="E1870" s="1"/>
      <c r="F1870" s="1"/>
      <c r="G1870" s="1"/>
      <c r="H1870" s="1"/>
      <c r="I1870" s="1"/>
      <c r="J1870" s="1"/>
      <c r="K1870" s="1"/>
      <c r="L1870" s="1"/>
      <c r="M1870" s="1"/>
      <c r="N1870" s="1"/>
      <c r="O1870" s="1"/>
      <c r="P1870" s="1"/>
      <c r="Q1870" s="1"/>
    </row>
    <row r="1871" spans="1:17" ht="13.2" x14ac:dyDescent="0.25">
      <c r="A1871" s="1"/>
      <c r="B1871" s="1"/>
      <c r="C1871" s="1"/>
      <c r="D1871" s="3"/>
      <c r="E1871" s="1"/>
      <c r="F1871" s="1"/>
      <c r="G1871" s="1"/>
      <c r="H1871" s="1"/>
      <c r="I1871" s="1"/>
      <c r="J1871" s="1"/>
      <c r="K1871" s="1"/>
      <c r="L1871" s="1"/>
      <c r="M1871" s="1"/>
      <c r="N1871" s="1"/>
      <c r="O1871" s="1"/>
      <c r="P1871" s="1"/>
      <c r="Q1871" s="1"/>
    </row>
    <row r="1872" spans="1:17" ht="13.2" x14ac:dyDescent="0.25">
      <c r="A1872" s="1"/>
      <c r="B1872" s="1"/>
      <c r="C1872" s="1"/>
      <c r="D1872" s="3"/>
      <c r="E1872" s="1"/>
      <c r="F1872" s="1"/>
      <c r="G1872" s="1"/>
      <c r="H1872" s="1"/>
      <c r="I1872" s="1"/>
      <c r="J1872" s="1"/>
      <c r="K1872" s="1"/>
      <c r="L1872" s="1"/>
      <c r="M1872" s="1"/>
      <c r="N1872" s="1"/>
      <c r="O1872" s="1"/>
      <c r="P1872" s="1"/>
      <c r="Q1872" s="1"/>
    </row>
    <row r="1873" spans="1:17" ht="13.2" x14ac:dyDescent="0.25">
      <c r="A1873" s="1"/>
      <c r="B1873" s="1"/>
      <c r="C1873" s="1"/>
      <c r="D1873" s="3"/>
      <c r="E1873" s="1"/>
      <c r="F1873" s="1"/>
      <c r="G1873" s="1"/>
      <c r="H1873" s="1"/>
      <c r="I1873" s="1"/>
      <c r="J1873" s="1"/>
      <c r="K1873" s="1"/>
      <c r="L1873" s="1"/>
      <c r="M1873" s="1"/>
      <c r="N1873" s="1"/>
      <c r="O1873" s="1"/>
      <c r="P1873" s="1"/>
      <c r="Q1873" s="1"/>
    </row>
    <row r="1874" spans="1:17" ht="13.2" x14ac:dyDescent="0.25">
      <c r="A1874" s="1"/>
      <c r="B1874" s="1"/>
      <c r="C1874" s="1"/>
      <c r="D1874" s="3"/>
      <c r="E1874" s="1"/>
      <c r="F1874" s="1"/>
      <c r="G1874" s="1"/>
      <c r="H1874" s="1"/>
      <c r="I1874" s="1"/>
      <c r="J1874" s="1"/>
      <c r="K1874" s="1"/>
      <c r="L1874" s="1"/>
      <c r="M1874" s="1"/>
      <c r="N1874" s="1"/>
      <c r="O1874" s="1"/>
      <c r="P1874" s="1"/>
      <c r="Q1874" s="1"/>
    </row>
    <row r="1875" spans="1:17" ht="13.2" x14ac:dyDescent="0.25">
      <c r="A1875" s="1"/>
      <c r="B1875" s="1"/>
      <c r="C1875" s="1"/>
      <c r="D1875" s="3"/>
      <c r="E1875" s="1"/>
      <c r="F1875" s="1"/>
      <c r="G1875" s="1"/>
      <c r="H1875" s="1"/>
      <c r="I1875" s="1"/>
      <c r="J1875" s="1"/>
      <c r="K1875" s="1"/>
      <c r="L1875" s="1"/>
      <c r="M1875" s="1"/>
      <c r="N1875" s="1"/>
      <c r="O1875" s="1"/>
      <c r="P1875" s="1"/>
      <c r="Q1875" s="1"/>
    </row>
    <row r="1876" spans="1:17" ht="13.2" x14ac:dyDescent="0.25">
      <c r="A1876" s="1"/>
      <c r="B1876" s="1"/>
      <c r="C1876" s="1"/>
      <c r="D1876" s="3"/>
      <c r="E1876" s="1"/>
      <c r="F1876" s="1"/>
      <c r="G1876" s="1"/>
      <c r="H1876" s="1"/>
      <c r="I1876" s="1"/>
      <c r="J1876" s="1"/>
      <c r="K1876" s="1"/>
      <c r="L1876" s="1"/>
      <c r="M1876" s="1"/>
      <c r="N1876" s="1"/>
      <c r="O1876" s="1"/>
      <c r="P1876" s="1"/>
      <c r="Q1876" s="1"/>
    </row>
    <row r="1877" spans="1:17" ht="13.2" x14ac:dyDescent="0.25">
      <c r="A1877" s="1"/>
      <c r="B1877" s="1"/>
      <c r="C1877" s="1"/>
      <c r="D1877" s="3"/>
      <c r="E1877" s="1"/>
      <c r="F1877" s="1"/>
      <c r="G1877" s="1"/>
      <c r="H1877" s="1"/>
      <c r="I1877" s="1"/>
      <c r="J1877" s="1"/>
      <c r="K1877" s="1"/>
      <c r="L1877" s="1"/>
      <c r="M1877" s="1"/>
      <c r="N1877" s="1"/>
      <c r="O1877" s="1"/>
      <c r="P1877" s="1"/>
      <c r="Q1877" s="1"/>
    </row>
    <row r="1878" spans="1:17" ht="13.2" x14ac:dyDescent="0.25">
      <c r="A1878" s="1"/>
      <c r="B1878" s="1"/>
      <c r="C1878" s="1"/>
      <c r="D1878" s="3"/>
      <c r="E1878" s="1"/>
      <c r="F1878" s="1"/>
      <c r="G1878" s="1"/>
      <c r="H1878" s="1"/>
      <c r="I1878" s="1"/>
      <c r="J1878" s="1"/>
      <c r="K1878" s="1"/>
      <c r="L1878" s="1"/>
      <c r="M1878" s="1"/>
      <c r="N1878" s="1"/>
      <c r="O1878" s="1"/>
      <c r="P1878" s="1"/>
      <c r="Q1878" s="1"/>
    </row>
    <row r="1879" spans="1:17" ht="13.2" x14ac:dyDescent="0.25">
      <c r="A1879" s="1"/>
      <c r="B1879" s="1"/>
      <c r="C1879" s="1"/>
      <c r="D1879" s="3"/>
      <c r="E1879" s="1"/>
      <c r="F1879" s="1"/>
      <c r="G1879" s="1"/>
      <c r="H1879" s="1"/>
      <c r="I1879" s="1"/>
      <c r="J1879" s="1"/>
      <c r="K1879" s="1"/>
      <c r="L1879" s="1"/>
      <c r="M1879" s="1"/>
      <c r="N1879" s="1"/>
      <c r="O1879" s="1"/>
      <c r="P1879" s="1"/>
      <c r="Q1879" s="1"/>
    </row>
    <row r="1880" spans="1:17" ht="13.2" x14ac:dyDescent="0.25">
      <c r="A1880" s="1"/>
      <c r="B1880" s="1"/>
      <c r="C1880" s="1"/>
      <c r="D1880" s="3"/>
      <c r="E1880" s="1"/>
      <c r="F1880" s="1"/>
      <c r="G1880" s="1"/>
      <c r="H1880" s="1"/>
      <c r="I1880" s="1"/>
      <c r="J1880" s="1"/>
      <c r="K1880" s="1"/>
      <c r="L1880" s="1"/>
      <c r="M1880" s="1"/>
      <c r="N1880" s="1"/>
      <c r="O1880" s="1"/>
      <c r="P1880" s="1"/>
      <c r="Q1880" s="1"/>
    </row>
    <row r="1881" spans="1:17" ht="13.2" x14ac:dyDescent="0.25">
      <c r="A1881" s="1"/>
      <c r="B1881" s="1"/>
      <c r="C1881" s="1"/>
      <c r="D1881" s="3"/>
      <c r="E1881" s="1"/>
      <c r="F1881" s="1"/>
      <c r="G1881" s="1"/>
      <c r="H1881" s="1"/>
      <c r="I1881" s="1"/>
      <c r="J1881" s="1"/>
      <c r="K1881" s="1"/>
      <c r="L1881" s="1"/>
      <c r="M1881" s="1"/>
      <c r="N1881" s="1"/>
      <c r="O1881" s="1"/>
      <c r="P1881" s="1"/>
      <c r="Q1881" s="1"/>
    </row>
    <row r="1882" spans="1:17" ht="13.2" x14ac:dyDescent="0.25">
      <c r="A1882" s="1"/>
      <c r="B1882" s="1"/>
      <c r="C1882" s="1"/>
      <c r="D1882" s="3"/>
      <c r="E1882" s="1"/>
      <c r="F1882" s="1"/>
      <c r="G1882" s="1"/>
      <c r="H1882" s="1"/>
      <c r="I1882" s="1"/>
      <c r="J1882" s="1"/>
      <c r="K1882" s="1"/>
      <c r="L1882" s="1"/>
      <c r="M1882" s="1"/>
      <c r="N1882" s="1"/>
      <c r="O1882" s="1"/>
      <c r="P1882" s="1"/>
      <c r="Q1882" s="1"/>
    </row>
    <row r="1883" spans="1:17" ht="13.2" x14ac:dyDescent="0.25">
      <c r="A1883" s="1"/>
      <c r="B1883" s="1"/>
      <c r="C1883" s="1"/>
      <c r="D1883" s="3"/>
      <c r="E1883" s="1"/>
      <c r="F1883" s="1"/>
      <c r="G1883" s="1"/>
      <c r="H1883" s="1"/>
      <c r="I1883" s="1"/>
      <c r="J1883" s="1"/>
      <c r="K1883" s="1"/>
      <c r="L1883" s="1"/>
      <c r="M1883" s="1"/>
      <c r="N1883" s="1"/>
      <c r="O1883" s="1"/>
      <c r="P1883" s="1"/>
      <c r="Q1883" s="1"/>
    </row>
    <row r="1884" spans="1:17" ht="13.2" x14ac:dyDescent="0.25">
      <c r="A1884" s="1"/>
      <c r="B1884" s="1"/>
      <c r="C1884" s="1"/>
      <c r="D1884" s="3"/>
      <c r="E1884" s="1"/>
      <c r="F1884" s="1"/>
      <c r="G1884" s="1"/>
      <c r="H1884" s="1"/>
      <c r="I1884" s="1"/>
      <c r="J1884" s="1"/>
      <c r="K1884" s="1"/>
      <c r="L1884" s="1"/>
      <c r="M1884" s="1"/>
      <c r="N1884" s="1"/>
      <c r="O1884" s="1"/>
      <c r="P1884" s="1"/>
      <c r="Q1884" s="1"/>
    </row>
    <row r="1885" spans="1:17" ht="13.2" x14ac:dyDescent="0.25">
      <c r="A1885" s="1"/>
      <c r="B1885" s="1"/>
      <c r="C1885" s="1"/>
      <c r="D1885" s="3"/>
      <c r="E1885" s="1"/>
      <c r="F1885" s="1"/>
      <c r="G1885" s="1"/>
      <c r="H1885" s="1"/>
      <c r="I1885" s="1"/>
      <c r="J1885" s="1"/>
      <c r="K1885" s="1"/>
      <c r="L1885" s="1"/>
      <c r="M1885" s="1"/>
      <c r="N1885" s="1"/>
      <c r="O1885" s="1"/>
      <c r="P1885" s="1"/>
      <c r="Q1885" s="1"/>
    </row>
    <row r="1886" spans="1:17" ht="13.2" x14ac:dyDescent="0.25">
      <c r="A1886" s="1"/>
      <c r="B1886" s="1"/>
      <c r="C1886" s="1"/>
      <c r="D1886" s="3"/>
      <c r="E1886" s="1"/>
      <c r="F1886" s="1"/>
      <c r="G1886" s="1"/>
      <c r="H1886" s="1"/>
      <c r="I1886" s="1"/>
      <c r="J1886" s="1"/>
      <c r="K1886" s="1"/>
      <c r="L1886" s="1"/>
      <c r="M1886" s="1"/>
      <c r="N1886" s="1"/>
      <c r="O1886" s="1"/>
      <c r="P1886" s="1"/>
      <c r="Q1886" s="1"/>
    </row>
    <row r="1887" spans="1:17" ht="13.2" x14ac:dyDescent="0.25">
      <c r="A1887" s="1"/>
      <c r="B1887" s="1"/>
      <c r="C1887" s="1"/>
      <c r="D1887" s="3"/>
      <c r="E1887" s="1"/>
      <c r="F1887" s="1"/>
      <c r="G1887" s="1"/>
      <c r="H1887" s="1"/>
      <c r="I1887" s="1"/>
      <c r="J1887" s="1"/>
      <c r="K1887" s="1"/>
      <c r="L1887" s="1"/>
      <c r="M1887" s="1"/>
      <c r="N1887" s="1"/>
      <c r="O1887" s="1"/>
      <c r="P1887" s="1"/>
      <c r="Q1887" s="1"/>
    </row>
    <row r="1888" spans="1:17" ht="13.2" x14ac:dyDescent="0.25">
      <c r="A1888" s="1"/>
      <c r="B1888" s="1"/>
      <c r="C1888" s="1"/>
      <c r="D1888" s="3"/>
      <c r="E1888" s="1"/>
      <c r="F1888" s="1"/>
      <c r="G1888" s="1"/>
      <c r="H1888" s="1"/>
      <c r="I1888" s="1"/>
      <c r="J1888" s="1"/>
      <c r="K1888" s="1"/>
      <c r="L1888" s="1"/>
      <c r="M1888" s="1"/>
      <c r="N1888" s="1"/>
      <c r="O1888" s="1"/>
      <c r="P1888" s="1"/>
      <c r="Q1888" s="1"/>
    </row>
    <row r="1889" spans="1:17" ht="13.2" x14ac:dyDescent="0.25">
      <c r="A1889" s="1"/>
      <c r="B1889" s="1"/>
      <c r="C1889" s="1"/>
      <c r="D1889" s="3"/>
      <c r="E1889" s="1"/>
      <c r="F1889" s="1"/>
      <c r="G1889" s="1"/>
      <c r="H1889" s="1"/>
      <c r="I1889" s="1"/>
      <c r="J1889" s="1"/>
      <c r="K1889" s="1"/>
      <c r="L1889" s="1"/>
      <c r="M1889" s="1"/>
      <c r="N1889" s="1"/>
      <c r="O1889" s="1"/>
      <c r="P1889" s="1"/>
      <c r="Q1889" s="1"/>
    </row>
    <row r="1890" spans="1:17" ht="13.2" x14ac:dyDescent="0.25">
      <c r="A1890" s="1"/>
      <c r="B1890" s="1"/>
      <c r="C1890" s="1"/>
      <c r="D1890" s="3"/>
      <c r="E1890" s="1"/>
      <c r="F1890" s="1"/>
      <c r="G1890" s="1"/>
      <c r="H1890" s="1"/>
      <c r="I1890" s="1"/>
      <c r="J1890" s="1"/>
      <c r="K1890" s="1"/>
      <c r="L1890" s="1"/>
      <c r="M1890" s="1"/>
      <c r="N1890" s="1"/>
      <c r="O1890" s="1"/>
      <c r="P1890" s="1"/>
      <c r="Q1890" s="1"/>
    </row>
    <row r="1891" spans="1:17" ht="13.2" x14ac:dyDescent="0.25">
      <c r="A1891" s="1"/>
      <c r="B1891" s="1"/>
      <c r="C1891" s="1"/>
      <c r="D1891" s="3"/>
      <c r="E1891" s="1"/>
      <c r="F1891" s="1"/>
      <c r="G1891" s="1"/>
      <c r="H1891" s="1"/>
      <c r="I1891" s="1"/>
      <c r="J1891" s="1"/>
      <c r="K1891" s="1"/>
      <c r="L1891" s="1"/>
      <c r="M1891" s="1"/>
      <c r="N1891" s="1"/>
      <c r="O1891" s="1"/>
      <c r="P1891" s="1"/>
      <c r="Q1891" s="1"/>
    </row>
    <row r="1892" spans="1:17" ht="13.2" x14ac:dyDescent="0.25">
      <c r="A1892" s="1"/>
      <c r="B1892" s="1"/>
      <c r="C1892" s="1"/>
      <c r="D1892" s="3"/>
      <c r="E1892" s="1"/>
      <c r="F1892" s="1"/>
      <c r="G1892" s="1"/>
      <c r="H1892" s="1"/>
      <c r="I1892" s="1"/>
      <c r="J1892" s="1"/>
      <c r="K1892" s="1"/>
      <c r="L1892" s="1"/>
      <c r="M1892" s="1"/>
      <c r="N1892" s="1"/>
      <c r="O1892" s="1"/>
      <c r="P1892" s="1"/>
      <c r="Q1892" s="1"/>
    </row>
    <row r="1893" spans="1:17" ht="13.2" x14ac:dyDescent="0.25">
      <c r="A1893" s="1"/>
      <c r="B1893" s="1"/>
      <c r="C1893" s="1"/>
      <c r="D1893" s="3"/>
      <c r="E1893" s="1"/>
      <c r="F1893" s="1"/>
      <c r="G1893" s="1"/>
      <c r="H1893" s="1"/>
      <c r="I1893" s="1"/>
      <c r="J1893" s="1"/>
      <c r="K1893" s="1"/>
      <c r="L1893" s="1"/>
      <c r="M1893" s="1"/>
      <c r="N1893" s="1"/>
      <c r="O1893" s="1"/>
      <c r="P1893" s="1"/>
      <c r="Q1893" s="1"/>
    </row>
    <row r="1894" spans="1:17" ht="13.2" x14ac:dyDescent="0.25">
      <c r="A1894" s="1"/>
      <c r="B1894" s="1"/>
      <c r="C1894" s="1"/>
      <c r="D1894" s="3"/>
      <c r="E1894" s="1"/>
      <c r="F1894" s="1"/>
      <c r="G1894" s="1"/>
      <c r="H1894" s="1"/>
      <c r="I1894" s="1"/>
      <c r="J1894" s="1"/>
      <c r="K1894" s="1"/>
      <c r="L1894" s="1"/>
      <c r="M1894" s="1"/>
      <c r="N1894" s="1"/>
      <c r="O1894" s="1"/>
      <c r="P1894" s="1"/>
      <c r="Q1894" s="1"/>
    </row>
    <row r="1895" spans="1:17" ht="13.2" x14ac:dyDescent="0.25">
      <c r="A1895" s="1"/>
      <c r="B1895" s="1"/>
      <c r="C1895" s="1"/>
      <c r="D1895" s="3"/>
      <c r="E1895" s="1"/>
      <c r="F1895" s="1"/>
      <c r="G1895" s="1"/>
      <c r="H1895" s="1"/>
      <c r="I1895" s="1"/>
      <c r="J1895" s="1"/>
      <c r="K1895" s="1"/>
      <c r="L1895" s="1"/>
      <c r="M1895" s="1"/>
      <c r="N1895" s="1"/>
      <c r="O1895" s="1"/>
      <c r="P1895" s="1"/>
      <c r="Q1895" s="1"/>
    </row>
    <row r="1896" spans="1:17" ht="13.2" x14ac:dyDescent="0.25">
      <c r="A1896" s="1"/>
      <c r="B1896" s="1"/>
      <c r="C1896" s="1"/>
      <c r="D1896" s="3"/>
      <c r="E1896" s="1"/>
      <c r="F1896" s="1"/>
      <c r="G1896" s="1"/>
      <c r="H1896" s="1"/>
      <c r="I1896" s="1"/>
      <c r="J1896" s="1"/>
      <c r="K1896" s="1"/>
      <c r="L1896" s="1"/>
      <c r="M1896" s="1"/>
      <c r="N1896" s="1"/>
      <c r="O1896" s="1"/>
      <c r="P1896" s="1"/>
      <c r="Q1896" s="1"/>
    </row>
    <row r="1897" spans="1:17" ht="13.2" x14ac:dyDescent="0.25">
      <c r="A1897" s="1"/>
      <c r="B1897" s="1"/>
      <c r="C1897" s="1"/>
      <c r="D1897" s="3"/>
      <c r="E1897" s="1"/>
      <c r="F1897" s="1"/>
      <c r="G1897" s="1"/>
      <c r="H1897" s="1"/>
      <c r="I1897" s="1"/>
      <c r="J1897" s="1"/>
      <c r="K1897" s="1"/>
      <c r="L1897" s="1"/>
      <c r="M1897" s="1"/>
      <c r="N1897" s="1"/>
      <c r="O1897" s="1"/>
      <c r="P1897" s="1"/>
      <c r="Q1897" s="1"/>
    </row>
    <row r="1898" spans="1:17" ht="13.2" x14ac:dyDescent="0.25">
      <c r="A1898" s="1"/>
      <c r="B1898" s="1"/>
      <c r="C1898" s="1"/>
      <c r="D1898" s="3"/>
      <c r="E1898" s="1"/>
      <c r="F1898" s="1"/>
      <c r="G1898" s="1"/>
      <c r="H1898" s="1"/>
      <c r="I1898" s="1"/>
      <c r="J1898" s="1"/>
      <c r="K1898" s="1"/>
      <c r="L1898" s="1"/>
      <c r="M1898" s="1"/>
      <c r="N1898" s="1"/>
      <c r="O1898" s="1"/>
      <c r="P1898" s="1"/>
      <c r="Q1898" s="1"/>
    </row>
    <row r="1899" spans="1:17" ht="13.2" x14ac:dyDescent="0.25">
      <c r="A1899" s="1"/>
      <c r="B1899" s="1"/>
      <c r="C1899" s="1"/>
      <c r="D1899" s="3"/>
      <c r="E1899" s="1"/>
      <c r="F1899" s="1"/>
      <c r="G1899" s="1"/>
      <c r="H1899" s="1"/>
      <c r="I1899" s="1"/>
      <c r="J1899" s="1"/>
      <c r="K1899" s="1"/>
      <c r="L1899" s="1"/>
      <c r="M1899" s="1"/>
      <c r="N1899" s="1"/>
      <c r="O1899" s="1"/>
      <c r="P1899" s="1"/>
      <c r="Q1899" s="1"/>
    </row>
    <row r="1900" spans="1:17" ht="13.2" x14ac:dyDescent="0.25">
      <c r="A1900" s="1"/>
      <c r="B1900" s="1"/>
      <c r="C1900" s="1"/>
      <c r="D1900" s="3"/>
      <c r="E1900" s="1"/>
      <c r="F1900" s="1"/>
      <c r="G1900" s="1"/>
      <c r="H1900" s="1"/>
      <c r="I1900" s="1"/>
      <c r="J1900" s="1"/>
      <c r="K1900" s="1"/>
      <c r="L1900" s="1"/>
      <c r="M1900" s="1"/>
      <c r="N1900" s="1"/>
      <c r="O1900" s="1"/>
      <c r="P1900" s="1"/>
      <c r="Q1900" s="1"/>
    </row>
    <row r="1901" spans="1:17" ht="13.2" x14ac:dyDescent="0.25">
      <c r="A1901" s="1"/>
      <c r="B1901" s="1"/>
      <c r="C1901" s="1"/>
      <c r="D1901" s="3"/>
      <c r="E1901" s="1"/>
      <c r="F1901" s="1"/>
      <c r="G1901" s="1"/>
      <c r="H1901" s="1"/>
      <c r="I1901" s="1"/>
      <c r="J1901" s="1"/>
      <c r="K1901" s="1"/>
      <c r="L1901" s="1"/>
      <c r="M1901" s="1"/>
      <c r="N1901" s="1"/>
      <c r="O1901" s="1"/>
      <c r="P1901" s="1"/>
      <c r="Q1901" s="1"/>
    </row>
    <row r="1902" spans="1:17" ht="13.2" x14ac:dyDescent="0.25">
      <c r="A1902" s="1"/>
      <c r="B1902" s="1"/>
      <c r="C1902" s="1"/>
      <c r="D1902" s="3"/>
      <c r="E1902" s="1"/>
      <c r="F1902" s="1"/>
      <c r="G1902" s="1"/>
      <c r="H1902" s="1"/>
      <c r="I1902" s="1"/>
      <c r="J1902" s="1"/>
      <c r="K1902" s="1"/>
      <c r="L1902" s="1"/>
      <c r="M1902" s="1"/>
      <c r="N1902" s="1"/>
      <c r="O1902" s="1"/>
      <c r="P1902" s="1"/>
      <c r="Q1902" s="1"/>
    </row>
    <row r="1903" spans="1:17" ht="13.2" x14ac:dyDescent="0.25">
      <c r="A1903" s="1"/>
      <c r="B1903" s="1"/>
      <c r="C1903" s="1"/>
      <c r="D1903" s="3"/>
      <c r="E1903" s="1"/>
      <c r="F1903" s="1"/>
      <c r="G1903" s="1"/>
      <c r="H1903" s="1"/>
      <c r="I1903" s="1"/>
      <c r="J1903" s="1"/>
      <c r="K1903" s="1"/>
      <c r="L1903" s="1"/>
      <c r="M1903" s="1"/>
      <c r="N1903" s="1"/>
      <c r="O1903" s="1"/>
      <c r="P1903" s="1"/>
      <c r="Q1903" s="1"/>
    </row>
    <row r="1904" spans="1:17" ht="13.2" x14ac:dyDescent="0.25">
      <c r="A1904" s="1"/>
      <c r="B1904" s="1"/>
      <c r="C1904" s="1"/>
      <c r="D1904" s="3"/>
      <c r="E1904" s="1"/>
      <c r="F1904" s="1"/>
      <c r="G1904" s="1"/>
      <c r="H1904" s="1"/>
      <c r="I1904" s="1"/>
      <c r="J1904" s="1"/>
      <c r="K1904" s="1"/>
      <c r="L1904" s="1"/>
      <c r="M1904" s="1"/>
      <c r="N1904" s="1"/>
      <c r="O1904" s="1"/>
      <c r="P1904" s="1"/>
      <c r="Q1904" s="1"/>
    </row>
    <row r="1905" spans="1:17" ht="13.2" x14ac:dyDescent="0.25">
      <c r="A1905" s="1"/>
      <c r="B1905" s="1"/>
      <c r="C1905" s="1"/>
      <c r="D1905" s="3"/>
      <c r="E1905" s="1"/>
      <c r="F1905" s="1"/>
      <c r="G1905" s="1"/>
      <c r="H1905" s="1"/>
      <c r="I1905" s="1"/>
      <c r="J1905" s="1"/>
      <c r="K1905" s="1"/>
      <c r="L1905" s="1"/>
      <c r="M1905" s="1"/>
      <c r="N1905" s="1"/>
      <c r="O1905" s="1"/>
      <c r="P1905" s="1"/>
      <c r="Q1905" s="1"/>
    </row>
    <row r="1906" spans="1:17" ht="13.2" x14ac:dyDescent="0.25">
      <c r="A1906" s="1"/>
      <c r="B1906" s="1"/>
      <c r="C1906" s="1"/>
      <c r="D1906" s="3"/>
      <c r="E1906" s="1"/>
      <c r="F1906" s="1"/>
      <c r="G1906" s="1"/>
      <c r="H1906" s="1"/>
      <c r="I1906" s="1"/>
      <c r="J1906" s="1"/>
      <c r="K1906" s="1"/>
      <c r="L1906" s="1"/>
      <c r="M1906" s="1"/>
      <c r="N1906" s="1"/>
      <c r="O1906" s="1"/>
      <c r="P1906" s="1"/>
      <c r="Q1906" s="1"/>
    </row>
    <row r="1907" spans="1:17" ht="13.2" x14ac:dyDescent="0.25">
      <c r="A1907" s="1"/>
      <c r="B1907" s="1"/>
      <c r="C1907" s="1"/>
      <c r="D1907" s="3"/>
      <c r="E1907" s="1"/>
      <c r="F1907" s="1"/>
      <c r="G1907" s="1"/>
      <c r="H1907" s="1"/>
      <c r="I1907" s="1"/>
      <c r="J1907" s="1"/>
      <c r="K1907" s="1"/>
      <c r="L1907" s="1"/>
      <c r="M1907" s="1"/>
      <c r="N1907" s="1"/>
      <c r="O1907" s="1"/>
      <c r="P1907" s="1"/>
      <c r="Q1907" s="1"/>
    </row>
    <row r="1908" spans="1:17" ht="13.2" x14ac:dyDescent="0.25">
      <c r="A1908" s="1"/>
      <c r="B1908" s="1"/>
      <c r="C1908" s="1"/>
      <c r="D1908" s="3"/>
      <c r="E1908" s="1"/>
      <c r="F1908" s="1"/>
      <c r="G1908" s="1"/>
      <c r="H1908" s="1"/>
      <c r="I1908" s="1"/>
      <c r="J1908" s="1"/>
      <c r="K1908" s="1"/>
      <c r="L1908" s="1"/>
      <c r="M1908" s="1"/>
      <c r="N1908" s="1"/>
      <c r="O1908" s="1"/>
      <c r="P1908" s="1"/>
      <c r="Q1908" s="1"/>
    </row>
    <row r="1909" spans="1:17" ht="13.2" x14ac:dyDescent="0.25">
      <c r="A1909" s="1"/>
      <c r="B1909" s="1"/>
      <c r="C1909" s="1"/>
      <c r="D1909" s="3"/>
      <c r="E1909" s="1"/>
      <c r="F1909" s="1"/>
      <c r="G1909" s="1"/>
      <c r="H1909" s="1"/>
      <c r="I1909" s="1"/>
      <c r="J1909" s="1"/>
      <c r="K1909" s="1"/>
      <c r="L1909" s="1"/>
      <c r="M1909" s="1"/>
      <c r="N1909" s="1"/>
      <c r="O1909" s="1"/>
      <c r="P1909" s="1"/>
      <c r="Q1909" s="1"/>
    </row>
    <row r="1910" spans="1:17" ht="13.2" x14ac:dyDescent="0.25">
      <c r="A1910" s="1"/>
      <c r="B1910" s="1"/>
      <c r="C1910" s="1"/>
      <c r="D1910" s="3"/>
      <c r="E1910" s="1"/>
      <c r="F1910" s="1"/>
      <c r="G1910" s="1"/>
      <c r="H1910" s="1"/>
      <c r="I1910" s="1"/>
      <c r="J1910" s="1"/>
      <c r="K1910" s="1"/>
      <c r="L1910" s="1"/>
      <c r="M1910" s="1"/>
      <c r="N1910" s="1"/>
      <c r="O1910" s="1"/>
      <c r="P1910" s="1"/>
      <c r="Q1910" s="1"/>
    </row>
    <row r="1911" spans="1:17" ht="13.2" x14ac:dyDescent="0.25">
      <c r="A1911" s="1"/>
      <c r="B1911" s="1"/>
      <c r="C1911" s="1"/>
      <c r="D1911" s="3"/>
      <c r="E1911" s="1"/>
      <c r="F1911" s="1"/>
      <c r="G1911" s="1"/>
      <c r="H1911" s="1"/>
      <c r="I1911" s="1"/>
      <c r="J1911" s="1"/>
      <c r="K1911" s="1"/>
      <c r="L1911" s="1"/>
      <c r="M1911" s="1"/>
      <c r="N1911" s="1"/>
      <c r="O1911" s="1"/>
      <c r="P1911" s="1"/>
      <c r="Q1911" s="1"/>
    </row>
    <row r="1912" spans="1:17" ht="13.2" x14ac:dyDescent="0.25">
      <c r="A1912" s="1"/>
      <c r="B1912" s="1"/>
      <c r="C1912" s="1"/>
      <c r="D1912" s="3"/>
      <c r="E1912" s="1"/>
      <c r="F1912" s="1"/>
      <c r="G1912" s="1"/>
      <c r="H1912" s="1"/>
      <c r="I1912" s="1"/>
      <c r="J1912" s="1"/>
      <c r="K1912" s="1"/>
      <c r="L1912" s="1"/>
      <c r="M1912" s="1"/>
      <c r="N1912" s="1"/>
      <c r="O1912" s="1"/>
      <c r="P1912" s="1"/>
      <c r="Q1912" s="1"/>
    </row>
    <row r="1913" spans="1:17" ht="13.2" x14ac:dyDescent="0.25">
      <c r="A1913" s="1"/>
      <c r="B1913" s="1"/>
      <c r="C1913" s="1"/>
      <c r="D1913" s="3"/>
      <c r="E1913" s="1"/>
      <c r="F1913" s="1"/>
      <c r="G1913" s="1"/>
      <c r="H1913" s="1"/>
      <c r="I1913" s="1"/>
      <c r="J1913" s="1"/>
      <c r="K1913" s="1"/>
      <c r="L1913" s="1"/>
      <c r="M1913" s="1"/>
      <c r="N1913" s="1"/>
      <c r="O1913" s="1"/>
      <c r="P1913" s="1"/>
      <c r="Q1913" s="1"/>
    </row>
    <row r="1914" spans="1:17" ht="13.2" x14ac:dyDescent="0.25">
      <c r="A1914" s="1"/>
      <c r="B1914" s="1"/>
      <c r="C1914" s="1"/>
      <c r="D1914" s="3"/>
      <c r="E1914" s="1"/>
      <c r="F1914" s="1"/>
      <c r="G1914" s="1"/>
      <c r="H1914" s="1"/>
      <c r="I1914" s="1"/>
      <c r="J1914" s="1"/>
      <c r="K1914" s="1"/>
      <c r="L1914" s="1"/>
      <c r="M1914" s="1"/>
      <c r="N1914" s="1"/>
      <c r="O1914" s="1"/>
      <c r="P1914" s="1"/>
      <c r="Q1914" s="1"/>
    </row>
    <row r="1915" spans="1:17" ht="13.2" x14ac:dyDescent="0.25">
      <c r="A1915" s="1"/>
      <c r="B1915" s="1"/>
      <c r="C1915" s="1"/>
      <c r="D1915" s="3"/>
      <c r="E1915" s="1"/>
      <c r="F1915" s="1"/>
      <c r="G1915" s="1"/>
      <c r="H1915" s="1"/>
      <c r="I1915" s="1"/>
      <c r="J1915" s="1"/>
      <c r="K1915" s="1"/>
      <c r="L1915" s="1"/>
      <c r="M1915" s="1"/>
      <c r="N1915" s="1"/>
      <c r="O1915" s="1"/>
      <c r="P1915" s="1"/>
      <c r="Q1915" s="1"/>
    </row>
    <row r="1916" spans="1:17" ht="13.2" x14ac:dyDescent="0.25">
      <c r="A1916" s="1"/>
      <c r="B1916" s="1"/>
      <c r="C1916" s="1"/>
      <c r="D1916" s="3"/>
      <c r="E1916" s="1"/>
      <c r="F1916" s="1"/>
      <c r="G1916" s="1"/>
      <c r="H1916" s="1"/>
      <c r="I1916" s="1"/>
      <c r="J1916" s="1"/>
      <c r="K1916" s="1"/>
      <c r="L1916" s="1"/>
      <c r="M1916" s="1"/>
      <c r="N1916" s="1"/>
      <c r="O1916" s="1"/>
      <c r="P1916" s="1"/>
      <c r="Q1916" s="1"/>
    </row>
    <row r="1917" spans="1:17" ht="13.2" x14ac:dyDescent="0.25">
      <c r="A1917" s="1"/>
      <c r="B1917" s="1"/>
      <c r="C1917" s="1"/>
      <c r="D1917" s="3"/>
      <c r="E1917" s="1"/>
      <c r="F1917" s="1"/>
      <c r="G1917" s="1"/>
      <c r="H1917" s="1"/>
      <c r="I1917" s="1"/>
      <c r="J1917" s="1"/>
      <c r="K1917" s="1"/>
      <c r="L1917" s="1"/>
      <c r="M1917" s="1"/>
      <c r="N1917" s="1"/>
      <c r="O1917" s="1"/>
      <c r="P1917" s="1"/>
      <c r="Q1917" s="1"/>
    </row>
    <row r="1918" spans="1:17" ht="13.2" x14ac:dyDescent="0.25">
      <c r="A1918" s="1"/>
      <c r="B1918" s="1"/>
      <c r="C1918" s="1"/>
      <c r="D1918" s="3"/>
      <c r="E1918" s="1"/>
      <c r="F1918" s="1"/>
      <c r="G1918" s="1"/>
      <c r="H1918" s="1"/>
      <c r="I1918" s="1"/>
      <c r="J1918" s="1"/>
      <c r="K1918" s="1"/>
      <c r="L1918" s="1"/>
      <c r="M1918" s="1"/>
      <c r="N1918" s="1"/>
      <c r="O1918" s="1"/>
      <c r="P1918" s="1"/>
      <c r="Q1918" s="1"/>
    </row>
    <row r="1919" spans="1:17" ht="13.2" x14ac:dyDescent="0.25">
      <c r="A1919" s="1"/>
      <c r="B1919" s="1"/>
      <c r="C1919" s="1"/>
      <c r="D1919" s="3"/>
      <c r="E1919" s="1"/>
      <c r="F1919" s="1"/>
      <c r="G1919" s="1"/>
      <c r="H1919" s="1"/>
      <c r="I1919" s="1"/>
      <c r="J1919" s="1"/>
      <c r="K1919" s="1"/>
      <c r="L1919" s="1"/>
      <c r="M1919" s="1"/>
      <c r="N1919" s="1"/>
      <c r="O1919" s="1"/>
      <c r="P1919" s="1"/>
      <c r="Q1919" s="1"/>
    </row>
    <row r="1920" spans="1:17" ht="13.2" x14ac:dyDescent="0.25">
      <c r="A1920" s="1"/>
      <c r="B1920" s="1"/>
      <c r="C1920" s="1"/>
      <c r="D1920" s="3"/>
      <c r="E1920" s="1"/>
      <c r="F1920" s="1"/>
      <c r="G1920" s="1"/>
      <c r="H1920" s="1"/>
      <c r="I1920" s="1"/>
      <c r="J1920" s="1"/>
      <c r="K1920" s="1"/>
      <c r="L1920" s="1"/>
      <c r="M1920" s="1"/>
      <c r="N1920" s="1"/>
      <c r="O1920" s="1"/>
      <c r="P1920" s="1"/>
      <c r="Q1920" s="1"/>
    </row>
    <row r="1921" spans="1:17" ht="13.2" x14ac:dyDescent="0.25">
      <c r="A1921" s="1"/>
      <c r="B1921" s="1"/>
      <c r="C1921" s="1"/>
      <c r="D1921" s="3"/>
      <c r="E1921" s="1"/>
      <c r="F1921" s="1"/>
      <c r="G1921" s="1"/>
      <c r="H1921" s="1"/>
      <c r="I1921" s="1"/>
      <c r="J1921" s="1"/>
      <c r="K1921" s="1"/>
      <c r="L1921" s="1"/>
      <c r="M1921" s="1"/>
      <c r="N1921" s="1"/>
      <c r="O1921" s="1"/>
      <c r="P1921" s="1"/>
      <c r="Q1921" s="1"/>
    </row>
    <row r="1922" spans="1:17" ht="13.2" x14ac:dyDescent="0.25">
      <c r="A1922" s="1"/>
      <c r="B1922" s="1"/>
      <c r="C1922" s="1"/>
      <c r="D1922" s="3"/>
      <c r="E1922" s="1"/>
      <c r="F1922" s="1"/>
      <c r="G1922" s="1"/>
      <c r="H1922" s="1"/>
      <c r="I1922" s="1"/>
      <c r="J1922" s="1"/>
      <c r="K1922" s="1"/>
      <c r="L1922" s="1"/>
      <c r="M1922" s="1"/>
      <c r="N1922" s="1"/>
      <c r="O1922" s="1"/>
      <c r="P1922" s="1"/>
      <c r="Q1922" s="1"/>
    </row>
    <row r="1923" spans="1:17" ht="13.2" x14ac:dyDescent="0.25">
      <c r="A1923" s="1"/>
      <c r="B1923" s="1"/>
      <c r="C1923" s="1"/>
      <c r="D1923" s="3"/>
      <c r="E1923" s="1"/>
      <c r="F1923" s="1"/>
      <c r="G1923" s="1"/>
      <c r="H1923" s="1"/>
      <c r="I1923" s="1"/>
      <c r="J1923" s="1"/>
      <c r="K1923" s="1"/>
      <c r="L1923" s="1"/>
      <c r="M1923" s="1"/>
      <c r="N1923" s="1"/>
      <c r="O1923" s="1"/>
      <c r="P1923" s="1"/>
      <c r="Q1923" s="1"/>
    </row>
    <row r="1924" spans="1:17" ht="13.2" x14ac:dyDescent="0.25">
      <c r="A1924" s="1"/>
      <c r="B1924" s="1"/>
      <c r="C1924" s="1"/>
      <c r="D1924" s="3"/>
      <c r="E1924" s="1"/>
      <c r="F1924" s="1"/>
      <c r="G1924" s="1"/>
      <c r="H1924" s="1"/>
      <c r="I1924" s="1"/>
      <c r="J1924" s="1"/>
      <c r="K1924" s="1"/>
      <c r="L1924" s="1"/>
      <c r="M1924" s="1"/>
      <c r="N1924" s="1"/>
      <c r="O1924" s="1"/>
      <c r="P1924" s="1"/>
      <c r="Q1924" s="1"/>
    </row>
    <row r="1925" spans="1:17" ht="13.2" x14ac:dyDescent="0.25">
      <c r="A1925" s="1"/>
      <c r="B1925" s="1"/>
      <c r="C1925" s="1"/>
      <c r="D1925" s="3"/>
      <c r="E1925" s="1"/>
      <c r="F1925" s="1"/>
      <c r="G1925" s="1"/>
      <c r="H1925" s="1"/>
      <c r="I1925" s="1"/>
      <c r="J1925" s="1"/>
      <c r="K1925" s="1"/>
      <c r="L1925" s="1"/>
      <c r="M1925" s="1"/>
      <c r="N1925" s="1"/>
      <c r="O1925" s="1"/>
      <c r="P1925" s="1"/>
      <c r="Q1925" s="1"/>
    </row>
    <row r="1926" spans="1:17" ht="13.2" x14ac:dyDescent="0.25">
      <c r="A1926" s="1"/>
      <c r="B1926" s="1"/>
      <c r="C1926" s="1"/>
      <c r="D1926" s="3"/>
      <c r="E1926" s="1"/>
      <c r="F1926" s="1"/>
      <c r="G1926" s="1"/>
      <c r="H1926" s="1"/>
      <c r="I1926" s="1"/>
      <c r="J1926" s="1"/>
      <c r="K1926" s="1"/>
      <c r="L1926" s="1"/>
      <c r="M1926" s="1"/>
      <c r="N1926" s="1"/>
      <c r="O1926" s="1"/>
      <c r="P1926" s="1"/>
      <c r="Q1926" s="1"/>
    </row>
    <row r="1927" spans="1:17" ht="13.2" x14ac:dyDescent="0.25">
      <c r="A1927" s="1"/>
      <c r="B1927" s="1"/>
      <c r="C1927" s="1"/>
      <c r="D1927" s="3"/>
      <c r="E1927" s="1"/>
      <c r="F1927" s="1"/>
      <c r="G1927" s="1"/>
      <c r="H1927" s="1"/>
      <c r="I1927" s="1"/>
      <c r="J1927" s="1"/>
      <c r="K1927" s="1"/>
      <c r="L1927" s="1"/>
      <c r="M1927" s="1"/>
      <c r="N1927" s="1"/>
      <c r="O1927" s="1"/>
      <c r="P1927" s="1"/>
      <c r="Q1927" s="1"/>
    </row>
    <row r="1928" spans="1:17" ht="13.2" x14ac:dyDescent="0.25">
      <c r="A1928" s="1"/>
      <c r="B1928" s="1"/>
      <c r="C1928" s="1"/>
      <c r="D1928" s="3"/>
      <c r="E1928" s="1"/>
      <c r="F1928" s="1"/>
      <c r="G1928" s="1"/>
      <c r="H1928" s="1"/>
      <c r="I1928" s="1"/>
      <c r="J1928" s="1"/>
      <c r="K1928" s="1"/>
      <c r="L1928" s="1"/>
      <c r="M1928" s="1"/>
      <c r="N1928" s="1"/>
      <c r="O1928" s="1"/>
      <c r="P1928" s="1"/>
      <c r="Q1928" s="1"/>
    </row>
    <row r="1929" spans="1:17" ht="13.2" x14ac:dyDescent="0.25">
      <c r="A1929" s="1"/>
      <c r="B1929" s="1"/>
      <c r="C1929" s="1"/>
      <c r="D1929" s="3"/>
      <c r="E1929" s="1"/>
      <c r="F1929" s="1"/>
      <c r="G1929" s="1"/>
      <c r="H1929" s="1"/>
      <c r="I1929" s="1"/>
      <c r="J1929" s="1"/>
      <c r="K1929" s="1"/>
      <c r="L1929" s="1"/>
      <c r="M1929" s="1"/>
      <c r="N1929" s="1"/>
      <c r="O1929" s="1"/>
      <c r="P1929" s="1"/>
      <c r="Q1929" s="1"/>
    </row>
    <row r="1930" spans="1:17" ht="13.2" x14ac:dyDescent="0.25">
      <c r="A1930" s="1"/>
      <c r="B1930" s="1"/>
      <c r="C1930" s="1"/>
      <c r="D1930" s="3"/>
      <c r="E1930" s="1"/>
      <c r="F1930" s="1"/>
      <c r="G1930" s="1"/>
      <c r="H1930" s="1"/>
      <c r="I1930" s="1"/>
      <c r="J1930" s="1"/>
      <c r="K1930" s="1"/>
      <c r="L1930" s="1"/>
      <c r="M1930" s="1"/>
      <c r="N1930" s="1"/>
      <c r="O1930" s="1"/>
      <c r="P1930" s="1"/>
      <c r="Q1930" s="1"/>
    </row>
    <row r="1931" spans="1:17" ht="13.2" x14ac:dyDescent="0.25">
      <c r="A1931" s="1"/>
      <c r="B1931" s="1"/>
      <c r="C1931" s="1"/>
      <c r="D1931" s="3"/>
      <c r="E1931" s="1"/>
      <c r="F1931" s="1"/>
      <c r="G1931" s="1"/>
      <c r="H1931" s="1"/>
      <c r="I1931" s="1"/>
      <c r="J1931" s="1"/>
      <c r="K1931" s="1"/>
      <c r="L1931" s="1"/>
      <c r="M1931" s="1"/>
      <c r="N1931" s="1"/>
      <c r="O1931" s="1"/>
      <c r="P1931" s="1"/>
      <c r="Q1931" s="1"/>
    </row>
    <row r="1932" spans="1:17" ht="13.2" x14ac:dyDescent="0.25">
      <c r="A1932" s="1"/>
      <c r="B1932" s="1"/>
      <c r="C1932" s="1"/>
      <c r="D1932" s="3"/>
      <c r="E1932" s="1"/>
      <c r="F1932" s="1"/>
      <c r="G1932" s="1"/>
      <c r="H1932" s="1"/>
      <c r="I1932" s="1"/>
      <c r="J1932" s="1"/>
      <c r="K1932" s="1"/>
      <c r="L1932" s="1"/>
      <c r="M1932" s="1"/>
      <c r="N1932" s="1"/>
      <c r="O1932" s="1"/>
      <c r="P1932" s="1"/>
      <c r="Q1932" s="1"/>
    </row>
    <row r="1933" spans="1:17" ht="13.2" x14ac:dyDescent="0.25">
      <c r="A1933" s="1"/>
      <c r="B1933" s="1"/>
      <c r="C1933" s="1"/>
      <c r="D1933" s="3"/>
      <c r="E1933" s="1"/>
      <c r="F1933" s="1"/>
      <c r="G1933" s="1"/>
      <c r="H1933" s="1"/>
      <c r="I1933" s="1"/>
      <c r="J1933" s="1"/>
      <c r="K1933" s="1"/>
      <c r="L1933" s="1"/>
      <c r="M1933" s="1"/>
      <c r="N1933" s="1"/>
      <c r="O1933" s="1"/>
      <c r="P1933" s="1"/>
      <c r="Q1933" s="1"/>
    </row>
    <row r="1934" spans="1:17" ht="13.2" x14ac:dyDescent="0.25">
      <c r="A1934" s="1"/>
      <c r="B1934" s="1"/>
      <c r="C1934" s="1"/>
      <c r="D1934" s="3"/>
      <c r="E1934" s="1"/>
      <c r="F1934" s="1"/>
      <c r="G1934" s="1"/>
      <c r="H1934" s="1"/>
      <c r="I1934" s="1"/>
      <c r="J1934" s="1"/>
      <c r="K1934" s="1"/>
      <c r="L1934" s="1"/>
      <c r="M1934" s="1"/>
      <c r="N1934" s="1"/>
      <c r="O1934" s="1"/>
      <c r="P1934" s="1"/>
      <c r="Q1934" s="1"/>
    </row>
    <row r="1935" spans="1:17" ht="13.2" x14ac:dyDescent="0.25">
      <c r="A1935" s="1"/>
      <c r="B1935" s="1"/>
      <c r="C1935" s="1"/>
      <c r="D1935" s="3"/>
      <c r="E1935" s="1"/>
      <c r="F1935" s="1"/>
      <c r="G1935" s="1"/>
      <c r="H1935" s="1"/>
      <c r="I1935" s="1"/>
      <c r="J1935" s="1"/>
      <c r="K1935" s="1"/>
      <c r="L1935" s="1"/>
      <c r="M1935" s="1"/>
      <c r="N1935" s="1"/>
      <c r="O1935" s="1"/>
      <c r="P1935" s="1"/>
      <c r="Q1935" s="1"/>
    </row>
    <row r="1936" spans="1:17" ht="13.2" x14ac:dyDescent="0.25">
      <c r="A1936" s="1"/>
      <c r="B1936" s="1"/>
      <c r="C1936" s="1"/>
      <c r="D1936" s="3"/>
      <c r="E1936" s="1"/>
      <c r="F1936" s="1"/>
      <c r="G1936" s="1"/>
      <c r="H1936" s="1"/>
      <c r="I1936" s="1"/>
      <c r="J1936" s="1"/>
      <c r="K1936" s="1"/>
      <c r="L1936" s="1"/>
      <c r="M1936" s="1"/>
      <c r="N1936" s="1"/>
      <c r="O1936" s="1"/>
      <c r="P1936" s="1"/>
      <c r="Q1936" s="1"/>
    </row>
    <row r="1937" spans="1:17" ht="13.2" x14ac:dyDescent="0.25">
      <c r="A1937" s="1"/>
      <c r="B1937" s="1"/>
      <c r="C1937" s="1"/>
      <c r="D1937" s="3"/>
      <c r="E1937" s="1"/>
      <c r="F1937" s="1"/>
      <c r="G1937" s="1"/>
      <c r="H1937" s="1"/>
      <c r="I1937" s="1"/>
      <c r="J1937" s="1"/>
      <c r="K1937" s="1"/>
      <c r="L1937" s="1"/>
      <c r="M1937" s="1"/>
      <c r="N1937" s="1"/>
      <c r="O1937" s="1"/>
      <c r="P1937" s="1"/>
      <c r="Q1937" s="1"/>
    </row>
    <row r="1938" spans="1:17" ht="13.2" x14ac:dyDescent="0.25">
      <c r="A1938" s="1"/>
      <c r="B1938" s="1"/>
      <c r="C1938" s="1"/>
      <c r="D1938" s="3"/>
      <c r="E1938" s="1"/>
      <c r="F1938" s="1"/>
      <c r="G1938" s="1"/>
      <c r="H1938" s="1"/>
      <c r="I1938" s="1"/>
      <c r="J1938" s="1"/>
      <c r="K1938" s="1"/>
      <c r="L1938" s="1"/>
      <c r="M1938" s="1"/>
      <c r="N1938" s="1"/>
      <c r="O1938" s="1"/>
      <c r="P1938" s="1"/>
      <c r="Q1938" s="1"/>
    </row>
    <row r="1939" spans="1:17" ht="13.2" x14ac:dyDescent="0.25">
      <c r="A1939" s="1"/>
      <c r="B1939" s="1"/>
      <c r="C1939" s="1"/>
      <c r="D1939" s="3"/>
      <c r="E1939" s="1"/>
      <c r="F1939" s="1"/>
      <c r="G1939" s="1"/>
      <c r="H1939" s="1"/>
      <c r="I1939" s="1"/>
      <c r="J1939" s="1"/>
      <c r="K1939" s="1"/>
      <c r="L1939" s="1"/>
      <c r="M1939" s="1"/>
      <c r="N1939" s="1"/>
      <c r="O1939" s="1"/>
      <c r="P1939" s="1"/>
      <c r="Q1939" s="1"/>
    </row>
    <row r="1940" spans="1:17" ht="13.2" x14ac:dyDescent="0.25">
      <c r="A1940" s="1"/>
      <c r="B1940" s="1"/>
      <c r="C1940" s="1"/>
      <c r="D1940" s="3"/>
      <c r="E1940" s="1"/>
      <c r="F1940" s="1"/>
      <c r="G1940" s="1"/>
      <c r="H1940" s="1"/>
      <c r="I1940" s="1"/>
      <c r="J1940" s="1"/>
      <c r="K1940" s="1"/>
      <c r="L1940" s="1"/>
      <c r="M1940" s="1"/>
      <c r="N1940" s="1"/>
      <c r="O1940" s="1"/>
      <c r="P1940" s="1"/>
      <c r="Q1940" s="1"/>
    </row>
    <row r="1941" spans="1:17" ht="13.2" x14ac:dyDescent="0.25">
      <c r="A1941" s="1"/>
      <c r="B1941" s="1"/>
      <c r="C1941" s="1"/>
      <c r="D1941" s="3"/>
      <c r="E1941" s="1"/>
      <c r="F1941" s="1"/>
      <c r="G1941" s="1"/>
      <c r="H1941" s="1"/>
      <c r="I1941" s="1"/>
      <c r="J1941" s="1"/>
      <c r="K1941" s="1"/>
      <c r="L1941" s="1"/>
      <c r="M1941" s="1"/>
      <c r="N1941" s="1"/>
      <c r="O1941" s="1"/>
      <c r="P1941" s="1"/>
      <c r="Q1941" s="1"/>
    </row>
    <row r="1942" spans="1:17" ht="13.2" x14ac:dyDescent="0.25">
      <c r="A1942" s="1"/>
      <c r="B1942" s="1"/>
      <c r="C1942" s="1"/>
      <c r="D1942" s="3"/>
      <c r="E1942" s="1"/>
      <c r="F1942" s="1"/>
      <c r="G1942" s="1"/>
      <c r="H1942" s="1"/>
      <c r="I1942" s="1"/>
      <c r="J1942" s="1"/>
      <c r="K1942" s="1"/>
      <c r="L1942" s="1"/>
      <c r="M1942" s="1"/>
      <c r="N1942" s="1"/>
      <c r="O1942" s="1"/>
      <c r="P1942" s="1"/>
      <c r="Q1942" s="1"/>
    </row>
    <row r="1943" spans="1:17" ht="13.2" x14ac:dyDescent="0.25">
      <c r="A1943" s="1"/>
      <c r="B1943" s="1"/>
      <c r="C1943" s="1"/>
      <c r="D1943" s="3"/>
      <c r="E1943" s="1"/>
      <c r="F1943" s="1"/>
      <c r="G1943" s="1"/>
      <c r="H1943" s="1"/>
      <c r="I1943" s="1"/>
      <c r="J1943" s="1"/>
      <c r="K1943" s="1"/>
      <c r="L1943" s="1"/>
      <c r="M1943" s="1"/>
      <c r="N1943" s="1"/>
      <c r="O1943" s="1"/>
      <c r="P1943" s="1"/>
      <c r="Q1943" s="1"/>
    </row>
  </sheetData>
  <autoFilter ref="A1:P184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3"/>
  <sheetViews>
    <sheetView topLeftCell="A46" workbookViewId="0">
      <selection activeCell="A67" sqref="A67"/>
    </sheetView>
  </sheetViews>
  <sheetFormatPr defaultRowHeight="13.2" x14ac:dyDescent="0.25"/>
  <cols>
    <col min="1" max="1" width="52.109375" customWidth="1"/>
    <col min="2" max="2" width="15.33203125" customWidth="1"/>
    <col min="3" max="3" width="10.77734375" customWidth="1"/>
    <col min="4" max="5" width="42.21875" customWidth="1"/>
    <col min="6" max="6" width="23.44140625" customWidth="1"/>
    <col min="7" max="7" width="11.33203125" customWidth="1"/>
    <col min="8" max="8" width="4.33203125" customWidth="1"/>
    <col min="9" max="9" width="11.33203125" customWidth="1"/>
    <col min="10" max="14" width="23.5546875" bestFit="1" customWidth="1"/>
    <col min="15" max="15" width="20.33203125" bestFit="1" customWidth="1"/>
    <col min="16" max="16" width="28.5546875" bestFit="1" customWidth="1"/>
  </cols>
  <sheetData>
    <row r="3" spans="1:2" x14ac:dyDescent="0.25">
      <c r="A3" s="5" t="s">
        <v>41</v>
      </c>
      <c r="B3" t="s">
        <v>18</v>
      </c>
    </row>
    <row r="4" spans="1:2" x14ac:dyDescent="0.25">
      <c r="A4" s="6" t="s">
        <v>13</v>
      </c>
      <c r="B4" s="7">
        <v>7</v>
      </c>
    </row>
    <row r="5" spans="1:2" x14ac:dyDescent="0.25">
      <c r="A5" s="6" t="s">
        <v>14</v>
      </c>
      <c r="B5" s="7">
        <v>2</v>
      </c>
    </row>
    <row r="6" spans="1:2" x14ac:dyDescent="0.25">
      <c r="A6" s="6" t="s">
        <v>15</v>
      </c>
      <c r="B6" s="7">
        <v>728</v>
      </c>
    </row>
    <row r="7" spans="1:2" x14ac:dyDescent="0.25">
      <c r="A7" s="6" t="s">
        <v>16</v>
      </c>
      <c r="B7" s="7">
        <v>10</v>
      </c>
    </row>
    <row r="8" spans="1:2" x14ac:dyDescent="0.25">
      <c r="A8" s="6" t="s">
        <v>5</v>
      </c>
      <c r="B8" s="7">
        <v>5</v>
      </c>
    </row>
    <row r="9" spans="1:2" x14ac:dyDescent="0.25">
      <c r="A9" s="6" t="s">
        <v>17</v>
      </c>
      <c r="B9" s="7">
        <v>752</v>
      </c>
    </row>
    <row r="15" spans="1:2" x14ac:dyDescent="0.25">
      <c r="A15" s="5" t="s">
        <v>47</v>
      </c>
      <c r="B15" t="s">
        <v>18</v>
      </c>
    </row>
    <row r="16" spans="1:2" x14ac:dyDescent="0.25">
      <c r="A16" s="6" t="s">
        <v>24</v>
      </c>
      <c r="B16" s="7">
        <v>244</v>
      </c>
    </row>
    <row r="17" spans="1:2" x14ac:dyDescent="0.25">
      <c r="A17" s="6" t="s">
        <v>25</v>
      </c>
      <c r="B17" s="7">
        <v>168</v>
      </c>
    </row>
    <row r="18" spans="1:2" x14ac:dyDescent="0.25">
      <c r="A18" s="6" t="s">
        <v>26</v>
      </c>
      <c r="B18" s="7">
        <v>340</v>
      </c>
    </row>
    <row r="19" spans="1:2" x14ac:dyDescent="0.25">
      <c r="A19" s="6" t="s">
        <v>17</v>
      </c>
      <c r="B19" s="7">
        <v>752</v>
      </c>
    </row>
    <row r="22" spans="1:2" x14ac:dyDescent="0.25">
      <c r="A22" s="5" t="s">
        <v>46</v>
      </c>
      <c r="B22" t="s">
        <v>18</v>
      </c>
    </row>
    <row r="23" spans="1:2" x14ac:dyDescent="0.25">
      <c r="A23" s="6" t="s">
        <v>42</v>
      </c>
      <c r="B23" s="7">
        <v>24</v>
      </c>
    </row>
    <row r="24" spans="1:2" x14ac:dyDescent="0.25">
      <c r="A24" s="6" t="s">
        <v>43</v>
      </c>
      <c r="B24" s="7">
        <v>10</v>
      </c>
    </row>
    <row r="25" spans="1:2" x14ac:dyDescent="0.25">
      <c r="A25" s="6" t="s">
        <v>44</v>
      </c>
      <c r="B25" s="7">
        <v>461</v>
      </c>
    </row>
    <row r="26" spans="1:2" x14ac:dyDescent="0.25">
      <c r="A26" s="6" t="s">
        <v>45</v>
      </c>
      <c r="B26" s="7">
        <v>257</v>
      </c>
    </row>
    <row r="27" spans="1:2" x14ac:dyDescent="0.25">
      <c r="A27" s="6" t="s">
        <v>17</v>
      </c>
      <c r="B27" s="7">
        <v>752</v>
      </c>
    </row>
    <row r="33" spans="1:2" x14ac:dyDescent="0.25">
      <c r="A33" s="5" t="s">
        <v>40</v>
      </c>
      <c r="B33" t="s">
        <v>18</v>
      </c>
    </row>
    <row r="34" spans="1:2" x14ac:dyDescent="0.25">
      <c r="A34" s="6" t="s">
        <v>19</v>
      </c>
      <c r="B34" s="7">
        <v>141</v>
      </c>
    </row>
    <row r="35" spans="1:2" x14ac:dyDescent="0.25">
      <c r="A35" s="6" t="s">
        <v>20</v>
      </c>
      <c r="B35" s="7">
        <v>272</v>
      </c>
    </row>
    <row r="36" spans="1:2" x14ac:dyDescent="0.25">
      <c r="A36" s="6" t="s">
        <v>21</v>
      </c>
      <c r="B36" s="7">
        <v>102</v>
      </c>
    </row>
    <row r="37" spans="1:2" x14ac:dyDescent="0.25">
      <c r="A37" s="6" t="s">
        <v>22</v>
      </c>
      <c r="B37" s="7">
        <v>178</v>
      </c>
    </row>
    <row r="38" spans="1:2" x14ac:dyDescent="0.25">
      <c r="A38" s="6" t="s">
        <v>23</v>
      </c>
      <c r="B38" s="7">
        <v>59</v>
      </c>
    </row>
    <row r="39" spans="1:2" x14ac:dyDescent="0.25">
      <c r="A39" s="6" t="s">
        <v>17</v>
      </c>
      <c r="B39" s="7">
        <v>752</v>
      </c>
    </row>
    <row r="43" spans="1:2" x14ac:dyDescent="0.25">
      <c r="A43" s="5" t="s">
        <v>50</v>
      </c>
      <c r="B43" t="s">
        <v>18</v>
      </c>
    </row>
    <row r="44" spans="1:2" x14ac:dyDescent="0.25">
      <c r="A44" s="6" t="s">
        <v>48</v>
      </c>
      <c r="B44" s="7">
        <v>613</v>
      </c>
    </row>
    <row r="45" spans="1:2" x14ac:dyDescent="0.25">
      <c r="A45" s="6" t="s">
        <v>49</v>
      </c>
      <c r="B45" s="7">
        <v>139</v>
      </c>
    </row>
    <row r="46" spans="1:2" x14ac:dyDescent="0.25">
      <c r="A46" s="6" t="s">
        <v>17</v>
      </c>
      <c r="B46" s="7">
        <v>752</v>
      </c>
    </row>
    <row r="48" spans="1:2" x14ac:dyDescent="0.25">
      <c r="A48" s="5" t="s">
        <v>51</v>
      </c>
      <c r="B48" t="s">
        <v>18</v>
      </c>
    </row>
    <row r="49" spans="1:2" x14ac:dyDescent="0.25">
      <c r="A49" s="6" t="s">
        <v>28</v>
      </c>
      <c r="B49" s="7">
        <v>145</v>
      </c>
    </row>
    <row r="50" spans="1:2" x14ac:dyDescent="0.25">
      <c r="A50" s="6" t="s">
        <v>29</v>
      </c>
      <c r="B50" s="7">
        <v>56</v>
      </c>
    </row>
    <row r="51" spans="1:2" x14ac:dyDescent="0.25">
      <c r="A51" s="6" t="s">
        <v>30</v>
      </c>
      <c r="B51" s="7">
        <v>224</v>
      </c>
    </row>
    <row r="52" spans="1:2" x14ac:dyDescent="0.25">
      <c r="A52" s="6" t="s">
        <v>31</v>
      </c>
      <c r="B52" s="7">
        <v>23</v>
      </c>
    </row>
    <row r="53" spans="1:2" x14ac:dyDescent="0.25">
      <c r="A53" s="6" t="s">
        <v>32</v>
      </c>
      <c r="B53" s="7">
        <v>29</v>
      </c>
    </row>
    <row r="54" spans="1:2" x14ac:dyDescent="0.25">
      <c r="A54" s="6" t="s">
        <v>33</v>
      </c>
      <c r="B54" s="7">
        <v>109</v>
      </c>
    </row>
    <row r="55" spans="1:2" x14ac:dyDescent="0.25">
      <c r="A55" s="6" t="s">
        <v>34</v>
      </c>
      <c r="B55" s="7">
        <v>166</v>
      </c>
    </row>
    <row r="56" spans="1:2" x14ac:dyDescent="0.25">
      <c r="A56" s="6" t="s">
        <v>17</v>
      </c>
      <c r="B56" s="7">
        <v>752</v>
      </c>
    </row>
    <row r="59" spans="1:2" x14ac:dyDescent="0.25">
      <c r="A59" s="5" t="s">
        <v>57</v>
      </c>
      <c r="B59" t="s">
        <v>18</v>
      </c>
    </row>
    <row r="60" spans="1:2" x14ac:dyDescent="0.25">
      <c r="A60" s="6" t="s">
        <v>52</v>
      </c>
      <c r="B60" s="7">
        <v>125</v>
      </c>
    </row>
    <row r="61" spans="1:2" x14ac:dyDescent="0.25">
      <c r="A61" s="6" t="s">
        <v>53</v>
      </c>
      <c r="B61" s="7">
        <v>457</v>
      </c>
    </row>
    <row r="62" spans="1:2" x14ac:dyDescent="0.25">
      <c r="A62" s="6" t="s">
        <v>54</v>
      </c>
      <c r="B62" s="7">
        <v>117</v>
      </c>
    </row>
    <row r="63" spans="1:2" x14ac:dyDescent="0.25">
      <c r="A63" s="6" t="s">
        <v>55</v>
      </c>
      <c r="B63" s="7">
        <v>45</v>
      </c>
    </row>
    <row r="64" spans="1:2" x14ac:dyDescent="0.25">
      <c r="A64" s="6" t="s">
        <v>56</v>
      </c>
      <c r="B64" s="7">
        <v>8</v>
      </c>
    </row>
    <row r="65" spans="1:2" x14ac:dyDescent="0.25">
      <c r="A65" s="6" t="s">
        <v>17</v>
      </c>
      <c r="B65" s="7">
        <v>752</v>
      </c>
    </row>
    <row r="67" spans="1:2" x14ac:dyDescent="0.25">
      <c r="A67" s="5" t="s">
        <v>58</v>
      </c>
      <c r="B67" t="s">
        <v>18</v>
      </c>
    </row>
    <row r="68" spans="1:2" x14ac:dyDescent="0.25">
      <c r="A68" s="6" t="s">
        <v>35</v>
      </c>
      <c r="B68" s="7">
        <v>252</v>
      </c>
    </row>
    <row r="69" spans="1:2" x14ac:dyDescent="0.25">
      <c r="A69" s="6" t="s">
        <v>36</v>
      </c>
      <c r="B69" s="7">
        <v>10</v>
      </c>
    </row>
    <row r="70" spans="1:2" x14ac:dyDescent="0.25">
      <c r="A70" s="6" t="s">
        <v>37</v>
      </c>
      <c r="B70" s="7">
        <v>358</v>
      </c>
    </row>
    <row r="71" spans="1:2" x14ac:dyDescent="0.25">
      <c r="A71" s="6" t="s">
        <v>38</v>
      </c>
      <c r="B71" s="7">
        <v>121</v>
      </c>
    </row>
    <row r="72" spans="1:2" x14ac:dyDescent="0.25">
      <c r="A72" s="6" t="s">
        <v>39</v>
      </c>
      <c r="B72" s="7">
        <v>11</v>
      </c>
    </row>
    <row r="73" spans="1:2" x14ac:dyDescent="0.25">
      <c r="A73" s="6" t="s">
        <v>17</v>
      </c>
      <c r="B73" s="7">
        <v>752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1"/>
  <sheetViews>
    <sheetView showGridLines="0" showRowColHeaders="0" tabSelected="1" topLeftCell="C27" zoomScale="60" zoomScaleNormal="60" workbookViewId="0">
      <selection activeCell="G66" sqref="G66"/>
    </sheetView>
  </sheetViews>
  <sheetFormatPr defaultRowHeight="13.2" x14ac:dyDescent="0.25"/>
  <cols>
    <col min="1" max="1" width="59.109375" style="11" customWidth="1"/>
    <col min="2" max="3" width="16.33203125" style="11" customWidth="1"/>
    <col min="4" max="4" width="51.33203125" style="11" bestFit="1" customWidth="1"/>
    <col min="5" max="6" width="62.88671875" style="11" bestFit="1" customWidth="1"/>
    <col min="7" max="7" width="61.77734375" style="11" bestFit="1" customWidth="1"/>
    <col min="8" max="8" width="63.88671875" style="11" bestFit="1" customWidth="1"/>
    <col min="9" max="9" width="11.33203125" style="11" bestFit="1" customWidth="1"/>
    <col min="10" max="16384" width="8.88671875" style="11"/>
  </cols>
  <sheetData>
    <row r="4" spans="1:2" x14ac:dyDescent="0.25">
      <c r="A4" s="9"/>
      <c r="B4" s="10"/>
    </row>
    <row r="5" spans="1:2" x14ac:dyDescent="0.25">
      <c r="A5" s="9"/>
      <c r="B5" s="10"/>
    </row>
    <row r="6" spans="1:2" x14ac:dyDescent="0.25">
      <c r="A6" s="9"/>
      <c r="B6" s="10"/>
    </row>
    <row r="7" spans="1:2" x14ac:dyDescent="0.25">
      <c r="A7" s="9"/>
      <c r="B7" s="10"/>
    </row>
    <row r="8" spans="1:2" x14ac:dyDescent="0.25">
      <c r="A8" s="9"/>
      <c r="B8" s="10"/>
    </row>
    <row r="9" spans="1:2" x14ac:dyDescent="0.25">
      <c r="A9" s="9"/>
      <c r="B9" s="10"/>
    </row>
    <row r="10" spans="1:2" x14ac:dyDescent="0.25">
      <c r="A10" s="9"/>
      <c r="B10" s="10"/>
    </row>
    <row r="11" spans="1:2" x14ac:dyDescent="0.25">
      <c r="A11" s="9"/>
      <c r="B1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dc:creator>
  <cp:lastModifiedBy>SUNNY</cp:lastModifiedBy>
  <dcterms:created xsi:type="dcterms:W3CDTF">2023-05-10T08:39:13Z</dcterms:created>
  <dcterms:modified xsi:type="dcterms:W3CDTF">2023-07-24T07:49:27Z</dcterms:modified>
</cp:coreProperties>
</file>