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48" windowWidth="22968" windowHeight="12132"/>
  </bookViews>
  <sheets>
    <sheet name="Sheet1" sheetId="1" r:id="rId1"/>
    <sheet name="Sheet2" sheetId="2" r:id="rId2"/>
    <sheet name="Sheet3" sheetId="3" r:id="rId3"/>
  </sheets>
  <externalReferences>
    <externalReference r:id="rId4"/>
  </externalReferences>
  <calcPr calcId="124519"/>
</workbook>
</file>

<file path=xl/calcChain.xml><?xml version="1.0" encoding="utf-8"?>
<calcChain xmlns="http://schemas.openxmlformats.org/spreadsheetml/2006/main">
  <c r="R4" i="1"/>
  <c r="R5"/>
  <c r="R6"/>
  <c r="R7"/>
  <c r="R8"/>
  <c r="R9"/>
  <c r="R10"/>
  <c r="R11"/>
  <c r="R3"/>
  <c r="X11"/>
  <c r="X10"/>
  <c r="X9"/>
  <c r="X8"/>
  <c r="X7"/>
  <c r="X6"/>
  <c r="X5"/>
  <c r="X4"/>
  <c r="X3"/>
  <c r="J11"/>
  <c r="J10"/>
  <c r="J9"/>
  <c r="J8"/>
  <c r="J7"/>
  <c r="J6"/>
  <c r="J5"/>
  <c r="J4"/>
  <c r="J3"/>
  <c r="S8"/>
  <c r="S9"/>
  <c r="S10"/>
  <c r="N4"/>
  <c r="N5"/>
  <c r="N6"/>
  <c r="S6" s="1"/>
  <c r="N7"/>
  <c r="N8"/>
  <c r="N9"/>
  <c r="N10"/>
  <c r="N11"/>
  <c r="S11" s="1"/>
  <c r="N3"/>
  <c r="S3" s="1"/>
  <c r="S7" l="1"/>
  <c r="S4"/>
  <c r="S5"/>
  <c r="L11" l="1"/>
  <c r="K11"/>
  <c r="I11"/>
  <c r="H11"/>
  <c r="G11"/>
  <c r="F11"/>
  <c r="E11"/>
  <c r="D11"/>
  <c r="C11"/>
  <c r="B11"/>
  <c r="A11"/>
  <c r="L10"/>
  <c r="K10"/>
  <c r="I10"/>
  <c r="H10"/>
  <c r="G10"/>
  <c r="F10"/>
  <c r="E10"/>
  <c r="D10"/>
  <c r="C10"/>
  <c r="B10"/>
  <c r="A10"/>
  <c r="L9"/>
  <c r="K9"/>
  <c r="I9"/>
  <c r="H9"/>
  <c r="G9"/>
  <c r="F9"/>
  <c r="E9"/>
  <c r="D9"/>
  <c r="C9"/>
  <c r="B9"/>
  <c r="A9"/>
  <c r="L8"/>
  <c r="K8"/>
  <c r="I8"/>
  <c r="H8"/>
  <c r="G8"/>
  <c r="F8"/>
  <c r="E8"/>
  <c r="D8"/>
  <c r="C8"/>
  <c r="B8"/>
  <c r="A8"/>
  <c r="L7"/>
  <c r="K7"/>
  <c r="I7"/>
  <c r="H7"/>
  <c r="G7"/>
  <c r="F7"/>
  <c r="E7"/>
  <c r="D7"/>
  <c r="C7"/>
  <c r="B7"/>
  <c r="A7"/>
  <c r="L6"/>
  <c r="K6"/>
  <c r="I6"/>
  <c r="H6"/>
  <c r="G6"/>
  <c r="F6"/>
  <c r="E6"/>
  <c r="D6"/>
  <c r="C6"/>
  <c r="B6"/>
  <c r="A6"/>
  <c r="L5"/>
  <c r="K5"/>
  <c r="I5"/>
  <c r="H5"/>
  <c r="G5"/>
  <c r="F5"/>
  <c r="E5"/>
  <c r="D5"/>
  <c r="C5"/>
  <c r="B5"/>
  <c r="A5"/>
  <c r="L4"/>
  <c r="K4"/>
  <c r="I4"/>
  <c r="H4"/>
  <c r="G4"/>
  <c r="F4"/>
  <c r="E4"/>
  <c r="D4"/>
  <c r="C4"/>
  <c r="B4"/>
  <c r="A4"/>
  <c r="L3"/>
  <c r="K3"/>
  <c r="I3"/>
  <c r="H3"/>
  <c r="G3"/>
  <c r="F3"/>
  <c r="E3"/>
  <c r="D3"/>
  <c r="C3"/>
  <c r="B3"/>
  <c r="A3"/>
  <c r="Q3" l="1"/>
  <c r="T3" s="1"/>
  <c r="O3"/>
  <c r="P3" s="1"/>
  <c r="Y7"/>
  <c r="Z7" s="1"/>
  <c r="W7"/>
  <c r="Q10"/>
  <c r="T10" s="1"/>
  <c r="O10"/>
  <c r="P10" s="1"/>
  <c r="Q11"/>
  <c r="T11" s="1"/>
  <c r="O11"/>
  <c r="P11" s="1"/>
  <c r="Q7"/>
  <c r="T7" s="1"/>
  <c r="O7"/>
  <c r="P7" s="1"/>
  <c r="Y11"/>
  <c r="Z11" s="1"/>
  <c r="W11"/>
  <c r="Q9"/>
  <c r="T9" s="1"/>
  <c r="O9"/>
  <c r="P9" s="1"/>
  <c r="Y3"/>
  <c r="Z3" s="1"/>
  <c r="W3"/>
  <c r="Y5"/>
  <c r="Z5" s="1"/>
  <c r="W5"/>
  <c r="Y4"/>
  <c r="Z4" s="1"/>
  <c r="W4"/>
  <c r="W6"/>
  <c r="Y6"/>
  <c r="Z6" s="1"/>
  <c r="Q4"/>
  <c r="T4" s="1"/>
  <c r="O4"/>
  <c r="P4" s="1"/>
  <c r="W8"/>
  <c r="Y8"/>
  <c r="Z8" s="1"/>
  <c r="Q5"/>
  <c r="T5" s="1"/>
  <c r="O5"/>
  <c r="P5" s="1"/>
  <c r="Y9"/>
  <c r="Z9" s="1"/>
  <c r="W9"/>
  <c r="Q6"/>
  <c r="T6" s="1"/>
  <c r="O6"/>
  <c r="P6" s="1"/>
  <c r="W10"/>
  <c r="Y10"/>
  <c r="Z10" s="1"/>
  <c r="Q8"/>
  <c r="T8" s="1"/>
  <c r="O8"/>
  <c r="P8" s="1"/>
  <c r="U10" l="1"/>
  <c r="AA8"/>
  <c r="U5"/>
  <c r="U11"/>
  <c r="U9"/>
  <c r="AA7"/>
  <c r="AA9"/>
  <c r="U7"/>
  <c r="AA3"/>
  <c r="AA10"/>
  <c r="AA6"/>
  <c r="U3"/>
  <c r="AA5"/>
  <c r="U6"/>
  <c r="AA4"/>
  <c r="U8"/>
  <c r="U4"/>
  <c r="AA11"/>
  <c r="U12" l="1"/>
  <c r="AA12"/>
</calcChain>
</file>

<file path=xl/sharedStrings.xml><?xml version="1.0" encoding="utf-8"?>
<sst xmlns="http://schemas.openxmlformats.org/spreadsheetml/2006/main" count="26" uniqueCount="25">
  <si>
    <t>商品</t>
  </si>
  <si>
    <t>開盤</t>
  </si>
  <si>
    <t>最高</t>
  </si>
  <si>
    <t>漲停</t>
  </si>
  <si>
    <t>最低</t>
  </si>
  <si>
    <t>成交</t>
  </si>
  <si>
    <t>漲幅%</t>
  </si>
  <si>
    <t>漲跌</t>
  </si>
  <si>
    <t>單量</t>
  </si>
  <si>
    <t>總量</t>
  </si>
  <si>
    <t>昨量</t>
  </si>
  <si>
    <t>損益</t>
    <phoneticPr fontId="1" type="noConversion"/>
  </si>
  <si>
    <t>假想買入價</t>
    <phoneticPr fontId="1" type="noConversion"/>
  </si>
  <si>
    <t>買的價錢</t>
    <phoneticPr fontId="1" type="noConversion"/>
  </si>
  <si>
    <t>買入價</t>
    <phoneticPr fontId="1" type="noConversion"/>
  </si>
  <si>
    <t>開盤價差</t>
    <phoneticPr fontId="1" type="noConversion"/>
  </si>
  <si>
    <t>漲幅</t>
    <phoneticPr fontId="1" type="noConversion"/>
  </si>
  <si>
    <t>買入手續費</t>
    <phoneticPr fontId="1" type="noConversion"/>
  </si>
  <si>
    <t>稅</t>
    <phoneticPr fontId="1" type="noConversion"/>
  </si>
  <si>
    <t>損益</t>
    <phoneticPr fontId="1" type="noConversion"/>
  </si>
  <si>
    <t>開盤賣價</t>
    <phoneticPr fontId="1" type="noConversion"/>
  </si>
  <si>
    <t>開盤賣出手續費</t>
    <phoneticPr fontId="1" type="noConversion"/>
  </si>
  <si>
    <t>現價價差</t>
    <phoneticPr fontId="1" type="noConversion"/>
  </si>
  <si>
    <t>現價賣出價</t>
    <phoneticPr fontId="1" type="noConversion"/>
  </si>
  <si>
    <t>賣出價手續費</t>
    <phoneticPr fontId="1" type="noConversion"/>
  </si>
</sst>
</file>

<file path=xl/styles.xml><?xml version="1.0" encoding="utf-8"?>
<styleSheet xmlns="http://schemas.openxmlformats.org/spreadsheetml/2006/main">
  <fonts count="7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u/>
      <sz val="10"/>
      <color theme="1"/>
      <name val="新細明體"/>
      <family val="1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21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10" fontId="3" fillId="0" borderId="0" xfId="0" applyNumberFormat="1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10" fontId="4" fillId="0" borderId="0" xfId="0" applyNumberFormat="1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10" fontId="4" fillId="0" borderId="7" xfId="0" applyNumberFormat="1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3" fillId="0" borderId="7" xfId="0" applyFont="1" applyBorder="1" applyAlignment="1">
      <alignment horizontal="center" vertical="center"/>
    </xf>
  </cellXfs>
  <cellStyles count="1">
    <cellStyle name="一般" xfId="0" builtinId="0"/>
  </cellStyles>
  <dxfs count="4"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externalLink1.xml><?xml version="1.0" encoding="utf-8"?>
<externalLink xmlns="http://schemas.openxmlformats.org/spreadsheetml/2006/main">
  <ddeLink xmlns:r="http://schemas.openxmlformats.org/officeDocument/2006/relationships" ddeService="XQLITE" ddeTopic="Quote">
    <ddeItems>
      <ddeItem name="3016.TW-High" advise="1">
        <values>
          <value>
            <val>51.6</val>
          </value>
        </values>
      </ddeItem>
      <ddeItem name="3016.TW-Low" advise="1">
        <values>
          <value>
            <val>49.75</val>
          </value>
        </values>
      </ddeItem>
      <ddeItem name="3016.TW-Name" advise="1">
        <values>
          <value t="str">
            <val>嘉晶</val>
          </value>
        </values>
      </ddeItem>
      <ddeItem name="3016.TW-Open" advise="1">
        <values>
          <value>
            <val>51.6</val>
          </value>
        </values>
      </ddeItem>
      <ddeItem name="3016.TW-PreTotalVolume" advise="1">
        <values>
          <value>
            <val>25217</val>
          </value>
        </values>
      </ddeItem>
      <ddeItem name="3016.TW-Price" advise="1">
        <values>
          <value>
            <val>49.75</val>
          </value>
        </values>
      </ddeItem>
      <ddeItem name="3016.TW-PriceChange" advise="1">
        <values>
          <value>
            <val>-1.45</val>
          </value>
        </values>
      </ddeItem>
      <ddeItem name="3016.TW-PriceChangeRatio" advise="1">
        <values>
          <value>
            <val>-2.83</val>
          </value>
        </values>
      </ddeItem>
      <ddeItem name="3016.TW-TotalVolume" advise="1">
        <values>
          <value>
            <val>13257</val>
          </value>
        </values>
      </ddeItem>
      <ddeItem name="3016.TW-UpLimit" advise="1">
        <values>
          <value>
            <val>56.3</val>
          </value>
        </values>
      </ddeItem>
      <ddeItem name="3016.TW-Volume" advise="1">
        <values>
          <value>
            <val>882</val>
          </value>
        </values>
      </ddeItem>
      <ddeItem name="3218.TW-High" advise="1">
        <values>
          <value>
            <val>48.8</val>
          </value>
        </values>
      </ddeItem>
      <ddeItem name="3218.TW-Low" advise="1">
        <values>
          <value>
            <val>46</val>
          </value>
        </values>
      </ddeItem>
      <ddeItem name="3218.TW-Name" advise="1">
        <values>
          <value t="str">
            <val>大學光</val>
          </value>
        </values>
      </ddeItem>
      <ddeItem name="3218.TW-Open" advise="1">
        <values>
          <value>
            <val>47</val>
          </value>
        </values>
      </ddeItem>
      <ddeItem name="3218.TW-PreTotalVolume" advise="1">
        <values>
          <value>
            <val>6313</val>
          </value>
        </values>
      </ddeItem>
      <ddeItem name="3218.TW-Price" advise="1">
        <values>
          <value>
            <val>48</val>
          </value>
        </values>
      </ddeItem>
      <ddeItem name="3218.TW-PriceChange" advise="1">
        <values>
          <value>
            <val>3.05</val>
          </value>
        </values>
      </ddeItem>
      <ddeItem name="3218.TW-PriceChangeRatio" advise="1">
        <values>
          <value>
            <val>6.79</val>
          </value>
        </values>
      </ddeItem>
      <ddeItem name="3218.TW-TotalVolume" advise="1">
        <values>
          <value>
            <val>10082</val>
          </value>
        </values>
      </ddeItem>
      <ddeItem name="3218.TW-UpLimit" advise="1">
        <values>
          <value>
            <val>49.4</val>
          </value>
        </values>
      </ddeItem>
      <ddeItem name="3218.TW-Volume" advise="1">
        <values>
          <value>
            <val>330</val>
          </value>
        </values>
      </ddeItem>
      <ddeItem name="3438.TW-High" advise="1">
        <values>
          <value>
            <val>33.65</val>
          </value>
        </values>
      </ddeItem>
      <ddeItem name="3438.TW-Low" advise="1">
        <values>
          <value>
            <val>32.049999999999997</val>
          </value>
        </values>
      </ddeItem>
      <ddeItem name="3438.TW-Name" advise="1">
        <values>
          <value t="str">
            <val>類比科</val>
          </value>
        </values>
      </ddeItem>
      <ddeItem name="3438.TW-Open" advise="1">
        <values>
          <value>
            <val>33.6</val>
          </value>
        </values>
      </ddeItem>
      <ddeItem name="3438.TW-PreTotalVolume" advise="1">
        <values>
          <value>
            <val>3332</val>
          </value>
        </values>
      </ddeItem>
      <ddeItem name="3438.TW-Price" advise="1">
        <values>
          <value>
            <val>32.1</val>
          </value>
        </values>
      </ddeItem>
      <ddeItem name="3438.TW-PriceChange" advise="1">
        <values>
          <value>
            <val>-1.75</val>
          </value>
        </values>
      </ddeItem>
      <ddeItem name="3438.TW-PriceChangeRatio" advise="1">
        <values>
          <value>
            <val>-5.17</val>
          </value>
        </values>
      </ddeItem>
      <ddeItem name="3438.TW-TotalVolume" advise="1">
        <values>
          <value>
            <val>1787</val>
          </value>
        </values>
      </ddeItem>
      <ddeItem name="3438.TW-UpLimit" advise="1">
        <values>
          <value>
            <val>37.200000000000003</val>
          </value>
        </values>
      </ddeItem>
      <ddeItem name="3438.TW-Volume" advise="1">
        <values>
          <value>
            <val>130</val>
          </value>
        </values>
      </ddeItem>
      <ddeItem name="3707.TW-High" advise="1">
        <values>
          <value>
            <val>28.2</val>
          </value>
        </values>
      </ddeItem>
      <ddeItem name="3707.TW-Low" advise="1">
        <values>
          <value>
            <val>26.75</val>
          </value>
        </values>
      </ddeItem>
      <ddeItem name="3707.TW-Name" advise="1">
        <values>
          <value t="str">
            <val>漢磊</val>
          </value>
        </values>
      </ddeItem>
      <ddeItem name="3707.TW-Open" advise="1">
        <values>
          <value>
            <val>28.2</val>
          </value>
        </values>
      </ddeItem>
      <ddeItem name="3707.TW-PreTotalVolume" advise="1">
        <values>
          <value>
            <val>16130</val>
          </value>
        </values>
      </ddeItem>
      <ddeItem name="3707.TW-Price" advise="1">
        <values>
          <value>
            <val>27</val>
          </value>
        </values>
      </ddeItem>
      <ddeItem name="3707.TW-PriceChange" advise="1">
        <values>
          <value>
            <val>0.55000000000000004</val>
          </value>
        </values>
      </ddeItem>
      <ddeItem name="3707.TW-PriceChangeRatio" advise="1">
        <values>
          <value>
            <val>2.08</val>
          </value>
        </values>
      </ddeItem>
      <ddeItem name="3707.TW-TotalVolume" advise="1">
        <values>
          <value>
            <val>42093</val>
          </value>
        </values>
      </ddeItem>
      <ddeItem name="3707.TW-UpLimit" advise="1">
        <values>
          <value>
            <val>29.05</val>
          </value>
        </values>
      </ddeItem>
      <ddeItem name="3707.TW-Volume" advise="1">
        <values>
          <value>
            <val>1273</val>
          </value>
        </values>
      </ddeItem>
      <ddeItem name="6194.TW-High" advise="1">
        <values>
          <value>
            <val>24.65</val>
          </value>
        </values>
      </ddeItem>
      <ddeItem name="6194.TW-Low" advise="1">
        <values>
          <value>
            <val>23.55</val>
          </value>
        </values>
      </ddeItem>
      <ddeItem name="6194.TW-Name" advise="1">
        <values>
          <value t="str">
            <val>育富</val>
          </value>
        </values>
      </ddeItem>
      <ddeItem name="6194.TW-Open" advise="1">
        <values>
          <value>
            <val>24.65</val>
          </value>
        </values>
      </ddeItem>
      <ddeItem name="6194.TW-PreTotalVolume" advise="1">
        <values>
          <value>
            <val>5099</val>
          </value>
        </values>
      </ddeItem>
      <ddeItem name="6194.TW-Price" advise="1">
        <values>
          <value>
            <val>23.55</val>
          </value>
        </values>
      </ddeItem>
      <ddeItem name="6194.TW-PriceChange" advise="1">
        <values>
          <value>
            <val>-1.1000000000000001</val>
          </value>
        </values>
      </ddeItem>
      <ddeItem name="6194.TW-PriceChangeRatio" advise="1">
        <values>
          <value>
            <val>-4.46</val>
          </value>
        </values>
      </ddeItem>
      <ddeItem name="6194.TW-TotalVolume" advise="1">
        <values>
          <value>
            <val>3124</val>
          </value>
        </values>
      </ddeItem>
      <ddeItem name="6194.TW-UpLimit" advise="1">
        <values>
          <value>
            <val>27.1</val>
          </value>
        </values>
      </ddeItem>
      <ddeItem name="6194.TW-Volume" advise="1">
        <values>
          <value>
            <val>211</val>
          </value>
        </values>
      </ddeItem>
      <ddeItem name="6231.TW-High" advise="1">
        <values>
          <value>
            <val>75.8</val>
          </value>
        </values>
      </ddeItem>
      <ddeItem name="6231.TW-Low" advise="1">
        <values>
          <value>
            <val>70.2</val>
          </value>
        </values>
      </ddeItem>
      <ddeItem name="6231.TW-Name" advise="1">
        <values>
          <value t="str">
            <val>系微</val>
          </value>
        </values>
      </ddeItem>
      <ddeItem name="6231.TW-Open" advise="1">
        <values>
          <value>
            <val>71.2</val>
          </value>
        </values>
      </ddeItem>
      <ddeItem name="6231.TW-PreTotalVolume" advise="1">
        <values>
          <value>
            <val>7775</val>
          </value>
        </values>
      </ddeItem>
      <ddeItem name="6231.TW-Price" advise="1">
        <values>
          <value>
            <val>75.5</val>
          </value>
        </values>
      </ddeItem>
      <ddeItem name="6231.TW-PriceChange" advise="1">
        <values>
          <value>
            <val>4</val>
          </value>
        </values>
      </ddeItem>
      <ddeItem name="6231.TW-PriceChangeRatio" advise="1">
        <values>
          <value>
            <val>5.59</val>
          </value>
        </values>
      </ddeItem>
      <ddeItem name="6231.TW-TotalVolume" advise="1">
        <values>
          <value>
            <val>2811</val>
          </value>
        </values>
      </ddeItem>
      <ddeItem name="6231.TW-UpLimit" advise="1">
        <values>
          <value>
            <val>78.599999999999994</val>
          </value>
        </values>
      </ddeItem>
      <ddeItem name="6231.TW-Volume" advise="1">
        <values>
          <value>
            <val>99</val>
          </value>
        </values>
      </ddeItem>
      <ddeItem name="6233.TW-High" advise="1">
        <values>
          <value>
            <val>10.4</val>
          </value>
        </values>
      </ddeItem>
      <ddeItem name="6233.TW-Low" advise="1">
        <values>
          <value>
            <val>9.9</val>
          </value>
        </values>
      </ddeItem>
      <ddeItem name="6233.TW-Name" advise="1">
        <values>
          <value t="str">
            <val>旺玖</val>
          </value>
        </values>
      </ddeItem>
      <ddeItem name="6233.TW-Open" advise="1">
        <values>
          <value>
            <val>10.199999999999999</val>
          </value>
        </values>
      </ddeItem>
      <ddeItem name="6233.TW-PreTotalVolume" advise="1">
        <values>
          <value>
            <val>10452</val>
          </value>
        </values>
      </ddeItem>
      <ddeItem name="6233.TW-Price" advise="1">
        <values>
          <value>
            <val>10.25</val>
          </value>
        </values>
      </ddeItem>
      <ddeItem name="6233.TW-PriceChange" advise="1">
        <values>
          <value>
            <val>-0.05</val>
          </value>
        </values>
      </ddeItem>
      <ddeItem name="6233.TW-PriceChangeRatio" advise="1">
        <values>
          <value>
            <val>-0.49</val>
          </value>
        </values>
      </ddeItem>
      <ddeItem name="6233.TW-TotalVolume" advise="1">
        <values>
          <value>
            <val>3750</val>
          </value>
        </values>
      </ddeItem>
      <ddeItem name="6233.TW-UpLimit" advise="1">
        <values>
          <value>
            <val>11.3</val>
          </value>
        </values>
      </ddeItem>
      <ddeItem name="6233.TW-Volume" advise="1">
        <values>
          <value>
            <val>223</val>
          </value>
        </values>
      </ddeItem>
      <ddeItem name="6270.TW-High" advise="1">
        <values>
          <value>
            <val>16.8</val>
          </value>
        </values>
      </ddeItem>
      <ddeItem name="6270.TW-Low" advise="1">
        <values>
          <value>
            <val>15.65</val>
          </value>
        </values>
      </ddeItem>
      <ddeItem name="6270.TW-Name" advise="1">
        <values>
          <value t="str">
            <val>倍微</val>
          </value>
        </values>
      </ddeItem>
      <ddeItem name="6270.TW-Open" advise="1">
        <values>
          <value>
            <val>16.7</val>
          </value>
        </values>
      </ddeItem>
      <ddeItem name="6270.TW-PreTotalVolume" advise="1">
        <values>
          <value>
            <val>9439</val>
          </value>
        </values>
      </ddeItem>
      <ddeItem name="6270.TW-Price" advise="1">
        <values>
          <value>
            <val>16.149999999999999</val>
          </value>
        </values>
      </ddeItem>
      <ddeItem name="6270.TW-PriceChange" advise="1">
        <values>
          <value>
            <val>-0.45</val>
          </value>
        </values>
      </ddeItem>
      <ddeItem name="6270.TW-PriceChangeRatio" advise="1">
        <values>
          <value>
            <val>-2.71</val>
          </value>
        </values>
      </ddeItem>
      <ddeItem name="6270.TW-TotalVolume" advise="1">
        <values>
          <value>
            <val>4527</val>
          </value>
        </values>
      </ddeItem>
      <ddeItem name="6270.TW-UpLimit" advise="1">
        <values>
          <value>
            <val>18.25</val>
          </value>
        </values>
      </ddeItem>
      <ddeItem name="6270.TW-Volume" advise="1">
        <values>
          <value>
            <val>173</val>
          </value>
        </values>
      </ddeItem>
      <ddeItem name="6452.TW-High" advise="1">
        <values>
          <value>
            <val>234.5</val>
          </value>
        </values>
      </ddeItem>
      <ddeItem name="6452.TW-Low" advise="1">
        <values>
          <value>
            <val>226.5</val>
          </value>
        </values>
      </ddeItem>
      <ddeItem name="6452.TW-Name" advise="1">
        <values>
          <value t="str">
            <val>康友-KY</val>
          </value>
        </values>
      </ddeItem>
      <ddeItem name="6452.TW-Open" advise="1">
        <values>
          <value>
            <val>231</val>
          </value>
        </values>
      </ddeItem>
      <ddeItem name="6452.TW-PreTotalVolume" advise="1">
        <values>
          <value>
            <val>3196</val>
          </value>
        </values>
      </ddeItem>
      <ddeItem name="6452.TW-Price" advise="1">
        <values>
          <value>
            <val>227</val>
          </value>
        </values>
      </ddeItem>
      <ddeItem name="6452.TW-PriceChange" advise="1">
        <values>
          <value>
            <val>-1.5</val>
          </value>
        </values>
      </ddeItem>
      <ddeItem name="6452.TW-PriceChangeRatio" advise="1">
        <values>
          <value>
            <val>-0.66</val>
          </value>
        </values>
      </ddeItem>
      <ddeItem name="6452.TW-TotalVolume" advise="1">
        <values>
          <value>
            <val>2115</val>
          </value>
        </values>
      </ddeItem>
      <ddeItem name="6452.TW-UpLimit" advise="1">
        <values>
          <value>
            <val>251</val>
          </value>
        </values>
      </ddeItem>
      <ddeItem name="6452.TW-Volume" advise="1">
        <values>
          <value>
            <val>93</val>
          </value>
        </values>
      </ddeItem>
      <ddeItem name="StdDocumentName" ole="1" advise="1"/>
    </ddeItems>
  </ddeLink>
</externalLink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A12"/>
  <sheetViews>
    <sheetView tabSelected="1" workbookViewId="0">
      <selection activeCell="M2" sqref="M2:AA12"/>
    </sheetView>
  </sheetViews>
  <sheetFormatPr defaultRowHeight="13.8"/>
  <cols>
    <col min="1" max="1" width="8.33203125" style="1" bestFit="1" customWidth="1"/>
    <col min="2" max="6" width="5.77734375" style="1" bestFit="1" customWidth="1"/>
    <col min="7" max="7" width="6.5546875" style="1" bestFit="1" customWidth="1"/>
    <col min="8" max="9" width="5.109375" style="1" bestFit="1" customWidth="1"/>
    <col min="10" max="10" width="10.88671875" style="1" bestFit="1" customWidth="1"/>
    <col min="11" max="11" width="5.77734375" style="1" bestFit="1" customWidth="1"/>
    <col min="12" max="12" width="5.109375" style="1" bestFit="1" customWidth="1"/>
    <col min="13" max="13" width="8.88671875" style="1" bestFit="1" customWidth="1"/>
    <col min="14" max="14" width="7" style="1" bestFit="1" customWidth="1"/>
    <col min="15" max="15" width="8.88671875" style="1" bestFit="1" customWidth="1"/>
    <col min="16" max="16" width="5.88671875" style="1" bestFit="1" customWidth="1"/>
    <col min="17" max="17" width="9" style="1" customWidth="1"/>
    <col min="18" max="18" width="10.88671875" style="1" bestFit="1" customWidth="1"/>
    <col min="19" max="19" width="4" style="1" bestFit="1" customWidth="1"/>
    <col min="20" max="20" width="15" style="1" bestFit="1" customWidth="1"/>
    <col min="21" max="21" width="6.77734375" style="1" customWidth="1"/>
    <col min="22" max="22" width="8.88671875" style="1"/>
    <col min="23" max="23" width="8.6640625" style="1" customWidth="1"/>
    <col min="24" max="24" width="11.21875" style="1" customWidth="1"/>
    <col min="25" max="25" width="11.6640625" style="1" customWidth="1"/>
    <col min="26" max="16384" width="8.88671875" style="1"/>
  </cols>
  <sheetData>
    <row r="1" spans="1:27" ht="14.4" thickBot="1"/>
    <row r="2" spans="1:27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12</v>
      </c>
      <c r="K2" s="1" t="s">
        <v>9</v>
      </c>
      <c r="L2" s="1" t="s">
        <v>10</v>
      </c>
      <c r="M2" s="1" t="s">
        <v>13</v>
      </c>
      <c r="N2" s="1" t="s">
        <v>14</v>
      </c>
      <c r="O2" s="4" t="s">
        <v>15</v>
      </c>
      <c r="P2" s="5" t="s">
        <v>16</v>
      </c>
      <c r="Q2" s="5" t="s">
        <v>20</v>
      </c>
      <c r="R2" s="5" t="s">
        <v>17</v>
      </c>
      <c r="S2" s="5" t="s">
        <v>18</v>
      </c>
      <c r="T2" s="5" t="s">
        <v>21</v>
      </c>
      <c r="U2" s="6" t="s">
        <v>19</v>
      </c>
      <c r="W2" s="4" t="s">
        <v>22</v>
      </c>
      <c r="X2" s="5" t="s">
        <v>6</v>
      </c>
      <c r="Y2" s="5" t="s">
        <v>23</v>
      </c>
      <c r="Z2" s="5" t="s">
        <v>24</v>
      </c>
      <c r="AA2" s="6" t="s">
        <v>11</v>
      </c>
    </row>
    <row r="3" spans="1:27">
      <c r="A3" s="2" t="str">
        <f>[1]!'6233.TW-Name'</f>
        <v>旺玖</v>
      </c>
      <c r="B3" s="2">
        <f>[1]!'6233.TW-Open'</f>
        <v>10.199999999999999</v>
      </c>
      <c r="C3" s="2">
        <f>[1]!'6233.TW-High'</f>
        <v>10.4</v>
      </c>
      <c r="D3" s="2">
        <f>[1]!'6233.TW-UpLimit'</f>
        <v>11.3</v>
      </c>
      <c r="E3" s="2">
        <f>[1]!'6233.TW-Low'</f>
        <v>9.9</v>
      </c>
      <c r="F3" s="2">
        <f>[1]!'6233.TW-Price'</f>
        <v>10.25</v>
      </c>
      <c r="G3" s="2">
        <f>[1]!'6233.TW-PriceChangeRatio'</f>
        <v>-0.49</v>
      </c>
      <c r="H3" s="2">
        <f>[1]!'6233.TW-PriceChange'</f>
        <v>-0.05</v>
      </c>
      <c r="I3" s="2">
        <f>[1]!'6233.TW-Volume'</f>
        <v>223</v>
      </c>
      <c r="J3" s="2">
        <f>[1]!'6233.TW-Price'</f>
        <v>10.25</v>
      </c>
      <c r="K3" s="2">
        <f>[1]!'6233.TW-TotalVolume'</f>
        <v>3750</v>
      </c>
      <c r="L3" s="2">
        <f>[1]!'6233.TW-PreTotalVolume'</f>
        <v>10452</v>
      </c>
      <c r="M3" s="2">
        <v>10.3</v>
      </c>
      <c r="N3" s="2">
        <f>M3*1000</f>
        <v>10300</v>
      </c>
      <c r="O3" s="7">
        <f>B3-M3</f>
        <v>-0.10000000000000142</v>
      </c>
      <c r="P3" s="8">
        <f>O3/J3</f>
        <v>-9.7560975609757485E-3</v>
      </c>
      <c r="Q3" s="9">
        <f>B3*1000</f>
        <v>10200</v>
      </c>
      <c r="R3" s="9">
        <f>IF(ROUNDUP(N3*0.001425,0)&lt;=20,20,ROUNDUP(N3*0.001425,0))</f>
        <v>20</v>
      </c>
      <c r="S3" s="9">
        <f>ROUNDUP(N3*0.003,0)</f>
        <v>31</v>
      </c>
      <c r="T3" s="9">
        <f>IF(ROUNDUP(Q3*0.001425,0)&lt;=20,20,ROUNDUP(Q3*0.001425,0))</f>
        <v>20</v>
      </c>
      <c r="U3" s="10">
        <f>Q3-N3-R3-S3-T3</f>
        <v>-171</v>
      </c>
      <c r="W3" s="11">
        <f>F3-M3</f>
        <v>-5.0000000000000711E-2</v>
      </c>
      <c r="X3" s="9">
        <f>[1]!'6233.TW-PriceChangeRatio'</f>
        <v>-0.49</v>
      </c>
      <c r="Y3" s="13">
        <f>F3*1000</f>
        <v>10250</v>
      </c>
      <c r="Z3" s="13">
        <f>IF(ROUNDUP(Y3*0.001425,0)&lt;=20,20,ROUNDUP(Y3*0.001425,0))</f>
        <v>20</v>
      </c>
      <c r="AA3" s="14">
        <f t="shared" ref="AA3:AA11" si="0">Y3-N3-R3-S3-Z3</f>
        <v>-121</v>
      </c>
    </row>
    <row r="4" spans="1:27">
      <c r="A4" s="1" t="str">
        <f>[1]!'6270.TW-Name'</f>
        <v>倍微</v>
      </c>
      <c r="B4" s="1">
        <f>[1]!'6270.TW-Open'</f>
        <v>16.7</v>
      </c>
      <c r="C4" s="1">
        <f>[1]!'6270.TW-High'</f>
        <v>16.8</v>
      </c>
      <c r="D4" s="1">
        <f>[1]!'6270.TW-UpLimit'</f>
        <v>18.25</v>
      </c>
      <c r="E4" s="1">
        <f>[1]!'6270.TW-Low'</f>
        <v>15.65</v>
      </c>
      <c r="F4" s="1">
        <f>[1]!'6270.TW-Price'</f>
        <v>16.149999999999999</v>
      </c>
      <c r="G4" s="1">
        <f>[1]!'6270.TW-PriceChangeRatio'</f>
        <v>-2.71</v>
      </c>
      <c r="H4" s="1">
        <f>[1]!'6270.TW-PriceChange'</f>
        <v>-0.45</v>
      </c>
      <c r="I4" s="1">
        <f>[1]!'6270.TW-Volume'</f>
        <v>173</v>
      </c>
      <c r="J4" s="1">
        <f>[1]!'6270.TW-Price'</f>
        <v>16.149999999999999</v>
      </c>
      <c r="K4" s="1">
        <f>[1]!'6270.TW-TotalVolume'</f>
        <v>4527</v>
      </c>
      <c r="L4" s="1">
        <f>[1]!'6270.TW-PreTotalVolume'</f>
        <v>9439</v>
      </c>
      <c r="M4" s="1">
        <v>16.600000000000001</v>
      </c>
      <c r="N4" s="1">
        <f t="shared" ref="N4:N11" si="1">M4*1000</f>
        <v>16600</v>
      </c>
      <c r="O4" s="11">
        <f t="shared" ref="O4:O11" si="2">B4-M4</f>
        <v>9.9999999999997868E-2</v>
      </c>
      <c r="P4" s="12">
        <f t="shared" ref="P4:P11" si="3">O4/J4</f>
        <v>6.1919504643961534E-3</v>
      </c>
      <c r="Q4" s="13">
        <f t="shared" ref="Q4:Q11" si="4">B4*1000</f>
        <v>16700</v>
      </c>
      <c r="R4" s="9">
        <f t="shared" ref="R4:R11" si="5">IF(ROUNDUP(N4*0.001425,0)&lt;=20,20,ROUNDUP(N4*0.001425,0))</f>
        <v>24</v>
      </c>
      <c r="S4" s="13">
        <f t="shared" ref="S4:S11" si="6">ROUNDUP(N4*0.003,0)</f>
        <v>50</v>
      </c>
      <c r="T4" s="9">
        <f t="shared" ref="T4:T11" si="7">IF(ROUNDUP(Q4*0.001425,0)&lt;=20,20,ROUNDUP(Q4*0.001425,0))</f>
        <v>24</v>
      </c>
      <c r="U4" s="14">
        <f t="shared" ref="U4:U11" si="8">Q4-N4-R4-S4-T4</f>
        <v>2</v>
      </c>
      <c r="W4" s="11">
        <f t="shared" ref="W4:W11" si="9">F4-M4</f>
        <v>-0.45000000000000284</v>
      </c>
      <c r="X4" s="13">
        <f>[1]!'6270.TW-PriceChangeRatio'</f>
        <v>-2.71</v>
      </c>
      <c r="Y4" s="13">
        <f t="shared" ref="Y4:Y11" si="10">F4*1000</f>
        <v>16149.999999999998</v>
      </c>
      <c r="Z4" s="13">
        <f t="shared" ref="Z4:Z11" si="11">IF(ROUNDUP(Y4*0.001425,0)&lt;=20,20,ROUNDUP(Y4*0.001425,0))</f>
        <v>24</v>
      </c>
      <c r="AA4" s="14">
        <f t="shared" si="0"/>
        <v>-548.00000000000182</v>
      </c>
    </row>
    <row r="5" spans="1:27">
      <c r="A5" s="1" t="str">
        <f>[1]!'3218.TW-Name'</f>
        <v>大學光</v>
      </c>
      <c r="B5" s="1">
        <f>[1]!'3218.TW-Open'</f>
        <v>47</v>
      </c>
      <c r="C5" s="1">
        <f>[1]!'3218.TW-High'</f>
        <v>48.8</v>
      </c>
      <c r="D5" s="1">
        <f>[1]!'3218.TW-UpLimit'</f>
        <v>49.4</v>
      </c>
      <c r="E5" s="1">
        <f>[1]!'3218.TW-Low'</f>
        <v>46</v>
      </c>
      <c r="F5" s="1">
        <f>[1]!'3218.TW-Price'</f>
        <v>48</v>
      </c>
      <c r="G5" s="1">
        <f>[1]!'3218.TW-PriceChangeRatio'</f>
        <v>6.79</v>
      </c>
      <c r="H5" s="1">
        <f>[1]!'3218.TW-PriceChange'</f>
        <v>3.05</v>
      </c>
      <c r="I5" s="1">
        <f>[1]!'3218.TW-Volume'</f>
        <v>330</v>
      </c>
      <c r="J5" s="1">
        <f>[1]!'3218.TW-Price'</f>
        <v>48</v>
      </c>
      <c r="K5" s="1">
        <f>[1]!'3218.TW-TotalVolume'</f>
        <v>10082</v>
      </c>
      <c r="L5" s="1">
        <f>[1]!'3218.TW-PreTotalVolume'</f>
        <v>6313</v>
      </c>
      <c r="M5" s="1">
        <v>44.95</v>
      </c>
      <c r="N5" s="1">
        <f t="shared" si="1"/>
        <v>44950</v>
      </c>
      <c r="O5" s="11">
        <f t="shared" si="2"/>
        <v>2.0499999999999972</v>
      </c>
      <c r="P5" s="12">
        <f t="shared" si="3"/>
        <v>4.2708333333333272E-2</v>
      </c>
      <c r="Q5" s="13">
        <f t="shared" si="4"/>
        <v>47000</v>
      </c>
      <c r="R5" s="9">
        <f t="shared" si="5"/>
        <v>65</v>
      </c>
      <c r="S5" s="13">
        <f t="shared" si="6"/>
        <v>135</v>
      </c>
      <c r="T5" s="9">
        <f t="shared" si="7"/>
        <v>67</v>
      </c>
      <c r="U5" s="14">
        <f t="shared" si="8"/>
        <v>1783</v>
      </c>
      <c r="W5" s="11">
        <f t="shared" si="9"/>
        <v>3.0499999999999972</v>
      </c>
      <c r="X5" s="13">
        <f>[1]!'3218.TW-PriceChangeRatio'</f>
        <v>6.79</v>
      </c>
      <c r="Y5" s="13">
        <f t="shared" si="10"/>
        <v>48000</v>
      </c>
      <c r="Z5" s="13">
        <f t="shared" si="11"/>
        <v>69</v>
      </c>
      <c r="AA5" s="14">
        <f t="shared" si="0"/>
        <v>2781</v>
      </c>
    </row>
    <row r="6" spans="1:27">
      <c r="A6" s="1" t="str">
        <f>[1]!'6194.TW-Name'</f>
        <v>育富</v>
      </c>
      <c r="B6" s="1">
        <f>[1]!'6194.TW-Open'</f>
        <v>24.65</v>
      </c>
      <c r="C6" s="1">
        <f>[1]!'6194.TW-High'</f>
        <v>24.65</v>
      </c>
      <c r="D6" s="1">
        <f>[1]!'6194.TW-UpLimit'</f>
        <v>27.1</v>
      </c>
      <c r="E6" s="1">
        <f>[1]!'6194.TW-Low'</f>
        <v>23.55</v>
      </c>
      <c r="F6" s="1">
        <f>[1]!'6194.TW-Price'</f>
        <v>23.55</v>
      </c>
      <c r="G6" s="1">
        <f>[1]!'6194.TW-PriceChangeRatio'</f>
        <v>-4.46</v>
      </c>
      <c r="H6" s="1">
        <f>[1]!'6194.TW-PriceChange'</f>
        <v>-1.1000000000000001</v>
      </c>
      <c r="I6" s="1">
        <f>[1]!'6194.TW-Volume'</f>
        <v>211</v>
      </c>
      <c r="J6" s="1">
        <f>[1]!'6194.TW-Price'</f>
        <v>23.55</v>
      </c>
      <c r="K6" s="1">
        <f>[1]!'6194.TW-TotalVolume'</f>
        <v>3124</v>
      </c>
      <c r="L6" s="1">
        <f>[1]!'6194.TW-PreTotalVolume'</f>
        <v>5099</v>
      </c>
      <c r="M6" s="1">
        <v>24.65</v>
      </c>
      <c r="N6" s="1">
        <f t="shared" si="1"/>
        <v>24650</v>
      </c>
      <c r="O6" s="11">
        <f t="shared" si="2"/>
        <v>0</v>
      </c>
      <c r="P6" s="12">
        <f t="shared" si="3"/>
        <v>0</v>
      </c>
      <c r="Q6" s="13">
        <f t="shared" si="4"/>
        <v>24650</v>
      </c>
      <c r="R6" s="9">
        <f t="shared" si="5"/>
        <v>36</v>
      </c>
      <c r="S6" s="13">
        <f t="shared" si="6"/>
        <v>74</v>
      </c>
      <c r="T6" s="9">
        <f t="shared" si="7"/>
        <v>36</v>
      </c>
      <c r="U6" s="14">
        <f t="shared" si="8"/>
        <v>-146</v>
      </c>
      <c r="W6" s="11">
        <f t="shared" si="9"/>
        <v>-1.0999999999999979</v>
      </c>
      <c r="X6" s="13">
        <f>[1]!'6194.TW-PriceChangeRatio'</f>
        <v>-4.46</v>
      </c>
      <c r="Y6" s="13">
        <f t="shared" si="10"/>
        <v>23550</v>
      </c>
      <c r="Z6" s="13">
        <f t="shared" si="11"/>
        <v>34</v>
      </c>
      <c r="AA6" s="14">
        <f t="shared" si="0"/>
        <v>-1244</v>
      </c>
    </row>
    <row r="7" spans="1:27">
      <c r="A7" s="1" t="str">
        <f>[1]!'6231.TW-Name'</f>
        <v>系微</v>
      </c>
      <c r="B7" s="1">
        <f>[1]!'6231.TW-Open'</f>
        <v>71.2</v>
      </c>
      <c r="C7" s="1">
        <f>[1]!'6231.TW-High'</f>
        <v>75.8</v>
      </c>
      <c r="D7" s="1">
        <f>[1]!'6231.TW-UpLimit'</f>
        <v>78.599999999999994</v>
      </c>
      <c r="E7" s="1">
        <f>[1]!'6231.TW-Low'</f>
        <v>70.2</v>
      </c>
      <c r="F7" s="1">
        <f>[1]!'6231.TW-Price'</f>
        <v>75.5</v>
      </c>
      <c r="G7" s="1">
        <f>[1]!'6231.TW-PriceChangeRatio'</f>
        <v>5.59</v>
      </c>
      <c r="H7" s="1">
        <f>[1]!'6231.TW-PriceChange'</f>
        <v>4</v>
      </c>
      <c r="I7" s="1">
        <f>[1]!'6231.TW-Volume'</f>
        <v>99</v>
      </c>
      <c r="J7" s="1">
        <f>[1]!'6231.TW-Price'</f>
        <v>75.5</v>
      </c>
      <c r="K7" s="1">
        <f>[1]!'6231.TW-TotalVolume'</f>
        <v>2811</v>
      </c>
      <c r="L7" s="1">
        <f>[1]!'6231.TW-PreTotalVolume'</f>
        <v>7775</v>
      </c>
      <c r="M7" s="1">
        <v>71.5</v>
      </c>
      <c r="N7" s="1">
        <f t="shared" si="1"/>
        <v>71500</v>
      </c>
      <c r="O7" s="11">
        <f t="shared" si="2"/>
        <v>-0.29999999999999716</v>
      </c>
      <c r="P7" s="12">
        <f t="shared" si="3"/>
        <v>-3.9735099337747971E-3</v>
      </c>
      <c r="Q7" s="13">
        <f t="shared" si="4"/>
        <v>71200</v>
      </c>
      <c r="R7" s="9">
        <f t="shared" si="5"/>
        <v>102</v>
      </c>
      <c r="S7" s="13">
        <f t="shared" si="6"/>
        <v>215</v>
      </c>
      <c r="T7" s="9">
        <f t="shared" si="7"/>
        <v>102</v>
      </c>
      <c r="U7" s="14">
        <f t="shared" si="8"/>
        <v>-719</v>
      </c>
      <c r="W7" s="11">
        <f t="shared" si="9"/>
        <v>4</v>
      </c>
      <c r="X7" s="13">
        <f>[1]!'6231.TW-PriceChangeRatio'</f>
        <v>5.59</v>
      </c>
      <c r="Y7" s="13">
        <f t="shared" si="10"/>
        <v>75500</v>
      </c>
      <c r="Z7" s="13">
        <f t="shared" si="11"/>
        <v>108</v>
      </c>
      <c r="AA7" s="14">
        <f t="shared" si="0"/>
        <v>3575</v>
      </c>
    </row>
    <row r="8" spans="1:27">
      <c r="A8" s="1" t="str">
        <f>[1]!'3438.TW-Name'</f>
        <v>類比科</v>
      </c>
      <c r="B8" s="1">
        <f>[1]!'3438.TW-Open'</f>
        <v>33.6</v>
      </c>
      <c r="C8" s="1">
        <f>[1]!'3438.TW-High'</f>
        <v>33.65</v>
      </c>
      <c r="D8" s="1">
        <f>[1]!'3438.TW-UpLimit'</f>
        <v>37.200000000000003</v>
      </c>
      <c r="E8" s="1">
        <f>[1]!'3438.TW-Low'</f>
        <v>32.049999999999997</v>
      </c>
      <c r="F8" s="1">
        <f>[1]!'3438.TW-Price'</f>
        <v>32.1</v>
      </c>
      <c r="G8" s="1">
        <f>[1]!'3438.TW-PriceChangeRatio'</f>
        <v>-5.17</v>
      </c>
      <c r="H8" s="1">
        <f>[1]!'3438.TW-PriceChange'</f>
        <v>-1.75</v>
      </c>
      <c r="I8" s="1">
        <f>[1]!'3438.TW-Volume'</f>
        <v>130</v>
      </c>
      <c r="J8" s="1">
        <f>[1]!'3438.TW-Price'</f>
        <v>32.1</v>
      </c>
      <c r="K8" s="1">
        <f>[1]!'3438.TW-TotalVolume'</f>
        <v>1787</v>
      </c>
      <c r="L8" s="1">
        <f>[1]!'3438.TW-PreTotalVolume'</f>
        <v>3332</v>
      </c>
      <c r="M8" s="1">
        <v>33.85</v>
      </c>
      <c r="N8" s="1">
        <f t="shared" si="1"/>
        <v>33850</v>
      </c>
      <c r="O8" s="11">
        <f t="shared" si="2"/>
        <v>-0.25</v>
      </c>
      <c r="P8" s="12">
        <f t="shared" si="3"/>
        <v>-7.7881619937694704E-3</v>
      </c>
      <c r="Q8" s="13">
        <f t="shared" si="4"/>
        <v>33600</v>
      </c>
      <c r="R8" s="9">
        <f t="shared" si="5"/>
        <v>49</v>
      </c>
      <c r="S8" s="13">
        <f t="shared" si="6"/>
        <v>102</v>
      </c>
      <c r="T8" s="9">
        <f t="shared" si="7"/>
        <v>48</v>
      </c>
      <c r="U8" s="14">
        <f t="shared" si="8"/>
        <v>-449</v>
      </c>
      <c r="W8" s="11">
        <f t="shared" si="9"/>
        <v>-1.75</v>
      </c>
      <c r="X8" s="13">
        <f>[1]!'3438.TW-PriceChangeRatio'</f>
        <v>-5.17</v>
      </c>
      <c r="Y8" s="13">
        <f t="shared" si="10"/>
        <v>32100</v>
      </c>
      <c r="Z8" s="13">
        <f t="shared" si="11"/>
        <v>46</v>
      </c>
      <c r="AA8" s="14">
        <f t="shared" si="0"/>
        <v>-1947</v>
      </c>
    </row>
    <row r="9" spans="1:27">
      <c r="A9" s="1" t="str">
        <f>[1]!'6452.TW-Name'</f>
        <v>康友-KY</v>
      </c>
      <c r="B9" s="1">
        <f>[1]!'6452.TW-Open'</f>
        <v>231</v>
      </c>
      <c r="C9" s="1">
        <f>[1]!'6452.TW-High'</f>
        <v>234.5</v>
      </c>
      <c r="D9" s="1">
        <f>[1]!'6452.TW-UpLimit'</f>
        <v>251</v>
      </c>
      <c r="E9" s="1">
        <f>[1]!'6452.TW-Low'</f>
        <v>226.5</v>
      </c>
      <c r="F9" s="1">
        <f>[1]!'6452.TW-Price'</f>
        <v>227</v>
      </c>
      <c r="G9" s="1">
        <f>[1]!'6452.TW-PriceChangeRatio'</f>
        <v>-0.66</v>
      </c>
      <c r="H9" s="1">
        <f>[1]!'6452.TW-PriceChange'</f>
        <v>-1.5</v>
      </c>
      <c r="I9" s="1">
        <f>[1]!'6452.TW-Volume'</f>
        <v>93</v>
      </c>
      <c r="J9" s="1">
        <f>[1]!'6452.TW-Price'</f>
        <v>227</v>
      </c>
      <c r="K9" s="1">
        <f>[1]!'6452.TW-TotalVolume'</f>
        <v>2115</v>
      </c>
      <c r="L9" s="1">
        <f>[1]!'6452.TW-PreTotalVolume'</f>
        <v>3196</v>
      </c>
      <c r="M9" s="1">
        <v>228.5</v>
      </c>
      <c r="N9" s="1">
        <f t="shared" si="1"/>
        <v>228500</v>
      </c>
      <c r="O9" s="11">
        <f t="shared" si="2"/>
        <v>2.5</v>
      </c>
      <c r="P9" s="12">
        <f t="shared" si="3"/>
        <v>1.1013215859030838E-2</v>
      </c>
      <c r="Q9" s="13">
        <f t="shared" si="4"/>
        <v>231000</v>
      </c>
      <c r="R9" s="9">
        <f t="shared" si="5"/>
        <v>326</v>
      </c>
      <c r="S9" s="13">
        <f t="shared" si="6"/>
        <v>686</v>
      </c>
      <c r="T9" s="9">
        <f t="shared" si="7"/>
        <v>330</v>
      </c>
      <c r="U9" s="14">
        <f t="shared" si="8"/>
        <v>1158</v>
      </c>
      <c r="W9" s="11">
        <f t="shared" si="9"/>
        <v>-1.5</v>
      </c>
      <c r="X9" s="13">
        <f>[1]!'6452.TW-PriceChangeRatio'</f>
        <v>-0.66</v>
      </c>
      <c r="Y9" s="13">
        <f t="shared" si="10"/>
        <v>227000</v>
      </c>
      <c r="Z9" s="13">
        <f t="shared" si="11"/>
        <v>324</v>
      </c>
      <c r="AA9" s="14">
        <f t="shared" si="0"/>
        <v>-2836</v>
      </c>
    </row>
    <row r="10" spans="1:27">
      <c r="A10" s="1" t="str">
        <f>[1]!'3707.TW-Name'</f>
        <v>漢磊</v>
      </c>
      <c r="B10" s="1">
        <f>[1]!'3707.TW-Open'</f>
        <v>28.2</v>
      </c>
      <c r="C10" s="1">
        <f>[1]!'3707.TW-High'</f>
        <v>28.2</v>
      </c>
      <c r="D10" s="1">
        <f>[1]!'3707.TW-UpLimit'</f>
        <v>29.05</v>
      </c>
      <c r="E10" s="1">
        <f>[1]!'3707.TW-Low'</f>
        <v>26.75</v>
      </c>
      <c r="F10" s="1">
        <f>[1]!'3707.TW-Price'</f>
        <v>27</v>
      </c>
      <c r="G10" s="1">
        <f>[1]!'3707.TW-PriceChangeRatio'</f>
        <v>2.08</v>
      </c>
      <c r="H10" s="1">
        <f>[1]!'3707.TW-PriceChange'</f>
        <v>0.55000000000000004</v>
      </c>
      <c r="I10" s="1">
        <f>[1]!'3707.TW-Volume'</f>
        <v>1273</v>
      </c>
      <c r="J10" s="1">
        <f>[1]!'3707.TW-Price'</f>
        <v>27</v>
      </c>
      <c r="K10" s="1">
        <f>[1]!'3707.TW-TotalVolume'</f>
        <v>42093</v>
      </c>
      <c r="L10" s="1">
        <f>[1]!'3707.TW-PreTotalVolume'</f>
        <v>16130</v>
      </c>
      <c r="M10" s="1">
        <v>26.45</v>
      </c>
      <c r="N10" s="1">
        <f t="shared" si="1"/>
        <v>26450</v>
      </c>
      <c r="O10" s="11">
        <f t="shared" si="2"/>
        <v>1.75</v>
      </c>
      <c r="P10" s="12">
        <f t="shared" si="3"/>
        <v>6.4814814814814811E-2</v>
      </c>
      <c r="Q10" s="13">
        <f t="shared" si="4"/>
        <v>28200</v>
      </c>
      <c r="R10" s="9">
        <f t="shared" si="5"/>
        <v>38</v>
      </c>
      <c r="S10" s="13">
        <f t="shared" si="6"/>
        <v>80</v>
      </c>
      <c r="T10" s="9">
        <f t="shared" si="7"/>
        <v>41</v>
      </c>
      <c r="U10" s="14">
        <f t="shared" si="8"/>
        <v>1591</v>
      </c>
      <c r="W10" s="11">
        <f t="shared" si="9"/>
        <v>0.55000000000000071</v>
      </c>
      <c r="X10" s="13">
        <f>[1]!'3707.TW-PriceChangeRatio'</f>
        <v>2.08</v>
      </c>
      <c r="Y10" s="13">
        <f t="shared" si="10"/>
        <v>27000</v>
      </c>
      <c r="Z10" s="13">
        <f t="shared" si="11"/>
        <v>39</v>
      </c>
      <c r="AA10" s="14">
        <f t="shared" si="0"/>
        <v>393</v>
      </c>
    </row>
    <row r="11" spans="1:27" ht="14.4" thickBot="1">
      <c r="A11" s="1" t="str">
        <f>[1]!'3016.TW-Name'</f>
        <v>嘉晶</v>
      </c>
      <c r="B11" s="1">
        <f>[1]!'3016.TW-Open'</f>
        <v>51.6</v>
      </c>
      <c r="C11" s="1">
        <f>[1]!'3016.TW-High'</f>
        <v>51.6</v>
      </c>
      <c r="D11" s="1">
        <f>[1]!'3016.TW-UpLimit'</f>
        <v>56.3</v>
      </c>
      <c r="E11" s="1">
        <f>[1]!'3016.TW-Low'</f>
        <v>49.75</v>
      </c>
      <c r="F11" s="1">
        <f>[1]!'3016.TW-Price'</f>
        <v>49.75</v>
      </c>
      <c r="G11" s="1">
        <f>[1]!'3016.TW-PriceChangeRatio'</f>
        <v>-2.83</v>
      </c>
      <c r="H11" s="1">
        <f>[1]!'3016.TW-PriceChange'</f>
        <v>-1.45</v>
      </c>
      <c r="I11" s="1">
        <f>[1]!'3016.TW-Volume'</f>
        <v>882</v>
      </c>
      <c r="J11" s="1">
        <f>[1]!'3016.TW-Price'</f>
        <v>49.75</v>
      </c>
      <c r="K11" s="1">
        <f>[1]!'3016.TW-TotalVolume'</f>
        <v>13257</v>
      </c>
      <c r="L11" s="1">
        <f>[1]!'3016.TW-PreTotalVolume'</f>
        <v>25217</v>
      </c>
      <c r="M11" s="1">
        <v>51.2</v>
      </c>
      <c r="N11" s="1">
        <f t="shared" si="1"/>
        <v>51200</v>
      </c>
      <c r="O11" s="15">
        <f t="shared" si="2"/>
        <v>0.39999999999999858</v>
      </c>
      <c r="P11" s="16">
        <f t="shared" si="3"/>
        <v>8.040201005025097E-3</v>
      </c>
      <c r="Q11" s="17">
        <f t="shared" si="4"/>
        <v>51600</v>
      </c>
      <c r="R11" s="20">
        <f t="shared" si="5"/>
        <v>73</v>
      </c>
      <c r="S11" s="17">
        <f t="shared" si="6"/>
        <v>154</v>
      </c>
      <c r="T11" s="20">
        <f t="shared" si="7"/>
        <v>74</v>
      </c>
      <c r="U11" s="18">
        <f t="shared" si="8"/>
        <v>99</v>
      </c>
      <c r="W11" s="15">
        <f t="shared" si="9"/>
        <v>-1.4500000000000028</v>
      </c>
      <c r="X11" s="17">
        <f>[1]!'3016.TW-PriceChangeRatio'</f>
        <v>-2.83</v>
      </c>
      <c r="Y11" s="17">
        <f t="shared" si="10"/>
        <v>49750</v>
      </c>
      <c r="Z11" s="13">
        <f t="shared" si="11"/>
        <v>71</v>
      </c>
      <c r="AA11" s="18">
        <f t="shared" si="0"/>
        <v>-1748</v>
      </c>
    </row>
    <row r="12" spans="1:27">
      <c r="U12" s="3">
        <f>SUM(U4:U11)</f>
        <v>3319</v>
      </c>
      <c r="AA12" s="19">
        <f>SUM(AA4:AA11)</f>
        <v>-1574.0000000000018</v>
      </c>
    </row>
  </sheetData>
  <phoneticPr fontId="1" type="noConversion"/>
  <conditionalFormatting sqref="U12">
    <cfRule type="cellIs" dxfId="3" priority="3" operator="lessThan">
      <formula>0</formula>
    </cfRule>
    <cfRule type="cellIs" dxfId="2" priority="4" operator="greaterThan">
      <formula>0</formula>
    </cfRule>
  </conditionalFormatting>
  <conditionalFormatting sqref="AA12">
    <cfRule type="cellIs" dxfId="1" priority="2" operator="greaterThan">
      <formula>0</formula>
    </cfRule>
    <cfRule type="cellIs" dxfId="0" priority="1" operator="lessThan">
      <formula>0</formula>
    </cfRule>
  </conditionalFormatting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2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2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sunnywin99</dc:creator>
  <cp:lastModifiedBy>sunnywin99</cp:lastModifiedBy>
  <dcterms:created xsi:type="dcterms:W3CDTF">2019-08-28T22:33:06Z</dcterms:created>
  <dcterms:modified xsi:type="dcterms:W3CDTF">2019-08-30T00:03:58Z</dcterms:modified>
</cp:coreProperties>
</file>