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D:\working\waccache\SG2PEPF0010388F\EXCELCNV\06cd4c8e-f7bc-4524-8358-9e73552d7082\"/>
    </mc:Choice>
  </mc:AlternateContent>
  <xr:revisionPtr revIDLastSave="0" documentId="8_{A4B94FC9-898D-426D-979C-C1CB43B8E94C}" xr6:coauthVersionLast="47" xr6:coauthVersionMax="47" xr10:uidLastSave="{00000000-0000-0000-0000-000000000000}"/>
  <bookViews>
    <workbookView xWindow="-60" yWindow="-60" windowWidth="15480" windowHeight="11640" firstSheet="1" activeTab="1" xr2:uid="{A1C19067-5CF6-4870-9DE3-1EF57BA6C986}"/>
  </bookViews>
  <sheets>
    <sheet name="Content" sheetId="27" r:id="rId1"/>
    <sheet name="Financial Indicator &amp; Ratios" sheetId="15" r:id="rId2"/>
    <sheet name="WC Assessment" sheetId="16" r:id="rId3"/>
    <sheet name="Limit Proposed" sheetId="17" r:id="rId4"/>
    <sheet name="Profit &amp; Loss Statement" sheetId="12" r:id="rId5"/>
    <sheet name="Balance Sheet" sheetId="13" r:id="rId6"/>
    <sheet name="Balance Sheet2" sheetId="14" r:id="rId7"/>
    <sheet name="Fund Flow" sheetId="21" r:id="rId8"/>
    <sheet name="Fund Flow2" sheetId="20" r:id="rId9"/>
    <sheet name="Summary Sheet" sheetId="22" r:id="rId10"/>
    <sheet name="Ratio" sheetId="23" r:id="rId11"/>
    <sheet name="DSCR" sheetId="25" r:id="rId12"/>
  </sheets>
  <definedNames>
    <definedName name="_xlnm.Print_Area" localSheetId="5">'Balance Sheet'!$A$1:$S$53</definedName>
    <definedName name="_xlnm.Print_Area" localSheetId="6">'Balance Sheet2'!$A$1:$S$54</definedName>
    <definedName name="_xlnm.Print_Area" localSheetId="1">'Financial Indicator &amp; Ratios'!$A$1:$H$59</definedName>
    <definedName name="_xlnm.Print_Area" localSheetId="8">'Fund Flow2'!$A$1:$G$59</definedName>
    <definedName name="_xlnm.Print_Area" localSheetId="3">'Limit Proposed'!$A$1:$L$61</definedName>
    <definedName name="_xlnm.Print_Area" localSheetId="4">'Profit &amp; Loss Statement'!$A$1:$I$61</definedName>
    <definedName name="_xlnm.Print_Area" localSheetId="9">'Summary Sheet'!$A$1:$F$34</definedName>
    <definedName name="_xlnm.Print_Area" localSheetId="2">'WC Assessment'!$A$1:$H$55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6" l="1"/>
  <c r="F5" i="16"/>
  <c r="G5" i="16"/>
  <c r="G23" i="16"/>
  <c r="D5" i="16"/>
  <c r="D23" i="16"/>
  <c r="D6" i="16"/>
  <c r="D5" i="22"/>
  <c r="E5" i="22"/>
  <c r="F5" i="22"/>
  <c r="G5" i="22"/>
  <c r="H5" i="22"/>
  <c r="I5" i="22"/>
  <c r="J5" i="22"/>
  <c r="C5" i="22"/>
  <c r="D6" i="21"/>
  <c r="D32" i="14"/>
  <c r="E32" i="14"/>
  <c r="D6" i="22"/>
  <c r="D12" i="12"/>
  <c r="D41" i="12"/>
  <c r="D31" i="12"/>
  <c r="D35" i="12"/>
  <c r="D39" i="12"/>
  <c r="D24" i="15"/>
  <c r="D52" i="12"/>
  <c r="E12" i="12"/>
  <c r="E31" i="12"/>
  <c r="E33" i="12"/>
  <c r="E35" i="12"/>
  <c r="E39" i="12"/>
  <c r="E41" i="12"/>
  <c r="E47" i="12"/>
  <c r="E54" i="12"/>
  <c r="E36" i="12"/>
  <c r="E52" i="12"/>
  <c r="D8" i="22"/>
  <c r="D22" i="14"/>
  <c r="E22" i="14"/>
  <c r="J49" i="13"/>
  <c r="J14" i="13"/>
  <c r="J51" i="13"/>
  <c r="I49" i="13"/>
  <c r="I51" i="13"/>
  <c r="I14" i="13"/>
  <c r="H49" i="13"/>
  <c r="H14" i="13"/>
  <c r="H51" i="13"/>
  <c r="G49" i="13"/>
  <c r="G14" i="13"/>
  <c r="G51" i="13"/>
  <c r="F49" i="13"/>
  <c r="F14" i="13"/>
  <c r="F51" i="13"/>
  <c r="E49" i="13"/>
  <c r="E14" i="13"/>
  <c r="E51" i="13"/>
  <c r="B8" i="25"/>
  <c r="B10" i="25"/>
  <c r="C8" i="25"/>
  <c r="J8" i="25"/>
  <c r="J10" i="25"/>
  <c r="D8" i="25"/>
  <c r="E8" i="25"/>
  <c r="F8" i="25"/>
  <c r="G8" i="25"/>
  <c r="H8" i="25"/>
  <c r="I8" i="25"/>
  <c r="I10" i="25"/>
  <c r="J9" i="25"/>
  <c r="J6" i="25"/>
  <c r="J5" i="25"/>
  <c r="H10" i="25"/>
  <c r="G10" i="25"/>
  <c r="F10" i="25"/>
  <c r="E10" i="25"/>
  <c r="D10" i="25"/>
  <c r="I4" i="25"/>
  <c r="H4" i="25"/>
  <c r="G4" i="25"/>
  <c r="F4" i="25"/>
  <c r="E4" i="25"/>
  <c r="D4" i="25"/>
  <c r="C4" i="25"/>
  <c r="B4" i="25"/>
  <c r="J4" i="25"/>
  <c r="K12" i="12"/>
  <c r="K31" i="12"/>
  <c r="K33" i="12"/>
  <c r="K35" i="12"/>
  <c r="K39" i="12"/>
  <c r="K41" i="12"/>
  <c r="K47" i="12"/>
  <c r="K54" i="12"/>
  <c r="K36" i="12"/>
  <c r="K52" i="12"/>
  <c r="J12" i="12"/>
  <c r="I23" i="22"/>
  <c r="J31" i="12"/>
  <c r="J35" i="12"/>
  <c r="J39" i="12"/>
  <c r="J41" i="12"/>
  <c r="J47" i="12"/>
  <c r="J54" i="12"/>
  <c r="J33" i="12"/>
  <c r="J36" i="12"/>
  <c r="J52" i="12"/>
  <c r="I12" i="12"/>
  <c r="I31" i="12"/>
  <c r="I35" i="12"/>
  <c r="I39" i="12"/>
  <c r="I33" i="12"/>
  <c r="I36" i="12"/>
  <c r="I52" i="12"/>
  <c r="H12" i="12"/>
  <c r="H41" i="12"/>
  <c r="H47" i="12"/>
  <c r="H54" i="12"/>
  <c r="H31" i="12"/>
  <c r="H35" i="12"/>
  <c r="H39" i="12"/>
  <c r="H33" i="12"/>
  <c r="H36" i="12"/>
  <c r="H52" i="12"/>
  <c r="G12" i="12"/>
  <c r="G31" i="12"/>
  <c r="G33" i="12"/>
  <c r="G35" i="12"/>
  <c r="G39" i="12"/>
  <c r="G41" i="12"/>
  <c r="G47" i="12"/>
  <c r="G54" i="12"/>
  <c r="G36" i="12"/>
  <c r="G52" i="12"/>
  <c r="F12" i="12"/>
  <c r="F31" i="12"/>
  <c r="F33" i="12"/>
  <c r="F35" i="12"/>
  <c r="F36" i="12"/>
  <c r="F39" i="12"/>
  <c r="F41" i="12"/>
  <c r="F47" i="12"/>
  <c r="F54" i="12"/>
  <c r="F52" i="12"/>
  <c r="J23" i="22"/>
  <c r="J22" i="22"/>
  <c r="I22" i="22"/>
  <c r="J21" i="22"/>
  <c r="J20" i="22"/>
  <c r="I21" i="22"/>
  <c r="I20" i="22"/>
  <c r="J15" i="22"/>
  <c r="I15" i="22"/>
  <c r="J8" i="22"/>
  <c r="I8" i="22"/>
  <c r="J4" i="22"/>
  <c r="I4" i="22"/>
  <c r="I28" i="20"/>
  <c r="H28" i="20"/>
  <c r="I26" i="20"/>
  <c r="H26" i="20"/>
  <c r="I22" i="20"/>
  <c r="H22" i="20"/>
  <c r="I20" i="20"/>
  <c r="H20" i="20"/>
  <c r="I16" i="20"/>
  <c r="H16" i="20"/>
  <c r="I14" i="20"/>
  <c r="H14" i="20"/>
  <c r="I10" i="20"/>
  <c r="H10" i="20"/>
  <c r="J42" i="21"/>
  <c r="I42" i="21"/>
  <c r="J40" i="21"/>
  <c r="I40" i="21"/>
  <c r="J36" i="21"/>
  <c r="I36" i="21"/>
  <c r="J34" i="21"/>
  <c r="I34" i="21"/>
  <c r="J30" i="21"/>
  <c r="I30" i="21"/>
  <c r="J28" i="21"/>
  <c r="I28" i="21"/>
  <c r="J22" i="21"/>
  <c r="I22" i="21"/>
  <c r="J16" i="21"/>
  <c r="I16" i="21"/>
  <c r="J14" i="21"/>
  <c r="I14" i="21"/>
  <c r="J10" i="21"/>
  <c r="I10" i="21"/>
  <c r="J6" i="21"/>
  <c r="I6" i="20"/>
  <c r="I6" i="21"/>
  <c r="H6" i="20"/>
  <c r="J5" i="21"/>
  <c r="I5" i="20"/>
  <c r="I5" i="21"/>
  <c r="H5" i="20"/>
  <c r="C53" i="13"/>
  <c r="C54" i="14"/>
  <c r="N10" i="14"/>
  <c r="N13" i="14"/>
  <c r="U43" i="14"/>
  <c r="J16" i="22"/>
  <c r="T43" i="14"/>
  <c r="I16" i="22"/>
  <c r="O8" i="14"/>
  <c r="U35" i="13"/>
  <c r="T35" i="13"/>
  <c r="U33" i="13"/>
  <c r="T33" i="13"/>
  <c r="I24" i="20"/>
  <c r="T51" i="13"/>
  <c r="J4" i="13"/>
  <c r="I4" i="13"/>
  <c r="I4" i="14"/>
  <c r="J3" i="13"/>
  <c r="J3" i="14"/>
  <c r="I3" i="13"/>
  <c r="I3" i="14"/>
  <c r="C6" i="22"/>
  <c r="S43" i="14"/>
  <c r="R43" i="14"/>
  <c r="G16" i="22"/>
  <c r="Q43" i="14"/>
  <c r="P43" i="14"/>
  <c r="E16" i="22"/>
  <c r="O43" i="14"/>
  <c r="E25" i="14"/>
  <c r="D25" i="14"/>
  <c r="H36" i="21"/>
  <c r="D49" i="13"/>
  <c r="D14" i="13"/>
  <c r="D51" i="13"/>
  <c r="C14" i="13"/>
  <c r="D34" i="21"/>
  <c r="D12" i="22"/>
  <c r="C12" i="22"/>
  <c r="C5" i="15"/>
  <c r="D5" i="15"/>
  <c r="E5" i="15"/>
  <c r="F5" i="15"/>
  <c r="G5" i="15"/>
  <c r="H5" i="15"/>
  <c r="D7" i="15"/>
  <c r="D35" i="15"/>
  <c r="D9" i="15"/>
  <c r="F9" i="15"/>
  <c r="G9" i="15"/>
  <c r="H9" i="15"/>
  <c r="C11" i="15"/>
  <c r="C43" i="15"/>
  <c r="D21" i="15"/>
  <c r="F21" i="15"/>
  <c r="G21" i="15"/>
  <c r="H21" i="15"/>
  <c r="D27" i="15"/>
  <c r="F27" i="15"/>
  <c r="G27" i="15"/>
  <c r="H27" i="15"/>
  <c r="C31" i="15"/>
  <c r="E31" i="15"/>
  <c r="E41" i="15"/>
  <c r="E43" i="15"/>
  <c r="D47" i="15"/>
  <c r="F47" i="15"/>
  <c r="G47" i="15"/>
  <c r="H47" i="15"/>
  <c r="E49" i="15"/>
  <c r="E51" i="15"/>
  <c r="G2" i="16"/>
  <c r="E23" i="16"/>
  <c r="F23" i="16"/>
  <c r="D24" i="16"/>
  <c r="E6" i="16"/>
  <c r="F2" i="16"/>
  <c r="F3" i="16"/>
  <c r="F6" i="16"/>
  <c r="F24" i="16"/>
  <c r="G6" i="16"/>
  <c r="G24" i="16"/>
  <c r="H19" i="16"/>
  <c r="H23" i="16"/>
  <c r="E24" i="16"/>
  <c r="D26" i="16"/>
  <c r="D27" i="16"/>
  <c r="E26" i="16"/>
  <c r="F26" i="16"/>
  <c r="F27" i="16"/>
  <c r="G26" i="16"/>
  <c r="G27" i="16"/>
  <c r="E27" i="16"/>
  <c r="D28" i="16"/>
  <c r="D29" i="16"/>
  <c r="E28" i="16"/>
  <c r="E29" i="16"/>
  <c r="F28" i="16"/>
  <c r="F29" i="16"/>
  <c r="G28" i="16"/>
  <c r="G29" i="16"/>
  <c r="D34" i="16"/>
  <c r="D35" i="16"/>
  <c r="E34" i="16"/>
  <c r="E35" i="16"/>
  <c r="F34" i="16"/>
  <c r="G34" i="16"/>
  <c r="G35" i="16"/>
  <c r="F35" i="16"/>
  <c r="D36" i="16"/>
  <c r="D37" i="16"/>
  <c r="E36" i="16"/>
  <c r="F36" i="16"/>
  <c r="F37" i="16"/>
  <c r="G36" i="16"/>
  <c r="E37" i="16"/>
  <c r="G37" i="16"/>
  <c r="D38" i="16"/>
  <c r="D39" i="16"/>
  <c r="E38" i="16"/>
  <c r="F38" i="16"/>
  <c r="G38" i="16"/>
  <c r="E39" i="16"/>
  <c r="F39" i="16"/>
  <c r="G39" i="16"/>
  <c r="D40" i="16"/>
  <c r="D41" i="16"/>
  <c r="E40" i="16"/>
  <c r="F40" i="16"/>
  <c r="F41" i="16"/>
  <c r="G40" i="16"/>
  <c r="E41" i="16"/>
  <c r="G41" i="16"/>
  <c r="D42" i="16"/>
  <c r="E42" i="16"/>
  <c r="F42" i="16"/>
  <c r="G42" i="16"/>
  <c r="C45" i="16"/>
  <c r="H45" i="16"/>
  <c r="H10" i="16"/>
  <c r="H13" i="16"/>
  <c r="H53" i="16"/>
  <c r="H11" i="16"/>
  <c r="D47" i="16"/>
  <c r="D48" i="16"/>
  <c r="E47" i="16"/>
  <c r="E48" i="16"/>
  <c r="F47" i="16"/>
  <c r="F48" i="16"/>
  <c r="G47" i="16"/>
  <c r="G48" i="16"/>
  <c r="D49" i="16"/>
  <c r="E49" i="16"/>
  <c r="F49" i="16"/>
  <c r="G49" i="16"/>
  <c r="G53" i="16"/>
  <c r="D51" i="16"/>
  <c r="E51" i="16"/>
  <c r="E53" i="16"/>
  <c r="E59" i="16"/>
  <c r="F51" i="16"/>
  <c r="G51" i="16"/>
  <c r="C53" i="16"/>
  <c r="B55" i="16"/>
  <c r="C61" i="17"/>
  <c r="C38" i="17"/>
  <c r="D38" i="17"/>
  <c r="C59" i="17"/>
  <c r="D59" i="17"/>
  <c r="F23" i="15"/>
  <c r="G23" i="15"/>
  <c r="H23" i="15"/>
  <c r="H45" i="15"/>
  <c r="C3" i="13"/>
  <c r="C3" i="14"/>
  <c r="D3" i="13"/>
  <c r="O3" i="13"/>
  <c r="O3" i="14"/>
  <c r="E3" i="13"/>
  <c r="E3" i="14"/>
  <c r="F3" i="13"/>
  <c r="Q3" i="13"/>
  <c r="Q3" i="14"/>
  <c r="G3" i="13"/>
  <c r="G3" i="14"/>
  <c r="H3" i="13"/>
  <c r="S3" i="13"/>
  <c r="S3" i="14"/>
  <c r="P3" i="13"/>
  <c r="P3" i="14"/>
  <c r="C4" i="13"/>
  <c r="N4" i="13"/>
  <c r="N4" i="14"/>
  <c r="D4" i="13"/>
  <c r="O4" i="13"/>
  <c r="O4" i="14"/>
  <c r="E4" i="13"/>
  <c r="E4" i="14"/>
  <c r="F4" i="13"/>
  <c r="F4" i="14"/>
  <c r="G4" i="13"/>
  <c r="R4" i="13"/>
  <c r="R4" i="14"/>
  <c r="H4" i="13"/>
  <c r="S4" i="13"/>
  <c r="S4" i="14"/>
  <c r="N33" i="13"/>
  <c r="O33" i="13"/>
  <c r="O35" i="13"/>
  <c r="O51" i="13"/>
  <c r="P33" i="13"/>
  <c r="P51" i="13"/>
  <c r="E17" i="22"/>
  <c r="P35" i="13"/>
  <c r="Q33" i="13"/>
  <c r="Q35" i="13"/>
  <c r="Q51" i="13"/>
  <c r="R33" i="13"/>
  <c r="R35" i="13"/>
  <c r="F32" i="16"/>
  <c r="F45" i="16"/>
  <c r="S33" i="13"/>
  <c r="S35" i="13"/>
  <c r="S51" i="13"/>
  <c r="N35" i="13"/>
  <c r="N51" i="13"/>
  <c r="D32" i="16"/>
  <c r="E32" i="16"/>
  <c r="G32" i="16"/>
  <c r="C49" i="13"/>
  <c r="D36" i="21"/>
  <c r="M3" i="14"/>
  <c r="C25" i="14"/>
  <c r="N43" i="14"/>
  <c r="D5" i="21"/>
  <c r="C5" i="20"/>
  <c r="E5" i="21"/>
  <c r="D5" i="20"/>
  <c r="F5" i="21"/>
  <c r="E5" i="20"/>
  <c r="G5" i="21"/>
  <c r="H5" i="21"/>
  <c r="G5" i="20"/>
  <c r="C6" i="20"/>
  <c r="E6" i="21"/>
  <c r="D6" i="20"/>
  <c r="F6" i="21"/>
  <c r="G6" i="21"/>
  <c r="F6" i="20"/>
  <c r="H6" i="21"/>
  <c r="G6" i="20"/>
  <c r="D10" i="21"/>
  <c r="E10" i="21"/>
  <c r="F10" i="21"/>
  <c r="G10" i="21"/>
  <c r="H10" i="21"/>
  <c r="D14" i="21"/>
  <c r="E14" i="21"/>
  <c r="F14" i="21"/>
  <c r="G14" i="21"/>
  <c r="H14" i="21"/>
  <c r="D16" i="21"/>
  <c r="E16" i="21"/>
  <c r="F16" i="21"/>
  <c r="G16" i="21"/>
  <c r="H16" i="21"/>
  <c r="D22" i="21"/>
  <c r="E22" i="21"/>
  <c r="F22" i="21"/>
  <c r="G22" i="21"/>
  <c r="H22" i="21"/>
  <c r="D24" i="21"/>
  <c r="D28" i="21"/>
  <c r="E28" i="21"/>
  <c r="F28" i="21"/>
  <c r="G28" i="21"/>
  <c r="H28" i="21"/>
  <c r="D30" i="21"/>
  <c r="E30" i="21"/>
  <c r="F30" i="21"/>
  <c r="G30" i="21"/>
  <c r="H30" i="21"/>
  <c r="D40" i="21"/>
  <c r="E40" i="21"/>
  <c r="F40" i="21"/>
  <c r="G40" i="21"/>
  <c r="H40" i="21"/>
  <c r="D42" i="21"/>
  <c r="E42" i="21"/>
  <c r="F42" i="21"/>
  <c r="G42" i="21"/>
  <c r="H42" i="21"/>
  <c r="D46" i="21"/>
  <c r="F5" i="20"/>
  <c r="E6" i="20"/>
  <c r="C10" i="20"/>
  <c r="D10" i="20"/>
  <c r="E10" i="20"/>
  <c r="F10" i="20"/>
  <c r="G10" i="20"/>
  <c r="C12" i="20"/>
  <c r="C14" i="20"/>
  <c r="D14" i="20"/>
  <c r="E14" i="20"/>
  <c r="F14" i="20"/>
  <c r="G14" i="20"/>
  <c r="C16" i="20"/>
  <c r="D16" i="20"/>
  <c r="E16" i="20"/>
  <c r="F16" i="20"/>
  <c r="G16" i="20"/>
  <c r="C26" i="20"/>
  <c r="D26" i="20"/>
  <c r="E26" i="20"/>
  <c r="F26" i="20"/>
  <c r="G26" i="20"/>
  <c r="C28" i="20"/>
  <c r="D28" i="20"/>
  <c r="E28" i="20"/>
  <c r="F28" i="20"/>
  <c r="G28" i="20"/>
  <c r="C59" i="20"/>
  <c r="C4" i="22"/>
  <c r="C3" i="23"/>
  <c r="D4" i="22"/>
  <c r="D3" i="23"/>
  <c r="E4" i="22"/>
  <c r="E3" i="23"/>
  <c r="F4" i="22"/>
  <c r="F3" i="23"/>
  <c r="G4" i="22"/>
  <c r="H4" i="22"/>
  <c r="C8" i="22"/>
  <c r="E8" i="22"/>
  <c r="F8" i="22"/>
  <c r="G8" i="22"/>
  <c r="H8" i="22"/>
  <c r="C15" i="22"/>
  <c r="D15" i="22"/>
  <c r="E15" i="22"/>
  <c r="F15" i="22"/>
  <c r="G15" i="22"/>
  <c r="H15" i="22"/>
  <c r="D16" i="22"/>
  <c r="F16" i="22"/>
  <c r="H16" i="22"/>
  <c r="C21" i="22"/>
  <c r="C20" i="22"/>
  <c r="D21" i="22"/>
  <c r="D22" i="22"/>
  <c r="E21" i="22"/>
  <c r="E22" i="22"/>
  <c r="E20" i="22"/>
  <c r="F21" i="22"/>
  <c r="F20" i="22"/>
  <c r="G21" i="22"/>
  <c r="G20" i="22"/>
  <c r="H21" i="22"/>
  <c r="H20" i="22"/>
  <c r="H22" i="22"/>
  <c r="C22" i="22"/>
  <c r="F22" i="22"/>
  <c r="G22" i="22"/>
  <c r="C34" i="22"/>
  <c r="C22" i="23"/>
  <c r="B17" i="25"/>
  <c r="B44" i="22"/>
  <c r="C44" i="22"/>
  <c r="C14" i="23"/>
  <c r="D14" i="23"/>
  <c r="E14" i="23"/>
  <c r="F14" i="23"/>
  <c r="B22" i="23"/>
  <c r="A17" i="25"/>
  <c r="G8" i="16"/>
  <c r="D8" i="16"/>
  <c r="O10" i="14"/>
  <c r="P10" i="14"/>
  <c r="Q10" i="14"/>
  <c r="R10" i="14"/>
  <c r="S10" i="14"/>
  <c r="D17" i="15"/>
  <c r="C14" i="22"/>
  <c r="C30" i="22"/>
  <c r="D15" i="15"/>
  <c r="F15" i="15"/>
  <c r="D11" i="22"/>
  <c r="G22" i="20"/>
  <c r="E36" i="21"/>
  <c r="H4" i="14"/>
  <c r="D53" i="16"/>
  <c r="F53" i="16"/>
  <c r="F11" i="16"/>
  <c r="F59" i="16"/>
  <c r="D3" i="14"/>
  <c r="H3" i="14"/>
  <c r="G36" i="21"/>
  <c r="F22" i="20"/>
  <c r="E22" i="20"/>
  <c r="F36" i="21"/>
  <c r="D22" i="20"/>
  <c r="C22" i="20"/>
  <c r="F27" i="22"/>
  <c r="F29" i="22"/>
  <c r="E19" i="16"/>
  <c r="E60" i="16"/>
  <c r="F34" i="21"/>
  <c r="G18" i="22"/>
  <c r="G34" i="21"/>
  <c r="E34" i="21"/>
  <c r="E44" i="21"/>
  <c r="E20" i="20"/>
  <c r="D19" i="16"/>
  <c r="D60" i="16"/>
  <c r="F20" i="20"/>
  <c r="F19" i="16"/>
  <c r="F60" i="16"/>
  <c r="H18" i="22"/>
  <c r="D20" i="20"/>
  <c r="E38" i="21"/>
  <c r="D53" i="20"/>
  <c r="C20" i="20"/>
  <c r="E24" i="20"/>
  <c r="F38" i="21"/>
  <c r="F44" i="21"/>
  <c r="E53" i="20"/>
  <c r="F24" i="15"/>
  <c r="F23" i="22"/>
  <c r="E23" i="22"/>
  <c r="E8" i="16"/>
  <c r="G3" i="16"/>
  <c r="C23" i="22"/>
  <c r="D23" i="22"/>
  <c r="D4" i="14"/>
  <c r="F3" i="14"/>
  <c r="F30" i="16"/>
  <c r="F31" i="16"/>
  <c r="C24" i="20"/>
  <c r="H38" i="21"/>
  <c r="D38" i="21"/>
  <c r="F45" i="15"/>
  <c r="G45" i="15"/>
  <c r="G4" i="14"/>
  <c r="C4" i="14"/>
  <c r="R3" i="13"/>
  <c r="R3" i="14"/>
  <c r="E30" i="16"/>
  <c r="E31" i="16"/>
  <c r="F8" i="16"/>
  <c r="D23" i="15"/>
  <c r="D45" i="15"/>
  <c r="H23" i="22"/>
  <c r="G23" i="22"/>
  <c r="G30" i="16"/>
  <c r="E18" i="22"/>
  <c r="F18" i="22"/>
  <c r="H34" i="21"/>
  <c r="G19" i="16"/>
  <c r="G60" i="16"/>
  <c r="G27" i="22"/>
  <c r="G20" i="20"/>
  <c r="H27" i="22"/>
  <c r="G24" i="15"/>
  <c r="E9" i="23"/>
  <c r="F9" i="23"/>
  <c r="F16" i="23"/>
  <c r="D9" i="23"/>
  <c r="E32" i="20"/>
  <c r="F8" i="21"/>
  <c r="F12" i="21"/>
  <c r="F18" i="21"/>
  <c r="D8" i="21"/>
  <c r="D12" i="21"/>
  <c r="D18" i="21"/>
  <c r="E24" i="21"/>
  <c r="E30" i="20"/>
  <c r="E55" i="20"/>
  <c r="C30" i="20"/>
  <c r="C55" i="20"/>
  <c r="D12" i="20"/>
  <c r="D20" i="21"/>
  <c r="F7" i="15"/>
  <c r="C11" i="22"/>
  <c r="D27" i="22"/>
  <c r="D28" i="14"/>
  <c r="D18" i="22"/>
  <c r="C51" i="13"/>
  <c r="C27" i="22"/>
  <c r="F35" i="15"/>
  <c r="E57" i="20"/>
  <c r="F13" i="15"/>
  <c r="C28" i="14"/>
  <c r="D39" i="15"/>
  <c r="D13" i="15"/>
  <c r="E16" i="23"/>
  <c r="F33" i="16"/>
  <c r="D33" i="16"/>
  <c r="D28" i="22"/>
  <c r="D29" i="22"/>
  <c r="D17" i="22"/>
  <c r="D5" i="23"/>
  <c r="F39" i="15"/>
  <c r="G45" i="16"/>
  <c r="H28" i="22"/>
  <c r="H39" i="15"/>
  <c r="H17" i="22"/>
  <c r="F28" i="22"/>
  <c r="F17" i="22"/>
  <c r="F5" i="23"/>
  <c r="G39" i="15"/>
  <c r="E5" i="23"/>
  <c r="E28" i="22"/>
  <c r="I17" i="22"/>
  <c r="I28" i="22"/>
  <c r="H29" i="22"/>
  <c r="I30" i="20"/>
  <c r="I55" i="20"/>
  <c r="E11" i="16"/>
  <c r="U3" i="13"/>
  <c r="U3" i="14"/>
  <c r="I38" i="21"/>
  <c r="I44" i="21"/>
  <c r="H24" i="20"/>
  <c r="H30" i="20"/>
  <c r="H55" i="20"/>
  <c r="U51" i="13"/>
  <c r="J28" i="22"/>
  <c r="D11" i="16"/>
  <c r="T3" i="13"/>
  <c r="T3" i="14"/>
  <c r="T4" i="13"/>
  <c r="T4" i="14"/>
  <c r="J38" i="21"/>
  <c r="J44" i="21"/>
  <c r="H53" i="20"/>
  <c r="H57" i="20"/>
  <c r="I53" i="20"/>
  <c r="I57" i="20"/>
  <c r="J17" i="22"/>
  <c r="G10" i="16"/>
  <c r="G43" i="16"/>
  <c r="G58" i="16"/>
  <c r="F43" i="16"/>
  <c r="F10" i="16"/>
  <c r="T10" i="14"/>
  <c r="U10" i="14"/>
  <c r="G59" i="16"/>
  <c r="G11" i="16"/>
  <c r="H24" i="15"/>
  <c r="G33" i="16"/>
  <c r="G30" i="20"/>
  <c r="G55" i="20"/>
  <c r="F13" i="16"/>
  <c r="F15" i="16"/>
  <c r="G15" i="16"/>
  <c r="G13" i="16"/>
  <c r="I18" i="22"/>
  <c r="I27" i="22"/>
  <c r="I29" i="22"/>
  <c r="C29" i="22"/>
  <c r="O13" i="14"/>
  <c r="C8" i="20"/>
  <c r="C18" i="20"/>
  <c r="P8" i="14"/>
  <c r="D26" i="21"/>
  <c r="D32" i="21"/>
  <c r="C47" i="20"/>
  <c r="U4" i="13"/>
  <c r="U4" i="14"/>
  <c r="J4" i="14"/>
  <c r="G31" i="16"/>
  <c r="I41" i="12"/>
  <c r="I47" i="12"/>
  <c r="I54" i="12"/>
  <c r="I32" i="20"/>
  <c r="K58" i="12"/>
  <c r="J8" i="21"/>
  <c r="J12" i="21"/>
  <c r="J18" i="21"/>
  <c r="J27" i="22"/>
  <c r="J29" i="22"/>
  <c r="J18" i="22"/>
  <c r="F24" i="20"/>
  <c r="F30" i="20"/>
  <c r="F55" i="20"/>
  <c r="G24" i="20"/>
  <c r="G38" i="21"/>
  <c r="G44" i="21"/>
  <c r="R51" i="13"/>
  <c r="E11" i="22"/>
  <c r="G15" i="15"/>
  <c r="E28" i="14"/>
  <c r="E45" i="16"/>
  <c r="E33" i="16"/>
  <c r="D44" i="21"/>
  <c r="E12" i="22"/>
  <c r="F22" i="14"/>
  <c r="H44" i="21"/>
  <c r="E11" i="23"/>
  <c r="E8" i="21"/>
  <c r="E12" i="21"/>
  <c r="E18" i="21"/>
  <c r="D32" i="20"/>
  <c r="F58" i="12"/>
  <c r="E10" i="23"/>
  <c r="F10" i="23"/>
  <c r="F11" i="23"/>
  <c r="G58" i="12"/>
  <c r="F32" i="20"/>
  <c r="G8" i="21"/>
  <c r="G12" i="21"/>
  <c r="G18" i="21"/>
  <c r="H58" i="12"/>
  <c r="D59" i="16"/>
  <c r="E27" i="22"/>
  <c r="E29" i="22"/>
  <c r="C18" i="22"/>
  <c r="N47" i="14"/>
  <c r="C25" i="22"/>
  <c r="C16" i="22"/>
  <c r="C17" i="22"/>
  <c r="C5" i="23"/>
  <c r="C28" i="22"/>
  <c r="J58" i="12"/>
  <c r="I8" i="21"/>
  <c r="I12" i="21"/>
  <c r="I18" i="21"/>
  <c r="H32" i="20"/>
  <c r="D47" i="12"/>
  <c r="D54" i="12"/>
  <c r="C9" i="23"/>
  <c r="C16" i="23"/>
  <c r="E39" i="20"/>
  <c r="E34" i="20"/>
  <c r="E37" i="20"/>
  <c r="E38" i="20"/>
  <c r="D20" i="22"/>
  <c r="D16" i="23"/>
  <c r="C32" i="20"/>
  <c r="E58" i="12"/>
  <c r="D10" i="23"/>
  <c r="D18" i="23"/>
  <c r="D11" i="23"/>
  <c r="F32" i="14"/>
  <c r="G7" i="15"/>
  <c r="E6" i="22"/>
  <c r="E20" i="21"/>
  <c r="P4" i="13"/>
  <c r="P4" i="14"/>
  <c r="C10" i="25"/>
  <c r="D24" i="20"/>
  <c r="D30" i="20"/>
  <c r="D55" i="20"/>
  <c r="D57" i="20"/>
  <c r="D30" i="16"/>
  <c r="D45" i="21"/>
  <c r="C53" i="20"/>
  <c r="C57" i="20"/>
  <c r="I58" i="12"/>
  <c r="G32" i="20"/>
  <c r="H8" i="21"/>
  <c r="H12" i="21"/>
  <c r="H18" i="21"/>
  <c r="F3" i="25"/>
  <c r="F7" i="25"/>
  <c r="F11" i="25"/>
  <c r="G46" i="14"/>
  <c r="D39" i="20"/>
  <c r="D34" i="20"/>
  <c r="D37" i="20"/>
  <c r="D41" i="20"/>
  <c r="D43" i="20"/>
  <c r="D38" i="20"/>
  <c r="D30" i="22"/>
  <c r="D14" i="22"/>
  <c r="F17" i="15"/>
  <c r="O47" i="14"/>
  <c r="D25" i="22"/>
  <c r="F53" i="20"/>
  <c r="F57" i="20"/>
  <c r="D47" i="20"/>
  <c r="E10" i="16"/>
  <c r="E58" i="16"/>
  <c r="E43" i="16"/>
  <c r="G22" i="14"/>
  <c r="F24" i="21"/>
  <c r="F25" i="14"/>
  <c r="F12" i="22"/>
  <c r="F12" i="20"/>
  <c r="E12" i="20"/>
  <c r="P13" i="14"/>
  <c r="F26" i="21"/>
  <c r="D8" i="20"/>
  <c r="D18" i="20"/>
  <c r="Q8" i="14"/>
  <c r="C3" i="25"/>
  <c r="C7" i="25"/>
  <c r="C11" i="25"/>
  <c r="D12" i="23"/>
  <c r="F25" i="15"/>
  <c r="D46" i="14"/>
  <c r="D13" i="23"/>
  <c r="H3" i="25"/>
  <c r="H7" i="25"/>
  <c r="H11" i="25"/>
  <c r="I46" i="14"/>
  <c r="E46" i="14"/>
  <c r="E13" i="23"/>
  <c r="G25" i="15"/>
  <c r="D3" i="25"/>
  <c r="D7" i="25"/>
  <c r="D11" i="25"/>
  <c r="G53" i="15"/>
  <c r="E12" i="23"/>
  <c r="C39" i="20"/>
  <c r="C34" i="20"/>
  <c r="C37" i="20"/>
  <c r="C41" i="20"/>
  <c r="C38" i="20"/>
  <c r="F38" i="20"/>
  <c r="F39" i="20"/>
  <c r="F34" i="20"/>
  <c r="F37" i="20"/>
  <c r="F41" i="20"/>
  <c r="G13" i="15"/>
  <c r="H38" i="20"/>
  <c r="H34" i="20"/>
  <c r="H37" i="20"/>
  <c r="H41" i="20"/>
  <c r="H39" i="20"/>
  <c r="G17" i="22"/>
  <c r="G28" i="22"/>
  <c r="G29" i="22"/>
  <c r="F58" i="16"/>
  <c r="E32" i="21"/>
  <c r="E45" i="21"/>
  <c r="F46" i="14"/>
  <c r="F13" i="23"/>
  <c r="E3" i="25"/>
  <c r="E7" i="25"/>
  <c r="E11" i="25"/>
  <c r="F12" i="23"/>
  <c r="G53" i="20"/>
  <c r="G57" i="20"/>
  <c r="D31" i="16"/>
  <c r="D45" i="16"/>
  <c r="I3" i="25"/>
  <c r="I7" i="25"/>
  <c r="I11" i="25"/>
  <c r="J46" i="14"/>
  <c r="I38" i="20"/>
  <c r="I39" i="20"/>
  <c r="I34" i="20"/>
  <c r="I37" i="20"/>
  <c r="G35" i="15"/>
  <c r="E41" i="20"/>
  <c r="F6" i="22"/>
  <c r="F20" i="21"/>
  <c r="F32" i="21"/>
  <c r="G32" i="14"/>
  <c r="D58" i="12"/>
  <c r="C10" i="23"/>
  <c r="C18" i="23"/>
  <c r="C11" i="23"/>
  <c r="E18" i="23"/>
  <c r="E26" i="21"/>
  <c r="C43" i="20"/>
  <c r="C49" i="20"/>
  <c r="C51" i="20"/>
  <c r="E14" i="22"/>
  <c r="G17" i="15"/>
  <c r="E30" i="22"/>
  <c r="P47" i="14"/>
  <c r="E25" i="22"/>
  <c r="F15" i="23"/>
  <c r="F17" i="23"/>
  <c r="E17" i="23"/>
  <c r="E32" i="22"/>
  <c r="E15" i="23"/>
  <c r="E43" i="20"/>
  <c r="F49" i="15"/>
  <c r="F31" i="15"/>
  <c r="E15" i="16"/>
  <c r="E13" i="16"/>
  <c r="G38" i="20"/>
  <c r="G34" i="20"/>
  <c r="G37" i="20"/>
  <c r="G39" i="20"/>
  <c r="G3" i="25"/>
  <c r="G7" i="25"/>
  <c r="G11" i="25"/>
  <c r="H53" i="15"/>
  <c r="H25" i="15"/>
  <c r="H46" i="14"/>
  <c r="F45" i="21"/>
  <c r="E47" i="20"/>
  <c r="D17" i="23"/>
  <c r="D15" i="23"/>
  <c r="D32" i="22"/>
  <c r="F11" i="22"/>
  <c r="F28" i="14"/>
  <c r="G49" i="15"/>
  <c r="G31" i="15"/>
  <c r="D43" i="16"/>
  <c r="D10" i="16"/>
  <c r="D58" i="16"/>
  <c r="I41" i="20"/>
  <c r="E8" i="20"/>
  <c r="E18" i="20"/>
  <c r="E49" i="20"/>
  <c r="R8" i="14"/>
  <c r="Q13" i="14"/>
  <c r="G26" i="21"/>
  <c r="D51" i="20"/>
  <c r="B3" i="25"/>
  <c r="C46" i="14"/>
  <c r="C12" i="23"/>
  <c r="D25" i="15"/>
  <c r="G20" i="21"/>
  <c r="H32" i="14"/>
  <c r="G6" i="22"/>
  <c r="D49" i="20"/>
  <c r="G24" i="21"/>
  <c r="G12" i="22"/>
  <c r="G25" i="14"/>
  <c r="H22" i="14"/>
  <c r="C15" i="23"/>
  <c r="C17" i="23"/>
  <c r="C32" i="22"/>
  <c r="B7" i="25"/>
  <c r="B11" i="25"/>
  <c r="J3" i="25"/>
  <c r="J7" i="25"/>
  <c r="J11" i="25"/>
  <c r="C33" i="22"/>
  <c r="D13" i="16"/>
  <c r="D15" i="16"/>
  <c r="H49" i="15"/>
  <c r="H31" i="15"/>
  <c r="F18" i="23"/>
  <c r="H7" i="15"/>
  <c r="I32" i="14"/>
  <c r="H6" i="22"/>
  <c r="H20" i="21"/>
  <c r="F14" i="22"/>
  <c r="F30" i="22"/>
  <c r="Q47" i="14"/>
  <c r="G41" i="20"/>
  <c r="H24" i="21"/>
  <c r="H12" i="22"/>
  <c r="H12" i="20"/>
  <c r="I22" i="14"/>
  <c r="H25" i="14"/>
  <c r="G32" i="21"/>
  <c r="G11" i="22"/>
  <c r="G28" i="14"/>
  <c r="F8" i="20"/>
  <c r="F18" i="20"/>
  <c r="R13" i="14"/>
  <c r="S8" i="14"/>
  <c r="H26" i="21"/>
  <c r="D8" i="15"/>
  <c r="D11" i="15"/>
  <c r="D51" i="15"/>
  <c r="D40" i="14"/>
  <c r="C49" i="14"/>
  <c r="C7" i="22"/>
  <c r="C9" i="22"/>
  <c r="G12" i="20"/>
  <c r="D49" i="15"/>
  <c r="D31" i="15"/>
  <c r="E51" i="20"/>
  <c r="D43" i="15"/>
  <c r="D41" i="15"/>
  <c r="J32" i="14"/>
  <c r="I20" i="21"/>
  <c r="I6" i="22"/>
  <c r="H35" i="15"/>
  <c r="F25" i="22"/>
  <c r="F32" i="22"/>
  <c r="G45" i="21"/>
  <c r="F47" i="20"/>
  <c r="H15" i="15"/>
  <c r="H28" i="14"/>
  <c r="H13" i="15"/>
  <c r="H11" i="22"/>
  <c r="H32" i="21"/>
  <c r="C6" i="23"/>
  <c r="C10" i="22"/>
  <c r="C13" i="22"/>
  <c r="C7" i="23"/>
  <c r="G8" i="20"/>
  <c r="G18" i="20"/>
  <c r="G49" i="20"/>
  <c r="T8" i="14"/>
  <c r="S13" i="14"/>
  <c r="I25" i="14"/>
  <c r="J22" i="14"/>
  <c r="I12" i="20"/>
  <c r="I24" i="21"/>
  <c r="I12" i="22"/>
  <c r="C51" i="14"/>
  <c r="N49" i="14"/>
  <c r="C8" i="23"/>
  <c r="N51" i="14"/>
  <c r="R47" i="14"/>
  <c r="G14" i="22"/>
  <c r="G30" i="22"/>
  <c r="D49" i="14"/>
  <c r="D7" i="22"/>
  <c r="D9" i="22"/>
  <c r="E40" i="14"/>
  <c r="F8" i="15"/>
  <c r="F11" i="15"/>
  <c r="F49" i="20"/>
  <c r="F43" i="20"/>
  <c r="C31" i="22"/>
  <c r="I11" i="22"/>
  <c r="I28" i="14"/>
  <c r="C19" i="22"/>
  <c r="D19" i="15"/>
  <c r="D51" i="14"/>
  <c r="O51" i="14"/>
  <c r="D8" i="23"/>
  <c r="O49" i="14"/>
  <c r="G25" i="22"/>
  <c r="G32" i="22"/>
  <c r="J12" i="22"/>
  <c r="J24" i="21"/>
  <c r="J25" i="14"/>
  <c r="F51" i="20"/>
  <c r="J20" i="21"/>
  <c r="J6" i="22"/>
  <c r="F41" i="15"/>
  <c r="F43" i="15"/>
  <c r="F51" i="15"/>
  <c r="H14" i="22"/>
  <c r="H30" i="22"/>
  <c r="H17" i="15"/>
  <c r="S47" i="14"/>
  <c r="H45" i="21"/>
  <c r="G47" i="20"/>
  <c r="G51" i="20"/>
  <c r="F40" i="14"/>
  <c r="E7" i="22"/>
  <c r="E9" i="22"/>
  <c r="E49" i="14"/>
  <c r="G8" i="15"/>
  <c r="G11" i="15"/>
  <c r="U8" i="14"/>
  <c r="H8" i="20"/>
  <c r="H18" i="20"/>
  <c r="T13" i="14"/>
  <c r="G43" i="20"/>
  <c r="D7" i="23"/>
  <c r="D10" i="22"/>
  <c r="D13" i="22"/>
  <c r="D6" i="23"/>
  <c r="D31" i="22"/>
  <c r="C24" i="22"/>
  <c r="C26" i="22"/>
  <c r="C52" i="14"/>
  <c r="I26" i="21"/>
  <c r="I32" i="21"/>
  <c r="I45" i="21"/>
  <c r="H47" i="20"/>
  <c r="I30" i="22"/>
  <c r="I14" i="22"/>
  <c r="T47" i="14"/>
  <c r="I8" i="20"/>
  <c r="I18" i="20"/>
  <c r="U13" i="14"/>
  <c r="H25" i="22"/>
  <c r="H32" i="22"/>
  <c r="J28" i="14"/>
  <c r="J11" i="22"/>
  <c r="H49" i="20"/>
  <c r="H43" i="20"/>
  <c r="J26" i="21"/>
  <c r="F7" i="22"/>
  <c r="F9" i="22"/>
  <c r="G40" i="14"/>
  <c r="F49" i="14"/>
  <c r="D19" i="22"/>
  <c r="F19" i="15"/>
  <c r="D24" i="22"/>
  <c r="D26" i="22"/>
  <c r="D52" i="14"/>
  <c r="J32" i="21"/>
  <c r="G41" i="15"/>
  <c r="G51" i="15"/>
  <c r="G43" i="15"/>
  <c r="P51" i="14"/>
  <c r="E51" i="14"/>
  <c r="P49" i="14"/>
  <c r="E8" i="23"/>
  <c r="E10" i="22"/>
  <c r="E13" i="22"/>
  <c r="E7" i="23"/>
  <c r="E6" i="23"/>
  <c r="E31" i="22"/>
  <c r="I49" i="20"/>
  <c r="I43" i="20"/>
  <c r="I25" i="22"/>
  <c r="I32" i="22"/>
  <c r="Q49" i="14"/>
  <c r="F51" i="14"/>
  <c r="Q51" i="14"/>
  <c r="F8" i="23"/>
  <c r="J45" i="21"/>
  <c r="I47" i="20"/>
  <c r="I51" i="20"/>
  <c r="J30" i="22"/>
  <c r="J14" i="22"/>
  <c r="U47" i="14"/>
  <c r="D16" i="16"/>
  <c r="D18" i="16"/>
  <c r="E19" i="22"/>
  <c r="G19" i="15"/>
  <c r="H40" i="14"/>
  <c r="G7" i="22"/>
  <c r="G9" i="22"/>
  <c r="G49" i="14"/>
  <c r="H51" i="20"/>
  <c r="E52" i="14"/>
  <c r="E24" i="22"/>
  <c r="E26" i="22"/>
  <c r="F13" i="22"/>
  <c r="F10" i="22"/>
  <c r="F31" i="22"/>
  <c r="F6" i="23"/>
  <c r="F7" i="23"/>
  <c r="F52" i="14"/>
  <c r="F24" i="22"/>
  <c r="F26" i="22"/>
  <c r="E16" i="16"/>
  <c r="E18" i="16"/>
  <c r="F19" i="22"/>
  <c r="J25" i="22"/>
  <c r="J32" i="22"/>
  <c r="G51" i="14"/>
  <c r="R49" i="14"/>
  <c r="R51" i="14"/>
  <c r="G13" i="22"/>
  <c r="G31" i="22"/>
  <c r="G10" i="22"/>
  <c r="H8" i="15"/>
  <c r="H11" i="15"/>
  <c r="H7" i="22"/>
  <c r="H9" i="22"/>
  <c r="I40" i="14"/>
  <c r="H49" i="14"/>
  <c r="G52" i="14"/>
  <c r="G24" i="22"/>
  <c r="G26" i="22"/>
  <c r="H31" i="22"/>
  <c r="H13" i="22"/>
  <c r="H10" i="22"/>
  <c r="I7" i="22"/>
  <c r="I9" i="22"/>
  <c r="J40" i="14"/>
  <c r="I49" i="14"/>
  <c r="H51" i="14"/>
  <c r="S49" i="14"/>
  <c r="S51" i="14"/>
  <c r="H51" i="15"/>
  <c r="H43" i="15"/>
  <c r="H41" i="15"/>
  <c r="F16" i="16"/>
  <c r="F18" i="16"/>
  <c r="G19" i="22"/>
  <c r="T49" i="14"/>
  <c r="I51" i="14"/>
  <c r="T51" i="14"/>
  <c r="I19" i="22"/>
  <c r="J7" i="22"/>
  <c r="J9" i="22"/>
  <c r="J49" i="14"/>
  <c r="H19" i="22"/>
  <c r="H19" i="15"/>
  <c r="G16" i="16"/>
  <c r="G18" i="16"/>
  <c r="I10" i="22"/>
  <c r="I31" i="22"/>
  <c r="I13" i="22"/>
  <c r="H24" i="22"/>
  <c r="H26" i="22"/>
  <c r="H52" i="14"/>
  <c r="U49" i="14"/>
  <c r="J51" i="14"/>
  <c r="U51" i="14"/>
  <c r="J19" i="22"/>
  <c r="J10" i="22"/>
  <c r="J31" i="22"/>
  <c r="J13" i="22"/>
  <c r="I52" i="14"/>
  <c r="I24" i="22"/>
  <c r="I26" i="22"/>
  <c r="J52" i="14"/>
  <c r="J24" i="22"/>
  <c r="J26" i="22"/>
  <c r="H6" i="16"/>
  <c r="H24" i="16"/>
  <c r="Q4" i="13"/>
  <c r="Q4" i="14"/>
  <c r="N3" i="13"/>
  <c r="N3" i="14"/>
</calcChain>
</file>

<file path=xl/sharedStrings.xml><?xml version="1.0" encoding="utf-8"?>
<sst xmlns="http://schemas.openxmlformats.org/spreadsheetml/2006/main" count="627" uniqueCount="458">
  <si>
    <t>Sr_no</t>
  </si>
  <si>
    <t>Content</t>
  </si>
  <si>
    <t>Description</t>
  </si>
  <si>
    <t>Lens - What needs to be analysed / Investigated</t>
  </si>
  <si>
    <t>Financial Indicator &amp; Ratio</t>
  </si>
  <si>
    <t>Working Capital Assessment</t>
  </si>
  <si>
    <t>E</t>
  </si>
  <si>
    <t>Limits Proposed</t>
  </si>
  <si>
    <t>Profit &amp;  Loss Statement</t>
  </si>
  <si>
    <t>Fund Flow</t>
  </si>
  <si>
    <t>Fund Flow - 2</t>
  </si>
  <si>
    <t>Summary Sheet</t>
  </si>
  <si>
    <t>Ratio</t>
  </si>
  <si>
    <t>DSCR</t>
  </si>
  <si>
    <t>Sanction</t>
  </si>
  <si>
    <t>Procees</t>
  </si>
  <si>
    <t>Analyser</t>
  </si>
  <si>
    <t>CMA</t>
  </si>
  <si>
    <t>Findings</t>
  </si>
  <si>
    <t>Annual report</t>
  </si>
  <si>
    <t>24. FINANCIAL PARAMETERS BASED ON AUDITED BALANCE SHEET :</t>
  </si>
  <si>
    <t>( Rs. In lakhs )</t>
  </si>
  <si>
    <t xml:space="preserve">FOR THE YEAR ENDED </t>
  </si>
  <si>
    <t>CURRENT</t>
  </si>
  <si>
    <t>FUTURE</t>
  </si>
  <si>
    <t>Estimates</t>
  </si>
  <si>
    <t>Actuals</t>
  </si>
  <si>
    <t>Projections</t>
  </si>
  <si>
    <t>PAID UP CAPITAL</t>
  </si>
  <si>
    <t>FREE RESERVES</t>
  </si>
  <si>
    <t>INTANGIBLE ASSETS</t>
  </si>
  <si>
    <t>TANGIBLE NET WORTH</t>
  </si>
  <si>
    <t>OUTSIDE LIABILITIES</t>
  </si>
  <si>
    <t>TERM LIABILITIES</t>
  </si>
  <si>
    <t>NET FIXED ASSETS</t>
  </si>
  <si>
    <t>NET WORKING CAPITAL</t>
  </si>
  <si>
    <t>AMT. INV. IN OUTSIDE BUSINESS</t>
  </si>
  <si>
    <t>NET SALES</t>
  </si>
  <si>
    <t>COST OF SALES</t>
  </si>
  <si>
    <t>NET PROFITS</t>
  </si>
  <si>
    <t>DEPRECIATION</t>
  </si>
  <si>
    <t>ARREARS OF DEPPRECIATION</t>
  </si>
  <si>
    <t>DEVELOP. REBATE/INVEST.ALLOW.</t>
  </si>
  <si>
    <t>CASH ACRUALS</t>
  </si>
  <si>
    <t>DIVIDENDS:-ON EQUITY SHARES</t>
  </si>
  <si>
    <t>DIVIDENDS:-ON PREF.  SHARES</t>
  </si>
  <si>
    <t xml:space="preserve">  % OF DIVIDEND</t>
  </si>
  <si>
    <t>FINANCIAL RATIOS:-</t>
  </si>
  <si>
    <t>CURRENT RATIO</t>
  </si>
  <si>
    <t>DEBT EQUITY RATIO</t>
  </si>
  <si>
    <t>TOTAL OUTSIDE LIA / T.N.W.</t>
  </si>
  <si>
    <t>TOTAL INVENTORY / NET SALES</t>
  </si>
  <si>
    <t>RECEIVABLES / GROSS SALES</t>
  </si>
  <si>
    <t>NET PROFIT / NET SALES</t>
  </si>
  <si>
    <t>NET PROFIT / T. N. W.</t>
  </si>
  <si>
    <t>D.S.C.R. (For Term Loans only)</t>
  </si>
  <si>
    <t>FACE VALUE OF SHARE :-</t>
  </si>
  <si>
    <t>MARKET PRICE ( HIGH ) / ( LOW )</t>
  </si>
  <si>
    <t>CURRENT MARKET PRICE :</t>
  </si>
  <si>
    <t>ACCOUNT  M/s.</t>
  </si>
  <si>
    <t>( 10 )</t>
  </si>
  <si>
    <t>26. ASSESSMENT OF WORKING CAPITAL REQUIREMENTS :</t>
  </si>
  <si>
    <t>( Rs. in lacs )</t>
  </si>
  <si>
    <t>Projections of Sales as per last CAS forms for the year ended:</t>
  </si>
  <si>
    <t>Actual Sales for the year ended:</t>
  </si>
  <si>
    <t>…</t>
  </si>
  <si>
    <t>...</t>
  </si>
  <si>
    <t>Accepted</t>
  </si>
  <si>
    <t>TOTAL CURRENT ASSETS</t>
  </si>
  <si>
    <t>TOTAL CURRENT LIABILITIES</t>
  </si>
  <si>
    <t>WORKING CAPITAL GAP</t>
  </si>
  <si>
    <t>25% MARGIN ON C/A EXC. EXP. RECEIVABLES</t>
  </si>
  <si>
    <t>MPBF</t>
  </si>
  <si>
    <t>TOTAL WORKING CAPITAL  LIMITS</t>
  </si>
  <si>
    <t>EXCESS BORROWINGS IF ANY :</t>
  </si>
  <si>
    <t>COMPLIANCE UNDER INVENTORY &amp; RECEIVABLES LEVELS :</t>
  </si>
  <si>
    <t>Norms by</t>
  </si>
  <si>
    <t>Permitted</t>
  </si>
  <si>
    <t>R.B.I.</t>
  </si>
  <si>
    <t>Level</t>
  </si>
  <si>
    <t>Imported   R.M.</t>
  </si>
  <si>
    <t xml:space="preserve"> 'Months consumption</t>
  </si>
  <si>
    <t>Indeginous R.M.</t>
  </si>
  <si>
    <t>Work-in-process</t>
  </si>
  <si>
    <t xml:space="preserve"> 'Months C.O.P.</t>
  </si>
  <si>
    <t>Finished Goods</t>
  </si>
  <si>
    <t xml:space="preserve"> 'Months C.O.Sales</t>
  </si>
  <si>
    <t>Stores &amp; Spares</t>
  </si>
  <si>
    <t>Local  Receivables</t>
  </si>
  <si>
    <t xml:space="preserve"> 'Months Gross sales</t>
  </si>
  <si>
    <t>Export Receivables</t>
  </si>
  <si>
    <t>Adv.to suppliers</t>
  </si>
  <si>
    <t xml:space="preserve"> '% to consumption</t>
  </si>
  <si>
    <t>Other Current Assets</t>
  </si>
  <si>
    <t xml:space="preserve"> '% to total current assets</t>
  </si>
  <si>
    <t>Total Current Assets</t>
  </si>
  <si>
    <t>Sundry Creditors</t>
  </si>
  <si>
    <t xml:space="preserve"> 'Months Purchases</t>
  </si>
  <si>
    <t>T.L. inst. payable</t>
  </si>
  <si>
    <t>Other Current Liabilities</t>
  </si>
  <si>
    <t>Total Current Liabilities</t>
  </si>
  <si>
    <t>( 12 )</t>
  </si>
  <si>
    <t>Check for Current Assets</t>
  </si>
  <si>
    <t>Check for Current Liabilities</t>
  </si>
  <si>
    <t>Check for Bank Borrowings</t>
  </si>
  <si>
    <t>27).   LIMITS PROPOSED</t>
  </si>
  <si>
    <t>FACILITY</t>
  </si>
  <si>
    <t>&lt;----------LIMITS------------&gt;</t>
  </si>
  <si>
    <t>-SECURITY-</t>
  </si>
  <si>
    <t>Margin</t>
  </si>
  <si>
    <t>Interest, Comm. Exchange</t>
  </si>
  <si>
    <t>Remarks</t>
  </si>
  <si>
    <t>Existing</t>
  </si>
  <si>
    <t>Proposed</t>
  </si>
  <si>
    <t xml:space="preserve">PLR = </t>
  </si>
  <si>
    <t>(a)</t>
  </si>
  <si>
    <t>Fund Based Limits</t>
  </si>
  <si>
    <t>Cash Credit (Hyp)</t>
  </si>
  <si>
    <t>Hypothecation of Raw Material,</t>
  </si>
  <si>
    <t>PLR+</t>
  </si>
  <si>
    <t>Stock in Process, Finished Goods,</t>
  </si>
  <si>
    <t>Consumable stores, spares,</t>
  </si>
  <si>
    <t>packing material etc.,</t>
  </si>
  <si>
    <t>Overdraft ag. B/Debts</t>
  </si>
  <si>
    <t>Hypothecation of Receivables</t>
  </si>
  <si>
    <t>( less than 90 days)</t>
  </si>
  <si>
    <t>Packing Credit</t>
  </si>
  <si>
    <t>EBP/EBD ag. Order</t>
  </si>
  <si>
    <t>Bills drawn ag. Order , Hundis,</t>
  </si>
  <si>
    <t>Bills of lading and other export</t>
  </si>
  <si>
    <t>documents</t>
  </si>
  <si>
    <t>EBP/EBD ag. LC</t>
  </si>
  <si>
    <t>Bills drawn ag. LC, Hundis,</t>
  </si>
  <si>
    <t>Total Fund Based</t>
  </si>
  <si>
    <t>(b)</t>
  </si>
  <si>
    <t>Non Fund Based</t>
  </si>
  <si>
    <t>Letter of Credit</t>
  </si>
  <si>
    <t>Hypothecation of stock received</t>
  </si>
  <si>
    <t>As per FEDAI / RBI</t>
  </si>
  <si>
    <t>(Import/Inland)   DP</t>
  </si>
  <si>
    <t>under LC, documents of title to</t>
  </si>
  <si>
    <t>rules</t>
  </si>
  <si>
    <t>goods recd. Under LC.</t>
  </si>
  <si>
    <t>(Import/Inland)   DA</t>
  </si>
  <si>
    <t>Usance upto 90 days</t>
  </si>
  <si>
    <t>Letter of Guarantee</t>
  </si>
  <si>
    <t xml:space="preserve">Counter Guarantee by the </t>
  </si>
  <si>
    <t>Rs. 100.00 plus</t>
  </si>
  <si>
    <t>firm / Company.</t>
  </si>
  <si>
    <t>2.00% on Perf. Gtee and</t>
  </si>
  <si>
    <t>3.00% on Fin.  Gtee.</t>
  </si>
  <si>
    <t>Total Non Fund based</t>
  </si>
  <si>
    <t>ACCOUNT   M/s.</t>
  </si>
  <si>
    <t>( 14 )</t>
  </si>
  <si>
    <t>OPERATING STATEMENT</t>
  </si>
  <si>
    <t>(Rs. in lacs)</t>
  </si>
  <si>
    <t>AS PER PROFIT AND LOSS ACCOUNTS AS ON</t>
  </si>
  <si>
    <t>31.03.2022</t>
  </si>
  <si>
    <t>31.03.2023</t>
  </si>
  <si>
    <t>31.03.2028</t>
  </si>
  <si>
    <t>31.03.2029</t>
  </si>
  <si>
    <t>Estimated</t>
  </si>
  <si>
    <t>Projected</t>
  </si>
  <si>
    <t xml:space="preserve"> Gross Sales/services     Local</t>
  </si>
  <si>
    <t xml:space="preserve"> Gross Sales     Exports</t>
  </si>
  <si>
    <t xml:space="preserve">  Less Excise Duty</t>
  </si>
  <si>
    <t xml:space="preserve">  Net Sales</t>
  </si>
  <si>
    <t xml:space="preserve">  Cost of Sales</t>
  </si>
  <si>
    <t>a)</t>
  </si>
  <si>
    <t xml:space="preserve">  Raw Materials</t>
  </si>
  <si>
    <t xml:space="preserve">    -Imported</t>
  </si>
  <si>
    <t xml:space="preserve">    -Indigeneous</t>
  </si>
  <si>
    <t>b)</t>
  </si>
  <si>
    <t xml:space="preserve">    Other Spares</t>
  </si>
  <si>
    <t>c)</t>
  </si>
  <si>
    <t xml:space="preserve">    Power &amp; Fuel</t>
  </si>
  <si>
    <t>d)</t>
  </si>
  <si>
    <t xml:space="preserve">    Direct Labour</t>
  </si>
  <si>
    <t>e)</t>
  </si>
  <si>
    <t xml:space="preserve">    Repairs &amp; Main.</t>
  </si>
  <si>
    <t>f)</t>
  </si>
  <si>
    <t xml:space="preserve">    Other Operating.Exp.</t>
  </si>
  <si>
    <t>g)</t>
  </si>
  <si>
    <t xml:space="preserve">    Depreciation</t>
  </si>
  <si>
    <t xml:space="preserve">    Sub Total</t>
  </si>
  <si>
    <t>Add    Opening S.I.P.</t>
  </si>
  <si>
    <t>Deduct Closing S.I.P.</t>
  </si>
  <si>
    <t>Add    Opening F.Gs.</t>
  </si>
  <si>
    <t>Deduct Closing F.Gs.</t>
  </si>
  <si>
    <t xml:space="preserve">    (Cost of Sales)</t>
  </si>
  <si>
    <t xml:space="preserve">   Gross Profit   ( 3 - 4 )</t>
  </si>
  <si>
    <t xml:space="preserve">   Interest</t>
  </si>
  <si>
    <t xml:space="preserve">   Selling, General &amp; admn. expenses</t>
  </si>
  <si>
    <t xml:space="preserve">   Operating Profit</t>
  </si>
  <si>
    <t xml:space="preserve">   Other Income/Exp.</t>
  </si>
  <si>
    <t xml:space="preserve">   Add Income</t>
  </si>
  <si>
    <t xml:space="preserve">   Deduct exp.</t>
  </si>
  <si>
    <t xml:space="preserve">   Sub Total  ( - )  ( + )</t>
  </si>
  <si>
    <t xml:space="preserve">   Profit before tax</t>
  </si>
  <si>
    <t xml:space="preserve">   Less provision for  tax</t>
  </si>
  <si>
    <t xml:space="preserve">   Net Profit / Loss</t>
  </si>
  <si>
    <t xml:space="preserve">   Dividend Paid / Payable</t>
  </si>
  <si>
    <t xml:space="preserve">ACCOUNT   </t>
  </si>
  <si>
    <t>( 19 )</t>
  </si>
  <si>
    <t>ANALYSIS OF BALANCE SHEET :</t>
  </si>
  <si>
    <t>ANNEXURE VI           ( Rs. in lacs )</t>
  </si>
  <si>
    <t>AS  PER  BALANCE  SHEET  AS  ON</t>
  </si>
  <si>
    <t xml:space="preserve">AS  PER  BALANCE  SHEET  AS  OF </t>
  </si>
  <si>
    <t>LIABILITIES</t>
  </si>
  <si>
    <t>ASSETS</t>
  </si>
  <si>
    <t>Current Liabilities</t>
  </si>
  <si>
    <t>Current Assets</t>
  </si>
  <si>
    <t xml:space="preserve">Short term </t>
  </si>
  <si>
    <t xml:space="preserve">Cash &amp; Bank </t>
  </si>
  <si>
    <t>Bank Borrowings</t>
  </si>
  <si>
    <t>balances</t>
  </si>
  <si>
    <t>a) from C.B.I.</t>
  </si>
  <si>
    <t>Investments</t>
  </si>
  <si>
    <t>b) from others</t>
  </si>
  <si>
    <t>a) Govt. &amp; other</t>
  </si>
  <si>
    <t xml:space="preserve">    Trust securities</t>
  </si>
  <si>
    <t>Sub total (A)</t>
  </si>
  <si>
    <t>b) FDs in Banks</t>
  </si>
  <si>
    <t>Short term borrowings</t>
  </si>
  <si>
    <t>from others</t>
  </si>
  <si>
    <t xml:space="preserve">a) Receivables </t>
  </si>
  <si>
    <t xml:space="preserve">    other than deferred</t>
  </si>
  <si>
    <t>Deposits</t>
  </si>
  <si>
    <t xml:space="preserve">     &amp; export)</t>
  </si>
  <si>
    <t>Sundry Creditors (Trade)</t>
  </si>
  <si>
    <t xml:space="preserve">b) Export </t>
  </si>
  <si>
    <t xml:space="preserve">     Receivables</t>
  </si>
  <si>
    <t>Unsecured Loans</t>
  </si>
  <si>
    <t xml:space="preserve">Instalments of </t>
  </si>
  <si>
    <t xml:space="preserve">Advances/progress </t>
  </si>
  <si>
    <t>deferred Recbles.</t>
  </si>
  <si>
    <t>payments from Customers</t>
  </si>
  <si>
    <t>/deposits from dealers</t>
  </si>
  <si>
    <t>INVENTORY</t>
  </si>
  <si>
    <t>Interest &amp; other charges</t>
  </si>
  <si>
    <t>a) R.M. Imported</t>
  </si>
  <si>
    <t>acrued but not paid</t>
  </si>
  <si>
    <t xml:space="preserve"> </t>
  </si>
  <si>
    <t>b) R.M. Indigenous</t>
  </si>
  <si>
    <t xml:space="preserve">Provision for </t>
  </si>
  <si>
    <t>c) Stock in Process</t>
  </si>
  <si>
    <t>taxation</t>
  </si>
  <si>
    <t>d) Finished Goods</t>
  </si>
  <si>
    <t>Dividend Payable</t>
  </si>
  <si>
    <t>e) Other Consumables</t>
  </si>
  <si>
    <t xml:space="preserve">Other Statutory </t>
  </si>
  <si>
    <t xml:space="preserve">   liabilities</t>
  </si>
  <si>
    <t>Advances to Suppliers</t>
  </si>
  <si>
    <t>of Raw Materials &amp;</t>
  </si>
  <si>
    <t>Stores / Spares etc.,</t>
  </si>
  <si>
    <t>TLs/DPGs/deb/</t>
  </si>
  <si>
    <t>pref.shares etc.,</t>
  </si>
  <si>
    <t xml:space="preserve">Advance payment </t>
  </si>
  <si>
    <t>of taxes</t>
  </si>
  <si>
    <t>Other Current</t>
  </si>
  <si>
    <t>liabilities and</t>
  </si>
  <si>
    <t xml:space="preserve">Other Current </t>
  </si>
  <si>
    <t xml:space="preserve">provisions </t>
  </si>
  <si>
    <t>Assets</t>
  </si>
  <si>
    <t xml:space="preserve">   Sub Total (B)</t>
  </si>
  <si>
    <t>Total Current Liabilities (A+B)</t>
  </si>
  <si>
    <t>Total Current AssetsAssets</t>
  </si>
  <si>
    <t>( 20 )</t>
  </si>
  <si>
    <t>Of total Bank Borrowings at 1(a) above</t>
  </si>
  <si>
    <t>Export Bills Pur/disc.</t>
  </si>
  <si>
    <t>BALANCE SHEET SPREAD ( CONT'D )</t>
  </si>
  <si>
    <t>Term Liabilities</t>
  </si>
  <si>
    <t>Fixed Assets</t>
  </si>
  <si>
    <t>`</t>
  </si>
  <si>
    <t>Debentures (Not</t>
  </si>
  <si>
    <t>Gross Block</t>
  </si>
  <si>
    <t>maturing in 1 yr)</t>
  </si>
  <si>
    <t xml:space="preserve">Depreciation </t>
  </si>
  <si>
    <t>Redeemable Pref.</t>
  </si>
  <si>
    <t>to date</t>
  </si>
  <si>
    <t>shares</t>
  </si>
  <si>
    <t>Net Block</t>
  </si>
  <si>
    <t>Term Loans</t>
  </si>
  <si>
    <t>OTHER NON</t>
  </si>
  <si>
    <t>Deferred Payment</t>
  </si>
  <si>
    <t>CURRENT ASSETS</t>
  </si>
  <si>
    <t>Credits</t>
  </si>
  <si>
    <t>Investments/book</t>
  </si>
  <si>
    <t xml:space="preserve">Other Term </t>
  </si>
  <si>
    <t>debts/advances/</t>
  </si>
  <si>
    <t>Liabilities</t>
  </si>
  <si>
    <t>deposits</t>
  </si>
  <si>
    <t>Unsecured Loan</t>
  </si>
  <si>
    <t xml:space="preserve">a)Investments in </t>
  </si>
  <si>
    <t>From others</t>
  </si>
  <si>
    <t xml:space="preserve">   subsidiary compa-</t>
  </si>
  <si>
    <t>Total Term</t>
  </si>
  <si>
    <t>others</t>
  </si>
  <si>
    <t xml:space="preserve">b)Loans </t>
  </si>
  <si>
    <t>Total Outside</t>
  </si>
  <si>
    <t>Advances</t>
  </si>
  <si>
    <t xml:space="preserve">   NET WORTH</t>
  </si>
  <si>
    <t xml:space="preserve">c)Deferred </t>
  </si>
  <si>
    <t xml:space="preserve">   Receivables</t>
  </si>
  <si>
    <t>Share Capital</t>
  </si>
  <si>
    <t>d)Others (MM)</t>
  </si>
  <si>
    <t>Share Appl. + Share Pre.</t>
  </si>
  <si>
    <t>(MM on LC BG etc.)</t>
  </si>
  <si>
    <t>Capital</t>
  </si>
  <si>
    <t>Non consumable</t>
  </si>
  <si>
    <t>stores/spares</t>
  </si>
  <si>
    <t>Debt Redemption Reserve</t>
  </si>
  <si>
    <t>Other Misc.</t>
  </si>
  <si>
    <t>Assets incl.dues</t>
  </si>
  <si>
    <t>General Reserve</t>
  </si>
  <si>
    <t xml:space="preserve">from directors Sec </t>
  </si>
  <si>
    <t xml:space="preserve"> Deps.</t>
  </si>
  <si>
    <t>Total other Non</t>
  </si>
  <si>
    <t>Special Reserve</t>
  </si>
  <si>
    <t>Surplus (+) or</t>
  </si>
  <si>
    <t>Intangible assets</t>
  </si>
  <si>
    <t>Deficit (-) in</t>
  </si>
  <si>
    <t>P &amp; L Account</t>
  </si>
  <si>
    <t>Total Assets</t>
  </si>
  <si>
    <t>Net Worth</t>
  </si>
  <si>
    <t>T. N. W.</t>
  </si>
  <si>
    <t>Total Liabilities</t>
  </si>
  <si>
    <t>Net WorkingCapital</t>
  </si>
  <si>
    <t>CHECK</t>
  </si>
  <si>
    <t>( 21 )</t>
  </si>
  <si>
    <t xml:space="preserve">ACCOUNT  </t>
  </si>
  <si>
    <t>FUNDS FLOW STATEMENT</t>
  </si>
  <si>
    <t>Annexure VII</t>
  </si>
  <si>
    <t>Year ended/ending</t>
  </si>
  <si>
    <t>SOURCES</t>
  </si>
  <si>
    <t>Profit before tax</t>
  </si>
  <si>
    <t>Add: Depreciation</t>
  </si>
  <si>
    <t>Gross Funds Generated</t>
  </si>
  <si>
    <t>Less: Taxes paid/payable</t>
  </si>
  <si>
    <t>Less: Dividends paid/payable</t>
  </si>
  <si>
    <t>A.</t>
  </si>
  <si>
    <t>Subtotal   :   Net Funds Generated</t>
  </si>
  <si>
    <t>Increase in Capital</t>
  </si>
  <si>
    <t xml:space="preserve">Increase in TL/Deb/DPG </t>
  </si>
  <si>
    <t>Increase in Public Deposits</t>
  </si>
  <si>
    <t>Decrease in Fixed Assets</t>
  </si>
  <si>
    <t>Decrease in Inter.Corp.Inv. &amp; Advances</t>
  </si>
  <si>
    <t>Decrease in Other Non Current assets</t>
  </si>
  <si>
    <t>B.</t>
  </si>
  <si>
    <t>Sub total</t>
  </si>
  <si>
    <t>Increase in ST Bank borrowings</t>
  </si>
  <si>
    <t>Increase in other current liabilities</t>
  </si>
  <si>
    <t>Decrease in inventory</t>
  </si>
  <si>
    <t>Decrease in Receivables</t>
  </si>
  <si>
    <t>Decrease in Other current assets</t>
  </si>
  <si>
    <t>C.</t>
  </si>
  <si>
    <t>Total Funds Available</t>
  </si>
  <si>
    <t xml:space="preserve">ACCOUNT M/S </t>
  </si>
  <si>
    <t>(CONT'D)</t>
  </si>
  <si>
    <t>USES</t>
  </si>
  <si>
    <t>Increase in Fixed Assets</t>
  </si>
  <si>
    <t>Decrease in LT/Deb/DPG</t>
  </si>
  <si>
    <t>Decrease in Public Deposits</t>
  </si>
  <si>
    <t>Increase in int.corp.inv.&amp; Adv.</t>
  </si>
  <si>
    <t>Increase in other non current assets</t>
  </si>
  <si>
    <t>D.</t>
  </si>
  <si>
    <t>Decrease in ST Bank borrowings</t>
  </si>
  <si>
    <t>Decrease in Other current liabilities</t>
  </si>
  <si>
    <t>Increase in Inventory</t>
  </si>
  <si>
    <t>Increase in Receivables</t>
  </si>
  <si>
    <t>Increase in Other current assets</t>
  </si>
  <si>
    <t>E.</t>
  </si>
  <si>
    <t>Loss</t>
  </si>
  <si>
    <t>Less depreciation</t>
  </si>
  <si>
    <t>Balance:</t>
  </si>
  <si>
    <t>Grossfunds lost(-)/generated(+)</t>
  </si>
  <si>
    <t>Add : Taxes paid/payable</t>
  </si>
  <si>
    <t>Add: Dividends paid/payable</t>
  </si>
  <si>
    <t>F.</t>
  </si>
  <si>
    <t>Sub Total</t>
  </si>
  <si>
    <t>Total Funds Used</t>
  </si>
  <si>
    <t>SUMMARY</t>
  </si>
  <si>
    <t>LONG TERM SOURCES</t>
  </si>
  <si>
    <t>Less: LONG TERM USES</t>
  </si>
  <si>
    <t>SURPLUS (+) / SHORTFALL (-)</t>
  </si>
  <si>
    <t>SHORT TERM SOURCES</t>
  </si>
  <si>
    <t>Less: SHORT TERM USES</t>
  </si>
  <si>
    <t>ACCOUNT M/S</t>
  </si>
  <si>
    <t xml:space="preserve">11.1 Financial Indicators </t>
  </si>
  <si>
    <t>(Rs. in crore)</t>
  </si>
  <si>
    <t>FY</t>
  </si>
  <si>
    <t>Paid-Up Capital</t>
  </si>
  <si>
    <t>Reserves &amp; Surplus</t>
  </si>
  <si>
    <t>Intangible Assets</t>
  </si>
  <si>
    <t>Tangible Net Worth</t>
  </si>
  <si>
    <t>Adjusted TNW</t>
  </si>
  <si>
    <t>Long Term Liabilities</t>
  </si>
  <si>
    <t>Unsecured loans from
Promoters / family
included under (5)</t>
  </si>
  <si>
    <t>Capital Employed (4)+(6)</t>
  </si>
  <si>
    <t>Non-Current Assets</t>
  </si>
  <si>
    <t>NWC</t>
  </si>
  <si>
    <t>Net Sales</t>
  </si>
  <si>
    <t>Domestic</t>
  </si>
  <si>
    <t>Export</t>
  </si>
  <si>
    <t>% Growth</t>
  </si>
  <si>
    <t>Long Term Sources</t>
  </si>
  <si>
    <t>Long Term Uses</t>
  </si>
  <si>
    <t>Surplus/Deficit</t>
  </si>
  <si>
    <t>Short Term Sources</t>
  </si>
  <si>
    <t>Short Term Uses</t>
  </si>
  <si>
    <t>FACR</t>
  </si>
  <si>
    <t>Return on Equity %</t>
  </si>
  <si>
    <t>Return on Assets %</t>
  </si>
  <si>
    <t>Average DSCR (for
 Proposed Term Loan)</t>
  </si>
  <si>
    <t>Account</t>
  </si>
  <si>
    <t>Parameter</t>
  </si>
  <si>
    <t>Period 
ended</t>
  </si>
  <si>
    <t>Latest 
quarter 
ended</t>
  </si>
  <si>
    <t>Corresponding 
quarter of last 
year</t>
  </si>
  <si>
    <t>% change</t>
  </si>
  <si>
    <t>Cumulative up to this quarter of current year</t>
  </si>
  <si>
    <t>Cumulative up to this quarter of previous year</t>
  </si>
  <si>
    <t>11.3. RATIOS:                                                                                                                       (Rs. In crore)</t>
  </si>
  <si>
    <t>Particulars</t>
  </si>
  <si>
    <t>Current Ratio</t>
  </si>
  <si>
    <t>Debt/Equity Ratio</t>
  </si>
  <si>
    <t xml:space="preserve">TOL/TNW Ratio </t>
  </si>
  <si>
    <t xml:space="preserve">TOL/TNW Ratio with unsecured loan as quasi capital &amp; included in Net Worth </t>
  </si>
  <si>
    <t>Gross Profit</t>
  </si>
  <si>
    <t>EBIDTA</t>
  </si>
  <si>
    <t>Net Profit Before Tax</t>
  </si>
  <si>
    <t>Net Profit After Tax</t>
  </si>
  <si>
    <t>% of growth</t>
  </si>
  <si>
    <t>Depreciation</t>
  </si>
  <si>
    <t>Cash Accruals</t>
  </si>
  <si>
    <t>Gross Profit margin %</t>
  </si>
  <si>
    <t>Net Profit margin %</t>
  </si>
  <si>
    <t>Debt/EBIDTA %</t>
  </si>
  <si>
    <t>CALCULATION OF DSCR</t>
  </si>
  <si>
    <t>PARTICULAR</t>
  </si>
  <si>
    <t>I</t>
  </si>
  <si>
    <t>II</t>
  </si>
  <si>
    <t>III</t>
  </si>
  <si>
    <t xml:space="preserve">IV </t>
  </si>
  <si>
    <t>V</t>
  </si>
  <si>
    <t>VI</t>
  </si>
  <si>
    <t>VII</t>
  </si>
  <si>
    <t>VIII</t>
  </si>
  <si>
    <t>TOTAL</t>
  </si>
  <si>
    <t>PAT</t>
  </si>
  <si>
    <t>ADD DEPRICIATION</t>
  </si>
  <si>
    <t>P&amp;P EXPENSES</t>
  </si>
  <si>
    <t>ADD INTT.</t>
  </si>
  <si>
    <t>TOTAL (A) AVG. CASH ACCRUED</t>
  </si>
  <si>
    <t>INTEREST</t>
  </si>
  <si>
    <t>ADD INSTALMENT OF T/L</t>
  </si>
  <si>
    <t>TOTAL (B) AVG. OF OBLIGATIONS</t>
  </si>
  <si>
    <t>DSCR (A/B)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</si>
</sst>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2" fontId="3" fillId="0" borderId="10" xfId="0" applyNumberFormat="1" applyFont="1" applyBorder="1"/>
    <xf numFmtId="2" fontId="3" fillId="0" borderId="1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2" fontId="3" fillId="0" borderId="0" xfId="0" applyNumberFormat="1" applyFont="1"/>
    <xf numFmtId="2" fontId="3" fillId="0" borderId="13" xfId="0" applyNumberFormat="1" applyFont="1" applyBorder="1"/>
    <xf numFmtId="49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5" xfId="0" applyNumberFormat="1" applyFont="1" applyBorder="1"/>
    <xf numFmtId="2" fontId="3" fillId="0" borderId="0" xfId="0" applyNumberFormat="1" applyFont="1" applyProtection="1">
      <protection locked="0"/>
    </xf>
    <xf numFmtId="2" fontId="3" fillId="0" borderId="5" xfId="0" applyNumberFormat="1" applyFont="1" applyBorder="1" applyProtection="1">
      <protection locked="0"/>
    </xf>
    <xf numFmtId="14" fontId="3" fillId="0" borderId="14" xfId="0" applyNumberFormat="1" applyFont="1" applyBorder="1" applyAlignment="1">
      <alignment horizontal="center"/>
    </xf>
    <xf numFmtId="0" fontId="3" fillId="0" borderId="13" xfId="0" applyFont="1" applyBorder="1"/>
    <xf numFmtId="14" fontId="3" fillId="0" borderId="4" xfId="0" applyNumberFormat="1" applyFont="1" applyBorder="1" applyAlignment="1">
      <alignment horizontal="center"/>
    </xf>
    <xf numFmtId="14" fontId="3" fillId="0" borderId="4" xfId="0" applyNumberFormat="1" applyFont="1" applyBorder="1"/>
    <xf numFmtId="14" fontId="3" fillId="0" borderId="6" xfId="0" applyNumberFormat="1" applyFont="1" applyBorder="1" applyAlignment="1">
      <alignment horizontal="center"/>
    </xf>
    <xf numFmtId="2" fontId="3" fillId="0" borderId="1" xfId="0" applyNumberFormat="1" applyFont="1" applyBorder="1"/>
    <xf numFmtId="2" fontId="3" fillId="0" borderId="8" xfId="0" applyNumberFormat="1" applyFont="1" applyBorder="1"/>
    <xf numFmtId="2" fontId="3" fillId="0" borderId="4" xfId="0" applyNumberFormat="1" applyFont="1" applyBorder="1"/>
    <xf numFmtId="2" fontId="3" fillId="0" borderId="6" xfId="0" applyNumberFormat="1" applyFont="1" applyBorder="1"/>
    <xf numFmtId="2" fontId="3" fillId="0" borderId="12" xfId="0" applyNumberFormat="1" applyFont="1" applyBorder="1"/>
    <xf numFmtId="1" fontId="2" fillId="0" borderId="0" xfId="0" applyNumberFormat="1" applyFont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9" fontId="3" fillId="0" borderId="5" xfId="1" applyFont="1" applyBorder="1"/>
    <xf numFmtId="2" fontId="3" fillId="0" borderId="2" xfId="0" applyNumberFormat="1" applyFont="1" applyBorder="1"/>
    <xf numFmtId="2" fontId="3" fillId="0" borderId="15" xfId="0" applyNumberFormat="1" applyFont="1" applyBorder="1"/>
    <xf numFmtId="9" fontId="3" fillId="0" borderId="15" xfId="1" applyFont="1" applyBorder="1"/>
    <xf numFmtId="0" fontId="3" fillId="0" borderId="15" xfId="0" applyFont="1" applyBorder="1"/>
    <xf numFmtId="2" fontId="3" fillId="0" borderId="2" xfId="0" applyNumberFormat="1" applyFont="1" applyBorder="1" applyProtection="1">
      <protection locked="0"/>
    </xf>
    <xf numFmtId="2" fontId="3" fillId="0" borderId="15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5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6" xfId="0" applyFont="1" applyBorder="1" applyProtection="1">
      <protection locked="0"/>
    </xf>
    <xf numFmtId="14" fontId="3" fillId="0" borderId="1" xfId="0" applyNumberFormat="1" applyFont="1" applyBorder="1"/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Protection="1">
      <protection locked="0"/>
    </xf>
    <xf numFmtId="10" fontId="3" fillId="0" borderId="0" xfId="1" applyNumberFormat="1" applyFont="1"/>
    <xf numFmtId="10" fontId="3" fillId="0" borderId="0" xfId="0" applyNumberFormat="1" applyFont="1"/>
    <xf numFmtId="0" fontId="3" fillId="0" borderId="13" xfId="0" applyFont="1" applyBorder="1" applyAlignment="1">
      <alignment horizontal="center"/>
    </xf>
    <xf numFmtId="9" fontId="3" fillId="0" borderId="14" xfId="1" applyFont="1" applyBorder="1"/>
    <xf numFmtId="9" fontId="3" fillId="0" borderId="12" xfId="1" applyFont="1" applyBorder="1"/>
    <xf numFmtId="10" fontId="3" fillId="0" borderId="13" xfId="1" applyNumberFormat="1" applyFont="1" applyBorder="1"/>
    <xf numFmtId="49" fontId="3" fillId="0" borderId="4" xfId="0" applyNumberFormat="1" applyFont="1" applyBorder="1"/>
    <xf numFmtId="9" fontId="3" fillId="0" borderId="15" xfId="1" applyFont="1" applyBorder="1" applyProtection="1">
      <protection locked="0"/>
    </xf>
    <xf numFmtId="10" fontId="3" fillId="0" borderId="15" xfId="1" applyNumberFormat="1" applyFont="1" applyBorder="1" applyProtection="1">
      <protection locked="0"/>
    </xf>
    <xf numFmtId="0" fontId="3" fillId="0" borderId="2" xfId="0" applyFont="1" applyBorder="1" applyAlignment="1" applyProtection="1">
      <alignment horizontal="right"/>
      <protection locked="0"/>
    </xf>
    <xf numFmtId="49" fontId="3" fillId="0" borderId="0" xfId="0" applyNumberFormat="1" applyFont="1" applyProtection="1">
      <protection locked="0"/>
    </xf>
    <xf numFmtId="49" fontId="3" fillId="0" borderId="5" xfId="0" applyNumberFormat="1" applyFont="1" applyBorder="1" applyAlignment="1" applyProtection="1">
      <alignment horizontal="left"/>
      <protection locked="0"/>
    </xf>
    <xf numFmtId="10" fontId="3" fillId="0" borderId="5" xfId="1" applyNumberFormat="1" applyFont="1" applyBorder="1" applyProtection="1">
      <protection locked="0"/>
    </xf>
    <xf numFmtId="0" fontId="3" fillId="0" borderId="0" xfId="0" applyFont="1" applyAlignment="1" applyProtection="1">
      <alignment shrinkToFit="1"/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10" fontId="3" fillId="0" borderId="13" xfId="1" applyNumberFormat="1" applyFont="1" applyBorder="1" applyProtection="1">
      <protection locked="0"/>
    </xf>
    <xf numFmtId="2" fontId="3" fillId="0" borderId="10" xfId="0" applyNumberFormat="1" applyFont="1" applyBorder="1" applyProtection="1">
      <protection locked="0"/>
    </xf>
    <xf numFmtId="2" fontId="3" fillId="0" borderId="11" xfId="0" applyNumberFormat="1" applyFont="1" applyBorder="1" applyProtection="1">
      <protection locked="0"/>
    </xf>
    <xf numFmtId="10" fontId="3" fillId="0" borderId="11" xfId="1" applyNumberFormat="1" applyFont="1" applyBorder="1" applyProtection="1">
      <protection locked="0"/>
    </xf>
    <xf numFmtId="2" fontId="3" fillId="0" borderId="8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center"/>
    </xf>
    <xf numFmtId="2" fontId="3" fillId="0" borderId="13" xfId="0" applyNumberFormat="1" applyFont="1" applyBorder="1" applyProtection="1">
      <protection locked="0"/>
    </xf>
    <xf numFmtId="1" fontId="3" fillId="0" borderId="0" xfId="0" applyNumberFormat="1" applyFont="1" applyAlignment="1">
      <alignment horizontal="left"/>
    </xf>
    <xf numFmtId="2" fontId="3" fillId="0" borderId="7" xfId="0" applyNumberFormat="1" applyFont="1" applyBorder="1"/>
    <xf numFmtId="2" fontId="3" fillId="0" borderId="14" xfId="1" applyNumberFormat="1" applyFont="1" applyBorder="1"/>
    <xf numFmtId="2" fontId="3" fillId="0" borderId="1" xfId="0" applyNumberFormat="1" applyFont="1" applyBorder="1" applyProtection="1">
      <protection locked="0"/>
    </xf>
    <xf numFmtId="2" fontId="3" fillId="0" borderId="15" xfId="1" applyNumberFormat="1" applyFont="1" applyBorder="1"/>
    <xf numFmtId="2" fontId="3" fillId="0" borderId="0" xfId="1" applyNumberFormat="1" applyFont="1" applyBorder="1"/>
    <xf numFmtId="2" fontId="0" fillId="0" borderId="0" xfId="0" applyNumberFormat="1"/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16" xfId="0" applyNumberFormat="1" applyFont="1" applyBorder="1"/>
    <xf numFmtId="2" fontId="2" fillId="0" borderId="16" xfId="0" applyNumberFormat="1" applyFont="1" applyBorder="1"/>
    <xf numFmtId="2" fontId="3" fillId="0" borderId="16" xfId="0" applyNumberFormat="1" applyFont="1" applyBorder="1" applyProtection="1">
      <protection locked="0"/>
    </xf>
    <xf numFmtId="0" fontId="3" fillId="0" borderId="16" xfId="0" applyFont="1" applyBorder="1" applyAlignment="1">
      <alignment shrinkToFit="1"/>
    </xf>
    <xf numFmtId="0" fontId="3" fillId="0" borderId="16" xfId="0" applyFont="1" applyBorder="1" applyAlignment="1">
      <alignment wrapText="1" shrinkToFit="1"/>
    </xf>
    <xf numFmtId="14" fontId="3" fillId="0" borderId="16" xfId="0" applyNumberFormat="1" applyFont="1" applyBorder="1"/>
    <xf numFmtId="0" fontId="3" fillId="0" borderId="16" xfId="0" applyFont="1" applyBorder="1" applyProtection="1">
      <protection locked="0"/>
    </xf>
    <xf numFmtId="0" fontId="3" fillId="0" borderId="16" xfId="0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vertical="top" wrapText="1"/>
    </xf>
    <xf numFmtId="2" fontId="0" fillId="0" borderId="16" xfId="0" applyNumberFormat="1" applyBorder="1"/>
    <xf numFmtId="2" fontId="0" fillId="0" borderId="16" xfId="0" quotePrefix="1" applyNumberFormat="1" applyBorder="1"/>
    <xf numFmtId="14" fontId="4" fillId="0" borderId="16" xfId="0" applyNumberFormat="1" applyFont="1" applyBorder="1"/>
    <xf numFmtId="164" fontId="0" fillId="0" borderId="16" xfId="0" applyNumberFormat="1" applyBorder="1"/>
    <xf numFmtId="0" fontId="3" fillId="0" borderId="16" xfId="0" applyFont="1" applyBorder="1" applyAlignment="1">
      <alignment horizontal="right"/>
    </xf>
    <xf numFmtId="49" fontId="2" fillId="0" borderId="16" xfId="0" applyNumberFormat="1" applyFont="1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/>
    <xf numFmtId="14" fontId="3" fillId="0" borderId="19" xfId="0" applyNumberFormat="1" applyFont="1" applyBorder="1" applyAlignment="1">
      <alignment horizontal="center"/>
    </xf>
    <xf numFmtId="14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0" xfId="0" applyFont="1" applyBorder="1"/>
    <xf numFmtId="2" fontId="3" fillId="0" borderId="24" xfId="0" applyNumberFormat="1" applyFont="1" applyBorder="1"/>
    <xf numFmtId="2" fontId="3" fillId="0" borderId="22" xfId="0" applyNumberFormat="1" applyFont="1" applyBorder="1"/>
    <xf numFmtId="2" fontId="3" fillId="0" borderId="23" xfId="0" applyNumberFormat="1" applyFont="1" applyBorder="1"/>
    <xf numFmtId="0" fontId="0" fillId="0" borderId="18" xfId="0" applyBorder="1"/>
    <xf numFmtId="14" fontId="3" fillId="0" borderId="21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0" fontId="0" fillId="0" borderId="20" xfId="0" applyBorder="1"/>
    <xf numFmtId="0" fontId="0" fillId="0" borderId="24" xfId="0" applyBorder="1"/>
    <xf numFmtId="2" fontId="2" fillId="0" borderId="24" xfId="0" applyNumberFormat="1" applyFont="1" applyBorder="1"/>
    <xf numFmtId="2" fontId="2" fillId="0" borderId="22" xfId="0" applyNumberFormat="1" applyFont="1" applyBorder="1"/>
    <xf numFmtId="2" fontId="2" fillId="0" borderId="23" xfId="0" applyNumberFormat="1" applyFont="1" applyBorder="1"/>
    <xf numFmtId="4" fontId="0" fillId="0" borderId="16" xfId="0" applyNumberFormat="1" applyBorder="1"/>
    <xf numFmtId="2" fontId="3" fillId="0" borderId="14" xfId="0" applyNumberFormat="1" applyFont="1" applyBorder="1"/>
    <xf numFmtId="2" fontId="0" fillId="0" borderId="25" xfId="0" applyNumberFormat="1" applyBorder="1"/>
    <xf numFmtId="0" fontId="0" fillId="0" borderId="25" xfId="0" applyBorder="1"/>
    <xf numFmtId="0" fontId="4" fillId="0" borderId="2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" fontId="4" fillId="0" borderId="25" xfId="0" applyNumberFormat="1" applyFont="1" applyBorder="1"/>
    <xf numFmtId="4" fontId="4" fillId="0" borderId="16" xfId="0" applyNumberFormat="1" applyFont="1" applyBorder="1"/>
    <xf numFmtId="2" fontId="4" fillId="0" borderId="25" xfId="0" applyNumberFormat="1" applyFont="1" applyBorder="1"/>
    <xf numFmtId="2" fontId="4" fillId="0" borderId="16" xfId="0" applyNumberFormat="1" applyFont="1" applyBorder="1"/>
    <xf numFmtId="0" fontId="4" fillId="0" borderId="25" xfId="0" applyFont="1" applyBorder="1"/>
    <xf numFmtId="14" fontId="4" fillId="0" borderId="16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6" fillId="0" borderId="0" xfId="0" applyFont="1"/>
    <xf numFmtId="0" fontId="5" fillId="2" borderId="26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0" borderId="18" xfId="0" applyFont="1" applyBorder="1"/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4" fontId="3" fillId="2" borderId="16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4" fontId="3" fillId="4" borderId="16" xfId="0" applyNumberFormat="1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3" fillId="0" borderId="16" xfId="0" applyFont="1" applyBorder="1" applyAlignment="1">
      <alignment shrinkToFi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31" xfId="0" applyBorder="1" applyAlignment="1">
      <alignment horizontal="right"/>
    </xf>
    <xf numFmtId="4" fontId="0" fillId="0" borderId="32" xfId="0" applyNumberFormat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0" fontId="4" fillId="0" borderId="31" xfId="0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EE0A-D47B-4D72-8EAD-1C8435307ED5}">
  <dimension ref="A2:J16"/>
  <sheetViews>
    <sheetView showGridLines="0" workbookViewId="0"/>
  </sheetViews>
  <sheetFormatPr defaultColWidth="9.21875" defaultRowHeight="14.25"/>
  <cols>
    <col min="1" max="1" width="9.21875" style="152"/>
    <col min="2" max="2" width="26.77734375" style="152" customWidth="1"/>
    <col min="3" max="3" width="24.88671875" style="152" customWidth="1"/>
    <col min="4" max="4" width="43.6640625" style="152" bestFit="1" customWidth="1"/>
    <col min="5" max="16384" width="9.21875" style="152"/>
  </cols>
  <sheetData>
    <row r="2" spans="1:10" ht="48.95" customHeight="1">
      <c r="A2" s="153" t="s">
        <v>0</v>
      </c>
      <c r="B2" s="153" t="s">
        <v>1</v>
      </c>
      <c r="C2" s="153" t="s">
        <v>2</v>
      </c>
      <c r="D2" s="153" t="s">
        <v>3</v>
      </c>
    </row>
    <row r="3" spans="1:10">
      <c r="A3" s="156">
        <v>1</v>
      </c>
      <c r="B3" s="154" t="s">
        <v>4</v>
      </c>
      <c r="C3" s="154"/>
      <c r="D3" s="154"/>
    </row>
    <row r="4" spans="1:10">
      <c r="A4" s="156">
        <v>2</v>
      </c>
      <c r="B4" s="154" t="s">
        <v>5</v>
      </c>
      <c r="C4" s="154"/>
      <c r="D4" s="154"/>
      <c r="J4" s="152" t="s">
        <v>6</v>
      </c>
    </row>
    <row r="5" spans="1:10">
      <c r="A5" s="156">
        <v>3</v>
      </c>
      <c r="B5" s="154" t="s">
        <v>7</v>
      </c>
      <c r="C5" s="154"/>
      <c r="D5" s="154"/>
    </row>
    <row r="6" spans="1:10">
      <c r="A6" s="156">
        <v>4</v>
      </c>
      <c r="B6" s="154" t="s">
        <v>8</v>
      </c>
      <c r="C6" s="154"/>
      <c r="D6" s="154"/>
    </row>
    <row r="7" spans="1:10">
      <c r="A7" s="156">
        <v>5</v>
      </c>
      <c r="B7" s="154" t="s">
        <v>9</v>
      </c>
      <c r="C7" s="154"/>
      <c r="D7" s="154"/>
    </row>
    <row r="8" spans="1:10">
      <c r="A8" s="156">
        <v>6</v>
      </c>
      <c r="B8" s="154" t="s">
        <v>10</v>
      </c>
      <c r="C8" s="154"/>
      <c r="D8" s="154"/>
    </row>
    <row r="9" spans="1:10">
      <c r="A9" s="156">
        <v>7</v>
      </c>
      <c r="B9" s="154" t="s">
        <v>11</v>
      </c>
      <c r="C9" s="154"/>
      <c r="D9" s="154"/>
    </row>
    <row r="10" spans="1:10">
      <c r="A10" s="156">
        <v>8</v>
      </c>
      <c r="B10" s="154" t="s">
        <v>12</v>
      </c>
      <c r="C10" s="154"/>
      <c r="D10" s="154"/>
    </row>
    <row r="11" spans="1:10">
      <c r="A11" s="157">
        <v>9</v>
      </c>
      <c r="B11" s="155" t="s">
        <v>13</v>
      </c>
      <c r="C11" s="155"/>
      <c r="D11" s="155"/>
    </row>
    <row r="13" spans="1:10">
      <c r="B13" s="152" t="s">
        <v>14</v>
      </c>
    </row>
    <row r="14" spans="1:10">
      <c r="B14" s="152" t="s">
        <v>15</v>
      </c>
    </row>
    <row r="15" spans="1:10">
      <c r="B15" s="152" t="s">
        <v>16</v>
      </c>
      <c r="C15" s="152" t="s">
        <v>17</v>
      </c>
      <c r="D15" s="152" t="s">
        <v>18</v>
      </c>
    </row>
    <row r="16" spans="1:10">
      <c r="C16" s="15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871F-51CE-4E59-AB00-A66333411785}">
  <sheetPr>
    <pageSetUpPr fitToPage="1"/>
  </sheetPr>
  <dimension ref="A1:J44"/>
  <sheetViews>
    <sheetView topLeftCell="A2" zoomScaleNormal="75" workbookViewId="0">
      <selection activeCell="C5" sqref="C5:J5"/>
    </sheetView>
  </sheetViews>
  <sheetFormatPr defaultColWidth="8.6640625" defaultRowHeight="15"/>
  <cols>
    <col min="1" max="1" width="3.88671875" style="116" customWidth="1"/>
    <col min="2" max="2" width="20" customWidth="1"/>
    <col min="3" max="3" width="11.6640625" customWidth="1"/>
    <col min="4" max="4" width="11.33203125" bestFit="1" customWidth="1"/>
    <col min="5" max="5" width="12.6640625" customWidth="1"/>
    <col min="6" max="6" width="11.33203125" customWidth="1"/>
    <col min="7" max="7" width="10.6640625" customWidth="1"/>
    <col min="8" max="10" width="10.109375" customWidth="1"/>
  </cols>
  <sheetData>
    <row r="1" spans="1:10" ht="15.75">
      <c r="A1" s="178" t="s">
        <v>388</v>
      </c>
      <c r="B1" s="178"/>
      <c r="C1" s="178"/>
      <c r="D1" s="178"/>
      <c r="E1" s="178"/>
      <c r="F1" s="178"/>
    </row>
    <row r="2" spans="1:10">
      <c r="A2" s="181" t="s">
        <v>389</v>
      </c>
      <c r="B2" s="181"/>
      <c r="C2" s="181"/>
      <c r="D2" s="181"/>
      <c r="E2" s="181"/>
      <c r="F2" s="181"/>
      <c r="G2" s="181"/>
      <c r="H2" s="181"/>
      <c r="I2" s="181"/>
      <c r="J2" s="181"/>
    </row>
    <row r="3" spans="1:10" ht="15.75">
      <c r="A3" s="151"/>
      <c r="B3" s="96"/>
      <c r="C3" s="144" t="s">
        <v>390</v>
      </c>
      <c r="D3" s="144" t="s">
        <v>390</v>
      </c>
      <c r="E3" s="144" t="s">
        <v>390</v>
      </c>
      <c r="F3" s="144" t="s">
        <v>390</v>
      </c>
      <c r="G3" s="144" t="s">
        <v>390</v>
      </c>
      <c r="H3" s="144" t="s">
        <v>390</v>
      </c>
      <c r="I3" s="144" t="s">
        <v>390</v>
      </c>
      <c r="J3" s="144" t="s">
        <v>390</v>
      </c>
    </row>
    <row r="4" spans="1:10" ht="15.75">
      <c r="A4" s="151"/>
      <c r="B4" s="96"/>
      <c r="C4" s="150" t="str">
        <f>'Profit &amp; Loss Statement'!D4</f>
        <v>31.03.2022</v>
      </c>
      <c r="D4" s="150" t="str">
        <f>'Profit &amp; Loss Statement'!E4</f>
        <v>31.03.2023</v>
      </c>
      <c r="E4" s="150">
        <f>'Profit &amp; Loss Statement'!F4</f>
        <v>45382</v>
      </c>
      <c r="F4" s="150">
        <f>'Profit &amp; Loss Statement'!G4</f>
        <v>45747</v>
      </c>
      <c r="G4" s="150">
        <f>'Profit &amp; Loss Statement'!H4</f>
        <v>46112</v>
      </c>
      <c r="H4" s="150">
        <f>'Profit &amp; Loss Statement'!I4</f>
        <v>46477</v>
      </c>
      <c r="I4" s="150" t="str">
        <f>'Profit &amp; Loss Statement'!J4</f>
        <v>31.03.2028</v>
      </c>
      <c r="J4" s="150" t="str">
        <f>'Profit &amp; Loss Statement'!K4</f>
        <v>31.03.2029</v>
      </c>
    </row>
    <row r="5" spans="1:10" ht="15.75">
      <c r="A5" s="117"/>
      <c r="B5" s="96"/>
      <c r="C5" s="144" t="str">
        <f>'Profit &amp; Loss Statement'!D5</f>
        <v>Actuals</v>
      </c>
      <c r="D5" s="144" t="str">
        <f>'Profit &amp; Loss Statement'!E5</f>
        <v>Actuals</v>
      </c>
      <c r="E5" s="144" t="str">
        <f>'Profit &amp; Loss Statement'!F5</f>
        <v>Actuals</v>
      </c>
      <c r="F5" s="144" t="str">
        <f>'Profit &amp; Loss Statement'!G5</f>
        <v>Estimated</v>
      </c>
      <c r="G5" s="144" t="str">
        <f>'Profit &amp; Loss Statement'!H5</f>
        <v>Projected</v>
      </c>
      <c r="H5" s="144" t="str">
        <f>'Profit &amp; Loss Statement'!I5</f>
        <v>Projected</v>
      </c>
      <c r="I5" s="144" t="str">
        <f>'Profit &amp; Loss Statement'!J5</f>
        <v>Projected</v>
      </c>
      <c r="J5" s="144" t="str">
        <f>'Profit &amp; Loss Statement'!K5</f>
        <v>Projected</v>
      </c>
    </row>
    <row r="6" spans="1:10">
      <c r="A6" s="117">
        <v>1</v>
      </c>
      <c r="B6" s="96" t="s">
        <v>391</v>
      </c>
      <c r="C6" s="109">
        <f>('Balance Sheet2'!C32)/100</f>
        <v>3.55</v>
      </c>
      <c r="D6" s="109">
        <f>('Balance Sheet2'!D32)/100</f>
        <v>3.55</v>
      </c>
      <c r="E6" s="109">
        <f>('Balance Sheet2'!E32)/100</f>
        <v>3.55</v>
      </c>
      <c r="F6" s="109">
        <f>('Balance Sheet2'!F32)/100</f>
        <v>3.55</v>
      </c>
      <c r="G6" s="109">
        <f>('Balance Sheet2'!G32)/100</f>
        <v>3.55</v>
      </c>
      <c r="H6" s="109">
        <f>('Balance Sheet2'!H32)/100</f>
        <v>3.55</v>
      </c>
      <c r="I6" s="109">
        <f>('Balance Sheet2'!I32)/100</f>
        <v>3.55</v>
      </c>
      <c r="J6" s="109">
        <f>('Balance Sheet2'!J32)/100</f>
        <v>3.55</v>
      </c>
    </row>
    <row r="7" spans="1:10">
      <c r="A7" s="117">
        <v>2</v>
      </c>
      <c r="B7" s="96" t="s">
        <v>392</v>
      </c>
      <c r="C7" s="108">
        <f>('Balance Sheet2'!C34+'Balance Sheet2'!C37+'Balance Sheet2'!C40+'Balance Sheet2'!C46+'Balance Sheet2'!C43)/100</f>
        <v>0.25589999999999941</v>
      </c>
      <c r="D7" s="108">
        <f>('Balance Sheet2'!D34+'Balance Sheet2'!D37+'Balance Sheet2'!D40+'Balance Sheet2'!D46+'Balance Sheet2'!D43)/100</f>
        <v>1.1152999999999986</v>
      </c>
      <c r="E7" s="108">
        <f>('Balance Sheet2'!E34+'Balance Sheet2'!E37+'Balance Sheet2'!E40+'Balance Sheet2'!E46+'Balance Sheet2'!E43)/100</f>
        <v>2.2590999999999974</v>
      </c>
      <c r="F7" s="108">
        <f>('Balance Sheet2'!F34+'Balance Sheet2'!F37+'Balance Sheet2'!F40+'Balance Sheet2'!F46+'Balance Sheet2'!F43)/100</f>
        <v>3.7806999999999973</v>
      </c>
      <c r="G7" s="108">
        <f>('Balance Sheet2'!G34+'Balance Sheet2'!G37+'Balance Sheet2'!G40+'Balance Sheet2'!G46+'Balance Sheet2'!G43)/100</f>
        <v>5.6571999999999996</v>
      </c>
      <c r="H7" s="108">
        <f>('Balance Sheet2'!H34+'Balance Sheet2'!H37+'Balance Sheet2'!H40+'Balance Sheet2'!H46+'Balance Sheet2'!H43)/100</f>
        <v>7.9116999999999988</v>
      </c>
      <c r="I7" s="108">
        <f>('Balance Sheet2'!I34+'Balance Sheet2'!I37+'Balance Sheet2'!I40+'Balance Sheet2'!I46+'Balance Sheet2'!I43)/100</f>
        <v>10.515900000000002</v>
      </c>
      <c r="J7" s="108">
        <f>('Balance Sheet2'!J34+'Balance Sheet2'!J37+'Balance Sheet2'!J40+'Balance Sheet2'!J46+'Balance Sheet2'!J43)/100</f>
        <v>13.435700000000002</v>
      </c>
    </row>
    <row r="8" spans="1:10">
      <c r="A8" s="117">
        <v>3</v>
      </c>
      <c r="B8" s="96" t="s">
        <v>393</v>
      </c>
      <c r="C8" s="108">
        <f>'Balance Sheet2'!N45/100</f>
        <v>0.3533</v>
      </c>
      <c r="D8" s="108">
        <f>'Balance Sheet2'!O45/100</f>
        <v>0.27329999999999999</v>
      </c>
      <c r="E8" s="108">
        <f>'Balance Sheet2'!P45/100</f>
        <v>0.19329999999999997</v>
      </c>
      <c r="F8" s="108">
        <f>'Balance Sheet2'!Q45/100</f>
        <v>0.1133</v>
      </c>
      <c r="G8" s="108">
        <f>'Balance Sheet2'!R45/100</f>
        <v>3.3300000000000003E-2</v>
      </c>
      <c r="H8" s="108">
        <f>'Balance Sheet2'!S45/100</f>
        <v>0</v>
      </c>
      <c r="I8" s="108">
        <f>'Balance Sheet2'!T45/100</f>
        <v>0</v>
      </c>
      <c r="J8" s="108">
        <f>'Balance Sheet2'!U45/100</f>
        <v>0</v>
      </c>
    </row>
    <row r="9" spans="1:10" ht="15.75">
      <c r="A9" s="117">
        <v>4</v>
      </c>
      <c r="B9" s="105" t="s">
        <v>394</v>
      </c>
      <c r="C9" s="108">
        <f t="shared" ref="C9:H9" si="0">C6+C7-C8</f>
        <v>3.4525999999999994</v>
      </c>
      <c r="D9" s="108">
        <f t="shared" si="0"/>
        <v>4.3919999999999986</v>
      </c>
      <c r="E9" s="108">
        <f t="shared" si="0"/>
        <v>5.6157999999999975</v>
      </c>
      <c r="F9" s="108">
        <f t="shared" si="0"/>
        <v>7.2173999999999969</v>
      </c>
      <c r="G9" s="108">
        <f t="shared" si="0"/>
        <v>9.1738999999999997</v>
      </c>
      <c r="H9" s="108">
        <f t="shared" si="0"/>
        <v>11.461699999999999</v>
      </c>
      <c r="I9" s="108">
        <f>I6+I7-I8</f>
        <v>14.065900000000003</v>
      </c>
      <c r="J9" s="108">
        <f>J6+J7-J8</f>
        <v>16.985700000000001</v>
      </c>
    </row>
    <row r="10" spans="1:10" ht="15.75">
      <c r="A10" s="117">
        <v>5</v>
      </c>
      <c r="B10" s="105" t="s">
        <v>395</v>
      </c>
      <c r="C10" s="108">
        <f>C9+('Balance Sheet2'!C23/100)-('Balance Sheet2'!N23/100)</f>
        <v>3.4525999999999994</v>
      </c>
      <c r="D10" s="108">
        <f>D9+('Balance Sheet2'!D23/100)-('Balance Sheet2'!O23/100)</f>
        <v>4.3919999999999986</v>
      </c>
      <c r="E10" s="108">
        <f>E9+('Balance Sheet2'!E23/100)-('Balance Sheet2'!P23/100)</f>
        <v>5.6157999999999975</v>
      </c>
      <c r="F10" s="108">
        <f>F9+('Balance Sheet2'!F23/100)-('Balance Sheet2'!Q23/100)</f>
        <v>7.2173999999999969</v>
      </c>
      <c r="G10" s="108">
        <f>G9+('Balance Sheet2'!G23/100)-('Balance Sheet2'!R23/100)</f>
        <v>9.1738999999999997</v>
      </c>
      <c r="H10" s="108">
        <f>H9+('Balance Sheet2'!H23/100)-('Balance Sheet2'!S23/100)</f>
        <v>11.461699999999999</v>
      </c>
      <c r="I10" s="108">
        <f>I9+('Balance Sheet2'!I23/100)-('Balance Sheet2'!T23/100)</f>
        <v>14.065900000000003</v>
      </c>
      <c r="J10" s="108">
        <f>J9+('Balance Sheet2'!J23/100)-('Balance Sheet2'!U23/100)</f>
        <v>16.985700000000001</v>
      </c>
    </row>
    <row r="11" spans="1:10">
      <c r="A11" s="117">
        <v>6</v>
      </c>
      <c r="B11" s="96" t="s">
        <v>396</v>
      </c>
      <c r="C11" s="108">
        <f>'Balance Sheet2'!C25/100</f>
        <v>8.8452000000000002</v>
      </c>
      <c r="D11" s="108">
        <f>'Balance Sheet2'!D25/100</f>
        <v>7.5023</v>
      </c>
      <c r="E11" s="108">
        <f>'Balance Sheet2'!E25/100</f>
        <v>6.1594000000000007</v>
      </c>
      <c r="F11" s="108">
        <f>'Balance Sheet2'!F25/100</f>
        <v>4.8164999999999996</v>
      </c>
      <c r="G11" s="108">
        <f>'Balance Sheet2'!G25/100</f>
        <v>3.4736000000000002</v>
      </c>
      <c r="H11" s="108">
        <f>'Balance Sheet2'!H25/100</f>
        <v>2.1307</v>
      </c>
      <c r="I11" s="108">
        <f>'Balance Sheet2'!I25/100</f>
        <v>0.9</v>
      </c>
      <c r="J11" s="108">
        <f>'Balance Sheet2'!J25/100</f>
        <v>0.9</v>
      </c>
    </row>
    <row r="12" spans="1:10" ht="45">
      <c r="A12" s="117">
        <v>7</v>
      </c>
      <c r="B12" s="106" t="s">
        <v>397</v>
      </c>
      <c r="C12" s="108">
        <f>'Balance Sheet2'!C22/100</f>
        <v>0.9</v>
      </c>
      <c r="D12" s="108">
        <f>'Balance Sheet2'!D22/100</f>
        <v>0.9</v>
      </c>
      <c r="E12" s="108">
        <f>'Balance Sheet2'!E22/100</f>
        <v>0.9</v>
      </c>
      <c r="F12" s="108">
        <f>'Balance Sheet2'!F22/100</f>
        <v>0.9</v>
      </c>
      <c r="G12" s="108">
        <f>'Balance Sheet2'!G22/100</f>
        <v>0.9</v>
      </c>
      <c r="H12" s="108">
        <f>'Balance Sheet2'!H22/100</f>
        <v>0.9</v>
      </c>
      <c r="I12" s="108">
        <f>'Balance Sheet2'!I22/100</f>
        <v>0.9</v>
      </c>
      <c r="J12" s="108">
        <f>'Balance Sheet2'!J22/100</f>
        <v>0.9</v>
      </c>
    </row>
    <row r="13" spans="1:10">
      <c r="A13" s="117">
        <v>8</v>
      </c>
      <c r="B13" s="96" t="s">
        <v>398</v>
      </c>
      <c r="C13" s="108">
        <f t="shared" ref="C13:H13" si="1">C9+C11</f>
        <v>12.297799999999999</v>
      </c>
      <c r="D13" s="108">
        <f t="shared" si="1"/>
        <v>11.894299999999998</v>
      </c>
      <c r="E13" s="108">
        <f t="shared" si="1"/>
        <v>11.775199999999998</v>
      </c>
      <c r="F13" s="108">
        <f t="shared" si="1"/>
        <v>12.033899999999996</v>
      </c>
      <c r="G13" s="108">
        <f t="shared" si="1"/>
        <v>12.647500000000001</v>
      </c>
      <c r="H13" s="108">
        <f t="shared" si="1"/>
        <v>13.592399999999998</v>
      </c>
      <c r="I13" s="108">
        <f>I9+I11</f>
        <v>14.965900000000003</v>
      </c>
      <c r="J13" s="108">
        <f>J9+J11</f>
        <v>17.8857</v>
      </c>
    </row>
    <row r="14" spans="1:10">
      <c r="A14" s="117">
        <v>9</v>
      </c>
      <c r="B14" s="96" t="s">
        <v>281</v>
      </c>
      <c r="C14" s="108">
        <f>'Balance Sheet2'!N13/100</f>
        <v>11.6632</v>
      </c>
      <c r="D14" s="108">
        <f>'Balance Sheet2'!O13/100</f>
        <v>10.040900000000001</v>
      </c>
      <c r="E14" s="108">
        <f>'Balance Sheet2'!P13/100</f>
        <v>8.6442000000000014</v>
      </c>
      <c r="F14" s="108">
        <f>'Balance Sheet2'!Q13/100</f>
        <v>7.4418000000000006</v>
      </c>
      <c r="G14" s="108">
        <f>'Balance Sheet2'!R13/100</f>
        <v>6.4066999999999998</v>
      </c>
      <c r="H14" s="108">
        <f>'Balance Sheet2'!S13/100</f>
        <v>5.5154999999999994</v>
      </c>
      <c r="I14" s="108">
        <f>'Balance Sheet2'!T13/100</f>
        <v>4.7482999999999995</v>
      </c>
      <c r="J14" s="108">
        <f>'Balance Sheet2'!U13/100</f>
        <v>4.0877999999999997</v>
      </c>
    </row>
    <row r="15" spans="1:10">
      <c r="A15" s="117">
        <v>10</v>
      </c>
      <c r="B15" s="96" t="s">
        <v>217</v>
      </c>
      <c r="C15" s="108">
        <f>'Balance Sheet2'!N23/100</f>
        <v>0</v>
      </c>
      <c r="D15" s="108">
        <f>'Balance Sheet2'!O23/100</f>
        <v>0</v>
      </c>
      <c r="E15" s="108">
        <f>'Balance Sheet2'!P23/100</f>
        <v>0</v>
      </c>
      <c r="F15" s="108">
        <f>'Balance Sheet2'!Q23/100</f>
        <v>0</v>
      </c>
      <c r="G15" s="108">
        <f>'Balance Sheet2'!R23/100</f>
        <v>0</v>
      </c>
      <c r="H15" s="108">
        <f>'Balance Sheet2'!S23/100</f>
        <v>0</v>
      </c>
      <c r="I15" s="108">
        <f>'Balance Sheet2'!T23/100</f>
        <v>0</v>
      </c>
      <c r="J15" s="108">
        <f>'Balance Sheet2'!U23/100</f>
        <v>0</v>
      </c>
    </row>
    <row r="16" spans="1:10">
      <c r="A16" s="117">
        <v>11</v>
      </c>
      <c r="B16" s="96" t="s">
        <v>399</v>
      </c>
      <c r="C16" s="108">
        <f>'Balance Sheet2'!N43/100</f>
        <v>0</v>
      </c>
      <c r="D16" s="108">
        <f>'Balance Sheet2'!O43/100</f>
        <v>0</v>
      </c>
      <c r="E16" s="108">
        <f>'Balance Sheet2'!P43/100</f>
        <v>0</v>
      </c>
      <c r="F16" s="108">
        <f>'Balance Sheet2'!Q43/100</f>
        <v>0</v>
      </c>
      <c r="G16" s="108">
        <f>'Balance Sheet2'!R43/100</f>
        <v>0</v>
      </c>
      <c r="H16" s="108">
        <f>'Balance Sheet2'!S43/100</f>
        <v>0</v>
      </c>
      <c r="I16" s="108">
        <f>'Balance Sheet2'!T43/100</f>
        <v>0</v>
      </c>
      <c r="J16" s="108">
        <f>'Balance Sheet2'!U43/100</f>
        <v>0</v>
      </c>
    </row>
    <row r="17" spans="1:10">
      <c r="A17" s="117">
        <v>12</v>
      </c>
      <c r="B17" s="96" t="s">
        <v>211</v>
      </c>
      <c r="C17" s="108">
        <f>'Balance Sheet'!N51/100</f>
        <v>2.5779000000000001</v>
      </c>
      <c r="D17" s="108">
        <f>'Balance Sheet'!O51/100</f>
        <v>3.8031000000000006</v>
      </c>
      <c r="E17" s="108">
        <f>'Balance Sheet'!P51/100</f>
        <v>5.0849000000000002</v>
      </c>
      <c r="F17" s="108">
        <f>'Balance Sheet'!Q51/100</f>
        <v>6.5477999999999996</v>
      </c>
      <c r="G17" s="108">
        <f>'Balance Sheet'!R51/100</f>
        <v>8.1986000000000008</v>
      </c>
      <c r="H17" s="108">
        <f>'Balance Sheet'!S51/100</f>
        <v>10.036699999999998</v>
      </c>
      <c r="I17" s="108">
        <f>'Balance Sheet'!T51/100</f>
        <v>12.0672</v>
      </c>
      <c r="J17" s="108">
        <f>'Balance Sheet'!U51/100</f>
        <v>14.418800000000001</v>
      </c>
    </row>
    <row r="18" spans="1:10">
      <c r="A18" s="117">
        <v>13</v>
      </c>
      <c r="B18" s="96" t="s">
        <v>210</v>
      </c>
      <c r="C18" s="108">
        <f>'Balance Sheet'!C51/100</f>
        <v>1.9432999999999998</v>
      </c>
      <c r="D18" s="108">
        <f>'Balance Sheet'!D51/100</f>
        <v>1.9497</v>
      </c>
      <c r="E18" s="108">
        <f>'Balance Sheet'!E51/100</f>
        <v>1.9539</v>
      </c>
      <c r="F18" s="108">
        <f>'Balance Sheet'!F51/100</f>
        <v>1.9557</v>
      </c>
      <c r="G18" s="108">
        <f>'Balance Sheet'!G51/100</f>
        <v>1.9578</v>
      </c>
      <c r="H18" s="108">
        <f>'Balance Sheet'!H51/100</f>
        <v>1.9598</v>
      </c>
      <c r="I18" s="108">
        <f>'Balance Sheet'!I51/100</f>
        <v>1.8495999999999997</v>
      </c>
      <c r="J18" s="108">
        <f>'Balance Sheet'!J51/100</f>
        <v>0.62090000000000001</v>
      </c>
    </row>
    <row r="19" spans="1:10">
      <c r="A19" s="117">
        <v>14</v>
      </c>
      <c r="B19" s="96" t="s">
        <v>400</v>
      </c>
      <c r="C19" s="108">
        <f>'Balance Sheet2'!N51/100</f>
        <v>0.63460000000000039</v>
      </c>
      <c r="D19" s="108">
        <f>'Balance Sheet2'!O51/100</f>
        <v>1.8533999999999968</v>
      </c>
      <c r="E19" s="108">
        <f>'Balance Sheet2'!P51/100</f>
        <v>3.130999999999998</v>
      </c>
      <c r="F19" s="108">
        <f>'Balance Sheet2'!Q51/100</f>
        <v>4.5920999999999967</v>
      </c>
      <c r="G19" s="108">
        <f>'Balance Sheet2'!R51/100</f>
        <v>6.2407999999999992</v>
      </c>
      <c r="H19" s="108">
        <f>'Balance Sheet2'!S51/100</f>
        <v>8.0768999999999984</v>
      </c>
      <c r="I19" s="108">
        <f>'Balance Sheet2'!T51/100</f>
        <v>10.217600000000003</v>
      </c>
      <c r="J19" s="108">
        <f>'Balance Sheet2'!U51/100</f>
        <v>13.797900000000002</v>
      </c>
    </row>
    <row r="20" spans="1:10">
      <c r="A20" s="117">
        <v>15</v>
      </c>
      <c r="B20" s="96" t="s">
        <v>401</v>
      </c>
      <c r="C20" s="108">
        <f t="shared" ref="C20:H20" si="2">C21+C22</f>
        <v>5.9996</v>
      </c>
      <c r="D20" s="108">
        <f t="shared" si="2"/>
        <v>11.8925</v>
      </c>
      <c r="E20" s="108">
        <f t="shared" si="2"/>
        <v>12.744499999999999</v>
      </c>
      <c r="F20" s="108">
        <f t="shared" si="2"/>
        <v>13.188299999999998</v>
      </c>
      <c r="G20" s="108">
        <f t="shared" si="2"/>
        <v>13.6142</v>
      </c>
      <c r="H20" s="108">
        <f t="shared" si="2"/>
        <v>14.0403</v>
      </c>
      <c r="I20" s="108">
        <f>I21+I22</f>
        <v>14.4663</v>
      </c>
      <c r="J20" s="108">
        <f>J21+J22</f>
        <v>14.892300000000001</v>
      </c>
    </row>
    <row r="21" spans="1:10">
      <c r="A21" s="117"/>
      <c r="B21" s="96" t="s">
        <v>402</v>
      </c>
      <c r="C21" s="108">
        <f>('Profit &amp; Loss Statement'!D7/100)-('Profit &amp; Loss Statement'!D10/100)</f>
        <v>5.9996</v>
      </c>
      <c r="D21" s="108">
        <f>('Profit &amp; Loss Statement'!E7/100)-('Profit &amp; Loss Statement'!E10/100)</f>
        <v>11.8925</v>
      </c>
      <c r="E21" s="108">
        <f>('Profit &amp; Loss Statement'!F7/100)-('Profit &amp; Loss Statement'!F10/100)</f>
        <v>12.744499999999999</v>
      </c>
      <c r="F21" s="108">
        <f>('Profit &amp; Loss Statement'!G7/100)-('Profit &amp; Loss Statement'!G10/100)</f>
        <v>13.188299999999998</v>
      </c>
      <c r="G21" s="108">
        <f>('Profit &amp; Loss Statement'!H7/100)-('Profit &amp; Loss Statement'!H10/100)</f>
        <v>13.6142</v>
      </c>
      <c r="H21" s="108">
        <f>('Profit &amp; Loss Statement'!I7/100)-('Profit &amp; Loss Statement'!I10/100)</f>
        <v>14.0403</v>
      </c>
      <c r="I21" s="108">
        <f>('Profit &amp; Loss Statement'!J7/100)-('Profit &amp; Loss Statement'!J10/100)</f>
        <v>14.4663</v>
      </c>
      <c r="J21" s="108">
        <f>('Profit &amp; Loss Statement'!K7/100)-('Profit &amp; Loss Statement'!K10/100)</f>
        <v>14.892300000000001</v>
      </c>
    </row>
    <row r="22" spans="1:10">
      <c r="A22" s="117"/>
      <c r="B22" s="96" t="s">
        <v>403</v>
      </c>
      <c r="C22" s="108">
        <f>'Profit &amp; Loss Statement'!D8/100</f>
        <v>0</v>
      </c>
      <c r="D22" s="108">
        <f>'Profit &amp; Loss Statement'!E8/100</f>
        <v>0</v>
      </c>
      <c r="E22" s="108">
        <f>'Profit &amp; Loss Statement'!F8/100</f>
        <v>0</v>
      </c>
      <c r="F22" s="108">
        <f>'Profit &amp; Loss Statement'!G8/100</f>
        <v>0</v>
      </c>
      <c r="G22" s="108">
        <f>'Profit &amp; Loss Statement'!H8/100</f>
        <v>0</v>
      </c>
      <c r="H22" s="108">
        <f>'Profit &amp; Loss Statement'!I8/100</f>
        <v>0</v>
      </c>
      <c r="I22" s="108">
        <f>'Profit &amp; Loss Statement'!J8/100</f>
        <v>0</v>
      </c>
      <c r="J22" s="108">
        <f>'Profit &amp; Loss Statement'!K8/100</f>
        <v>0</v>
      </c>
    </row>
    <row r="23" spans="1:10">
      <c r="A23" s="117"/>
      <c r="B23" s="96" t="s">
        <v>404</v>
      </c>
      <c r="C23" s="108" t="e">
        <f>'Profit &amp; Loss Statement'!D12*100/'Profit &amp; Loss Statement'!C12-100</f>
        <v>#DIV/0!</v>
      </c>
      <c r="D23" s="108">
        <f>'Profit &amp; Loss Statement'!E12*100/'Profit &amp; Loss Statement'!D12-100</f>
        <v>98.221548103206914</v>
      </c>
      <c r="E23" s="108">
        <f>'Profit &amp; Loss Statement'!F12*100/'Profit &amp; Loss Statement'!E12-100</f>
        <v>7.1641791044775971</v>
      </c>
      <c r="F23" s="108">
        <f>'Profit &amp; Loss Statement'!G12*100/'Profit &amp; Loss Statement'!F12-100</f>
        <v>3.4822864765192918</v>
      </c>
      <c r="G23" s="108">
        <f>'Profit &amp; Loss Statement'!H12*100/'Profit &amp; Loss Statement'!G12-100</f>
        <v>3.2293775543474226</v>
      </c>
      <c r="H23" s="108">
        <f>'Profit &amp; Loss Statement'!I12*100/'Profit &amp; Loss Statement'!H12-100</f>
        <v>3.1298203346505744</v>
      </c>
      <c r="I23" s="108">
        <f>'Profit &amp; Loss Statement'!J12*100/'Profit &amp; Loss Statement'!I12-100</f>
        <v>3.0341232024956781</v>
      </c>
      <c r="J23" s="108">
        <f>'Profit &amp; Loss Statement'!K12*100/'Profit &amp; Loss Statement'!J12-100</f>
        <v>2.9447750979863514</v>
      </c>
    </row>
    <row r="24" spans="1:10">
      <c r="A24" s="117">
        <v>16</v>
      </c>
      <c r="B24" s="96" t="s">
        <v>405</v>
      </c>
      <c r="C24" s="108">
        <f>('Balance Sheet2'!C51-'Balance Sheet'!C51)/100</f>
        <v>12.6511</v>
      </c>
      <c r="D24" s="108">
        <f>('Balance Sheet2'!D51-'Balance Sheet'!D51)/100</f>
        <v>12.1676</v>
      </c>
      <c r="E24" s="108">
        <f>('Balance Sheet2'!E51-'Balance Sheet'!E51)/100</f>
        <v>11.968499999999999</v>
      </c>
      <c r="F24" s="108">
        <f>('Balance Sheet2'!F51-'Balance Sheet'!F51)/100</f>
        <v>12.147199999999998</v>
      </c>
      <c r="G24" s="108">
        <f>('Balance Sheet2'!G51-'Balance Sheet'!G51)/100</f>
        <v>12.6808</v>
      </c>
      <c r="H24" s="108">
        <f>('Balance Sheet2'!H51-'Balance Sheet'!H51)/100</f>
        <v>13.592399999999998</v>
      </c>
      <c r="I24" s="108">
        <f>('Balance Sheet2'!I51-'Balance Sheet'!I51)/100</f>
        <v>14.965900000000001</v>
      </c>
      <c r="J24" s="108">
        <f>('Balance Sheet2'!J51-'Balance Sheet'!J51)/100</f>
        <v>17.8857</v>
      </c>
    </row>
    <row r="25" spans="1:10">
      <c r="A25" s="117">
        <v>17</v>
      </c>
      <c r="B25" s="96" t="s">
        <v>406</v>
      </c>
      <c r="C25" s="108">
        <f>('Balance Sheet2'!N47-'Balance Sheet'!N51)/100</f>
        <v>12.016499999999999</v>
      </c>
      <c r="D25" s="108">
        <f>('Balance Sheet2'!O47-'Balance Sheet'!O51)/100</f>
        <v>10.314200000000001</v>
      </c>
      <c r="E25" s="108">
        <f>('Balance Sheet2'!P47-'Balance Sheet'!P51)/100</f>
        <v>8.8375000000000021</v>
      </c>
      <c r="F25" s="108">
        <f>('Balance Sheet2'!Q47-'Balance Sheet'!Q51)/100</f>
        <v>7.5550999999999995</v>
      </c>
      <c r="G25" s="108">
        <f>('Balance Sheet2'!R47-'Balance Sheet'!R51)/100</f>
        <v>6.4400000000000013</v>
      </c>
      <c r="H25" s="108">
        <f>('Balance Sheet2'!S47-'Balance Sheet'!S51)/100</f>
        <v>5.5154999999999994</v>
      </c>
      <c r="I25" s="108">
        <f>('Balance Sheet2'!T47-'Balance Sheet'!T51)/100</f>
        <v>4.7482999999999995</v>
      </c>
      <c r="J25" s="108">
        <f>('Balance Sheet2'!U47-'Balance Sheet'!U51)/100</f>
        <v>4.0877999999999997</v>
      </c>
    </row>
    <row r="26" spans="1:10">
      <c r="A26" s="117">
        <v>18</v>
      </c>
      <c r="B26" s="96" t="s">
        <v>407</v>
      </c>
      <c r="C26" s="108">
        <f t="shared" ref="C26:H26" si="3">C24-C25</f>
        <v>0.63460000000000072</v>
      </c>
      <c r="D26" s="108">
        <f t="shared" si="3"/>
        <v>1.8533999999999988</v>
      </c>
      <c r="E26" s="108">
        <f t="shared" si="3"/>
        <v>3.1309999999999967</v>
      </c>
      <c r="F26" s="108">
        <f t="shared" si="3"/>
        <v>4.5920999999999985</v>
      </c>
      <c r="G26" s="108">
        <f t="shared" si="3"/>
        <v>6.2407999999999983</v>
      </c>
      <c r="H26" s="108">
        <f t="shared" si="3"/>
        <v>8.0768999999999984</v>
      </c>
      <c r="I26" s="108">
        <f>I24-I25</f>
        <v>10.217600000000001</v>
      </c>
      <c r="J26" s="108">
        <f>J24-J25</f>
        <v>13.7979</v>
      </c>
    </row>
    <row r="27" spans="1:10">
      <c r="A27" s="117">
        <v>19</v>
      </c>
      <c r="B27" s="96" t="s">
        <v>408</v>
      </c>
      <c r="C27" s="108">
        <f>'Balance Sheet'!C51/100</f>
        <v>1.9432999999999998</v>
      </c>
      <c r="D27" s="108">
        <f>'Balance Sheet'!D51/100</f>
        <v>1.9497</v>
      </c>
      <c r="E27" s="108">
        <f>'Balance Sheet'!E51/100</f>
        <v>1.9539</v>
      </c>
      <c r="F27" s="108">
        <f>'Balance Sheet'!F51/100</f>
        <v>1.9557</v>
      </c>
      <c r="G27" s="108">
        <f>'Balance Sheet'!G51/100</f>
        <v>1.9578</v>
      </c>
      <c r="H27" s="108">
        <f>'Balance Sheet'!H51/100</f>
        <v>1.9598</v>
      </c>
      <c r="I27" s="108">
        <f>'Balance Sheet'!I51/100</f>
        <v>1.8495999999999997</v>
      </c>
      <c r="J27" s="108">
        <f>'Balance Sheet'!J51/100</f>
        <v>0.62090000000000001</v>
      </c>
    </row>
    <row r="28" spans="1:10">
      <c r="A28" s="117">
        <v>20</v>
      </c>
      <c r="B28" s="96" t="s">
        <v>409</v>
      </c>
      <c r="C28" s="108">
        <f>'Balance Sheet'!N51/100</f>
        <v>2.5779000000000001</v>
      </c>
      <c r="D28" s="108">
        <f>'Balance Sheet'!O51/100</f>
        <v>3.8031000000000006</v>
      </c>
      <c r="E28" s="108">
        <f>'Balance Sheet'!P51/100</f>
        <v>5.0849000000000002</v>
      </c>
      <c r="F28" s="108">
        <f>'Balance Sheet'!Q51/100</f>
        <v>6.5477999999999996</v>
      </c>
      <c r="G28" s="108">
        <f>'Balance Sheet'!R51/100</f>
        <v>8.1986000000000008</v>
      </c>
      <c r="H28" s="108">
        <f>'Balance Sheet'!S51/100</f>
        <v>10.036699999999998</v>
      </c>
      <c r="I28" s="108">
        <f>'Balance Sheet'!T51/100</f>
        <v>12.0672</v>
      </c>
      <c r="J28" s="108">
        <f>'Balance Sheet'!U51/100</f>
        <v>14.418800000000001</v>
      </c>
    </row>
    <row r="29" spans="1:10">
      <c r="A29" s="117">
        <v>21</v>
      </c>
      <c r="B29" s="96" t="s">
        <v>407</v>
      </c>
      <c r="C29" s="108">
        <f t="shared" ref="C29:H29" si="4">C27-C28</f>
        <v>-0.63460000000000027</v>
      </c>
      <c r="D29" s="108">
        <f t="shared" si="4"/>
        <v>-1.8534000000000006</v>
      </c>
      <c r="E29" s="108">
        <f t="shared" si="4"/>
        <v>-3.1310000000000002</v>
      </c>
      <c r="F29" s="108">
        <f t="shared" si="4"/>
        <v>-4.5920999999999994</v>
      </c>
      <c r="G29" s="108">
        <f t="shared" si="4"/>
        <v>-6.240800000000001</v>
      </c>
      <c r="H29" s="108">
        <f t="shared" si="4"/>
        <v>-8.0768999999999984</v>
      </c>
      <c r="I29" s="108">
        <f>I27-I28</f>
        <v>-10.217600000000001</v>
      </c>
      <c r="J29" s="108">
        <f>J27-J28</f>
        <v>-13.7979</v>
      </c>
    </row>
    <row r="30" spans="1:10">
      <c r="A30" s="117">
        <v>22</v>
      </c>
      <c r="B30" s="96" t="s">
        <v>410</v>
      </c>
      <c r="C30" s="108">
        <f>'Balance Sheet2'!N13/'Balance Sheet2'!C14</f>
        <v>1.4679554951417206</v>
      </c>
      <c r="D30" s="108">
        <f>'Balance Sheet2'!O13/'Balance Sheet2'!D14</f>
        <v>1.5208185026430183</v>
      </c>
      <c r="E30" s="108">
        <f>'Balance Sheet2'!P13/'Balance Sheet2'!E14</f>
        <v>1.6435715100581816</v>
      </c>
      <c r="F30" s="108">
        <f>'Balance Sheet2'!Q13/'Balance Sheet2'!F14</f>
        <v>1.9001148985063196</v>
      </c>
      <c r="G30" s="108">
        <f>'Balance Sheet2'!R13/'Balance Sheet2'!G14</f>
        <v>2.4893922909543051</v>
      </c>
      <c r="H30" s="108">
        <f>'Balance Sheet2'!S13/'Balance Sheet2'!H14</f>
        <v>4.481595839765987</v>
      </c>
      <c r="I30" s="108" t="e">
        <f>'Balance Sheet2'!T13/'Balance Sheet2'!I14</f>
        <v>#DIV/0!</v>
      </c>
      <c r="J30" s="108" t="e">
        <f>'Balance Sheet2'!U13/'Balance Sheet2'!J14</f>
        <v>#DIV/0!</v>
      </c>
    </row>
    <row r="31" spans="1:10">
      <c r="A31" s="117">
        <v>23</v>
      </c>
      <c r="B31" s="96" t="s">
        <v>411</v>
      </c>
      <c r="C31" s="108">
        <f>Ratio!C12*100/'Summary Sheet'!C9</f>
        <v>7.4118055957828721</v>
      </c>
      <c r="D31" s="108">
        <f>Ratio!D12*100/'Summary Sheet'!D9</f>
        <v>19.567395264116566</v>
      </c>
      <c r="E31" s="108">
        <f>Ratio!E12*100/'Summary Sheet'!E9</f>
        <v>20.367534456355276</v>
      </c>
      <c r="F31" s="108">
        <f>Ratio!F12*100/'Summary Sheet'!F9</f>
        <v>21.082384238091283</v>
      </c>
      <c r="G31" s="108">
        <f>Ratio!G12*100/'Summary Sheet'!G9</f>
        <v>0</v>
      </c>
      <c r="H31" s="108">
        <f>Ratio!H12*100/'Summary Sheet'!H9</f>
        <v>0</v>
      </c>
      <c r="I31" s="108">
        <f>Ratio!I12*100/'Summary Sheet'!I9</f>
        <v>0</v>
      </c>
      <c r="J31" s="108">
        <f>Ratio!J12*100/'Summary Sheet'!J9</f>
        <v>0</v>
      </c>
    </row>
    <row r="32" spans="1:10">
      <c r="A32" s="117">
        <v>24</v>
      </c>
      <c r="B32" s="96" t="s">
        <v>412</v>
      </c>
      <c r="C32" s="139">
        <f>(Ratio!C12)*(100)/('Balance Sheet2'!N47/100)-('Balance Sheet2'!N45/100)</f>
        <v>1.4001122677191213</v>
      </c>
      <c r="D32" s="108">
        <f>(Ratio!D12)*(100)/('Balance Sheet2'!O47/100)-('Balance Sheet2'!O45/100)</f>
        <v>5.814266319338679</v>
      </c>
      <c r="E32" s="108">
        <f>(Ratio!E12)*(100)/('Balance Sheet2'!P47/100)-('Balance Sheet2'!P45/100)</f>
        <v>8.0222375509969464</v>
      </c>
      <c r="F32" s="139">
        <f>(Ratio!F12)*(100)/('Balance Sheet2'!Q47/100)-('Balance Sheet2'!Q45/100)</f>
        <v>10.675970291925772</v>
      </c>
      <c r="G32" s="139">
        <f>(Ratio!G12)*(100)/('Balance Sheet2'!R47/100)-('Balance Sheet2'!R45/100)</f>
        <v>-3.3300000000000003E-2</v>
      </c>
      <c r="H32" s="111">
        <f>(Ratio!H12)*(100)/('Balance Sheet2'!S47/100)-('Balance Sheet2'!S45/100)</f>
        <v>0</v>
      </c>
      <c r="I32" s="111">
        <f>(Ratio!I12)*(100)/('Balance Sheet2'!T47/100)-('Balance Sheet2'!T45/100)</f>
        <v>0</v>
      </c>
      <c r="J32" s="111">
        <f>(Ratio!J12)*(100)/('Balance Sheet2'!U47/100)-('Balance Sheet2'!U45/100)</f>
        <v>0</v>
      </c>
    </row>
    <row r="33" spans="1:10" ht="30">
      <c r="A33" s="117">
        <v>25</v>
      </c>
      <c r="B33" s="106" t="s">
        <v>413</v>
      </c>
      <c r="C33" s="182">
        <f>DSCR!J11</f>
        <v>1.8527246242468383</v>
      </c>
      <c r="D33" s="183"/>
      <c r="E33" s="183"/>
      <c r="F33" s="183"/>
      <c r="G33" s="183"/>
      <c r="H33" s="183"/>
      <c r="I33" s="183"/>
      <c r="J33" s="184"/>
    </row>
    <row r="34" spans="1:10" ht="29.25" customHeight="1">
      <c r="A34" s="114"/>
      <c r="B34" s="115" t="s">
        <v>414</v>
      </c>
      <c r="C34" s="180">
        <f>'Profit &amp; Loss Statement'!C61</f>
        <v>0</v>
      </c>
      <c r="D34" s="180"/>
      <c r="E34" s="180"/>
      <c r="F34" s="180"/>
      <c r="G34" s="180"/>
      <c r="H34" s="180"/>
    </row>
    <row r="35" spans="1:10">
      <c r="A35" s="179"/>
      <c r="B35" s="179"/>
      <c r="C35" s="179"/>
      <c r="D35" s="179"/>
      <c r="E35" s="179"/>
      <c r="F35" s="179"/>
    </row>
    <row r="36" spans="1:10" ht="75">
      <c r="A36" s="177" t="s">
        <v>415</v>
      </c>
      <c r="B36" s="177"/>
      <c r="C36" s="107" t="s">
        <v>416</v>
      </c>
      <c r="D36" s="107" t="s">
        <v>417</v>
      </c>
      <c r="E36" s="107" t="s">
        <v>418</v>
      </c>
      <c r="F36" s="107" t="s">
        <v>419</v>
      </c>
      <c r="G36" s="107" t="s">
        <v>420</v>
      </c>
      <c r="H36" s="107" t="s">
        <v>421</v>
      </c>
      <c r="I36" s="107" t="s">
        <v>421</v>
      </c>
      <c r="J36" s="107" t="s">
        <v>421</v>
      </c>
    </row>
    <row r="37" spans="1:10">
      <c r="A37" s="117"/>
      <c r="B37" s="96"/>
      <c r="C37" s="96"/>
      <c r="D37" s="96"/>
      <c r="E37" s="96"/>
      <c r="F37" s="96"/>
      <c r="G37" s="96"/>
      <c r="H37" s="96"/>
      <c r="I37" s="96"/>
      <c r="J37" s="96"/>
    </row>
    <row r="44" spans="1:10">
      <c r="B44" t="str">
        <f>'Financial Indicator &amp; Ratios'!A59</f>
        <v>ACCOUNT  M/s.</v>
      </c>
      <c r="C44">
        <f>'Financial Indicator &amp; Ratios'!B59</f>
        <v>0</v>
      </c>
    </row>
  </sheetData>
  <mergeCells count="6">
    <mergeCell ref="A36:B36"/>
    <mergeCell ref="A1:F1"/>
    <mergeCell ref="A35:F35"/>
    <mergeCell ref="C34:H34"/>
    <mergeCell ref="A2:J2"/>
    <mergeCell ref="C33:J3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42DF-E1FC-40E1-ACD0-2D865E6F0DFF}">
  <sheetPr>
    <pageSetUpPr fitToPage="1"/>
  </sheetPr>
  <dimension ref="A1:F22"/>
  <sheetViews>
    <sheetView zoomScaleNormal="75" workbookViewId="0">
      <selection activeCell="F5" sqref="F5"/>
    </sheetView>
  </sheetViews>
  <sheetFormatPr defaultColWidth="8.6640625" defaultRowHeight="15"/>
  <cols>
    <col min="1" max="1" width="4.109375" customWidth="1"/>
    <col min="2" max="2" width="29.5546875" customWidth="1"/>
    <col min="3" max="4" width="10.33203125" customWidth="1"/>
    <col min="5" max="5" width="11" bestFit="1" customWidth="1"/>
    <col min="6" max="6" width="11.33203125" bestFit="1" customWidth="1"/>
  </cols>
  <sheetData>
    <row r="1" spans="1:6" ht="15.75">
      <c r="A1" s="185" t="s">
        <v>422</v>
      </c>
      <c r="B1" s="185"/>
      <c r="C1" s="185"/>
      <c r="D1" s="185"/>
      <c r="E1" s="185"/>
      <c r="F1" s="185"/>
    </row>
    <row r="2" spans="1:6" ht="15.75">
      <c r="A2" s="96"/>
      <c r="B2" s="96"/>
      <c r="C2" s="105" t="s">
        <v>390</v>
      </c>
      <c r="D2" s="105" t="s">
        <v>390</v>
      </c>
      <c r="E2" s="105" t="s">
        <v>390</v>
      </c>
      <c r="F2" s="105" t="s">
        <v>390</v>
      </c>
    </row>
    <row r="3" spans="1:6" ht="15.75">
      <c r="A3" s="96"/>
      <c r="B3" s="96"/>
      <c r="C3" s="110" t="str">
        <f>'Summary Sheet'!C4</f>
        <v>31.03.2022</v>
      </c>
      <c r="D3" s="110" t="str">
        <f>'Summary Sheet'!D4</f>
        <v>31.03.2023</v>
      </c>
      <c r="E3" s="110">
        <f>'Summary Sheet'!E4</f>
        <v>45382</v>
      </c>
      <c r="F3" s="110">
        <f>'Summary Sheet'!F4</f>
        <v>45747</v>
      </c>
    </row>
    <row r="4" spans="1:6" ht="15.75">
      <c r="A4" s="96"/>
      <c r="B4" s="105" t="s">
        <v>423</v>
      </c>
      <c r="C4" s="105" t="s">
        <v>26</v>
      </c>
      <c r="D4" s="105" t="s">
        <v>26</v>
      </c>
      <c r="E4" s="105" t="s">
        <v>26</v>
      </c>
      <c r="F4" s="105" t="s">
        <v>161</v>
      </c>
    </row>
    <row r="5" spans="1:6">
      <c r="A5" s="96">
        <v>1</v>
      </c>
      <c r="B5" s="96" t="s">
        <v>424</v>
      </c>
      <c r="C5" s="108">
        <f>'Summary Sheet'!C17/'Summary Sheet'!C18</f>
        <v>1.3265579169454023</v>
      </c>
      <c r="D5" s="108">
        <f>'Summary Sheet'!D17/'Summary Sheet'!D18</f>
        <v>1.9506077858132023</v>
      </c>
      <c r="E5" s="108">
        <f>'Summary Sheet'!E17/'Summary Sheet'!E18</f>
        <v>2.6024361533343572</v>
      </c>
      <c r="F5" s="108">
        <f>'Summary Sheet'!F17/'Summary Sheet'!F18</f>
        <v>3.348059518331032</v>
      </c>
    </row>
    <row r="6" spans="1:6">
      <c r="A6" s="96">
        <v>2</v>
      </c>
      <c r="B6" s="96" t="s">
        <v>425</v>
      </c>
      <c r="C6" s="108">
        <f>'Summary Sheet'!C11/'Summary Sheet'!C9</f>
        <v>2.5618953831894808</v>
      </c>
      <c r="D6" s="108">
        <f>'Summary Sheet'!D11/'Summary Sheet'!D9</f>
        <v>1.7081739526411663</v>
      </c>
      <c r="E6" s="108">
        <f>'Summary Sheet'!E11/'Summary Sheet'!E9</f>
        <v>1.096798319028456</v>
      </c>
      <c r="F6" s="108">
        <f>'Summary Sheet'!F11/'Summary Sheet'!F9</f>
        <v>0.66734558151134782</v>
      </c>
    </row>
    <row r="7" spans="1:6">
      <c r="A7" s="96">
        <v>3</v>
      </c>
      <c r="B7" s="106" t="s">
        <v>426</v>
      </c>
      <c r="C7" s="108">
        <f>'Balance Sheet2'!C28/'Summary Sheet'!C9/100</f>
        <v>3.1247465678039741</v>
      </c>
      <c r="D7" s="108">
        <f>'Balance Sheet2'!D28/'Summary Sheet'!D9/100</f>
        <v>2.152094717668489</v>
      </c>
      <c r="E7" s="108">
        <f>'Balance Sheet2'!E28/'Summary Sheet'!E9/100</f>
        <v>1.4447273763310668</v>
      </c>
      <c r="F7" s="108">
        <f>'Balance Sheet2'!F28/'Summary Sheet'!F9/100</f>
        <v>0.93831573696899195</v>
      </c>
    </row>
    <row r="8" spans="1:6" ht="45">
      <c r="A8" s="96">
        <v>4</v>
      </c>
      <c r="B8" s="106" t="s">
        <v>427</v>
      </c>
      <c r="C8" s="108">
        <f>('Balance Sheet2'!C28-'Balance Sheet2'!C22)/('Balance Sheet2'!C49+'Balance Sheet2'!C22)</f>
        <v>2.1012983701311123</v>
      </c>
      <c r="D8" s="108">
        <f>('Balance Sheet2'!D28-'Balance Sheet2'!D22)/('Balance Sheet2'!D49+'Balance Sheet2'!D22)</f>
        <v>1.5366646901335064</v>
      </c>
      <c r="E8" s="108">
        <f>('Balance Sheet2'!E28-'Balance Sheet2'!E22)/('Balance Sheet2'!E49+'Balance Sheet2'!E22)</f>
        <v>1.0751516596860984</v>
      </c>
      <c r="F8" s="108">
        <f>('Balance Sheet2'!F28-'Balance Sheet2'!F22)/('Balance Sheet2'!F49+'Balance Sheet2'!F22)</f>
        <v>0.71345086080163322</v>
      </c>
    </row>
    <row r="9" spans="1:6">
      <c r="A9" s="96">
        <v>5</v>
      </c>
      <c r="B9" s="96" t="s">
        <v>428</v>
      </c>
      <c r="C9" s="108">
        <f>'Profit &amp; Loss Statement'!D41/100</f>
        <v>1.3300999999999994</v>
      </c>
      <c r="D9" s="108">
        <f>'Profit &amp; Loss Statement'!E41/100</f>
        <v>2.6144999999999992</v>
      </c>
      <c r="E9" s="108">
        <f>'Profit &amp; Loss Statement'!F41/100</f>
        <v>3.1550999999999987</v>
      </c>
      <c r="F9" s="108">
        <f>'Profit &amp; Loss Statement'!G41/100</f>
        <v>3.5114000000000001</v>
      </c>
    </row>
    <row r="10" spans="1:6">
      <c r="A10" s="96">
        <v>6</v>
      </c>
      <c r="B10" s="96" t="s">
        <v>429</v>
      </c>
      <c r="C10" s="108">
        <f>('Profit &amp; Loss Statement'!D54+'Profit &amp; Loss Statement'!D43+'Profit &amp; Loss Statement'!D29)/100</f>
        <v>2.0421999999999993</v>
      </c>
      <c r="D10" s="108">
        <f>('Profit &amp; Loss Statement'!E54+'Profit &amp; Loss Statement'!E43+'Profit &amp; Loss Statement'!E29)/100</f>
        <v>3.9497999999999989</v>
      </c>
      <c r="E10" s="108">
        <f>('Profit &amp; Loss Statement'!F54+'Profit &amp; Loss Statement'!F43+'Profit &amp; Loss Statement'!F29)/100</f>
        <v>4.2513999999999985</v>
      </c>
      <c r="F10" s="108">
        <f>('Profit &amp; Loss Statement'!G54+'Profit &amp; Loss Statement'!G43+'Profit &amp; Loss Statement'!G29)/100</f>
        <v>4.4064999999999994</v>
      </c>
    </row>
    <row r="11" spans="1:6">
      <c r="A11" s="96">
        <v>7</v>
      </c>
      <c r="B11" s="96" t="s">
        <v>430</v>
      </c>
      <c r="C11" s="108">
        <f>'Profit &amp; Loss Statement'!D54/100</f>
        <v>0.31409999999999938</v>
      </c>
      <c r="D11" s="108">
        <f>'Profit &amp; Loss Statement'!E54/100</f>
        <v>0.95159999999999922</v>
      </c>
      <c r="E11" s="108">
        <f>'Profit &amp; Loss Statement'!F54/100</f>
        <v>1.680199999999999</v>
      </c>
      <c r="F11" s="108">
        <f>'Profit &amp; Loss Statement'!G54/100</f>
        <v>2.2310999999999996</v>
      </c>
    </row>
    <row r="12" spans="1:6">
      <c r="A12" s="96">
        <v>8</v>
      </c>
      <c r="B12" s="96" t="s">
        <v>431</v>
      </c>
      <c r="C12" s="108">
        <f>'Profit &amp; Loss Statement'!D58/100</f>
        <v>0.25589999999999941</v>
      </c>
      <c r="D12" s="108">
        <f>'Profit &amp; Loss Statement'!E58/100</f>
        <v>0.85939999999999928</v>
      </c>
      <c r="E12" s="108">
        <f>'Profit &amp; Loss Statement'!F58/100</f>
        <v>1.143799999999999</v>
      </c>
      <c r="F12" s="108">
        <f>'Profit &amp; Loss Statement'!G58/100</f>
        <v>1.5215999999999996</v>
      </c>
    </row>
    <row r="13" spans="1:6">
      <c r="A13" s="96"/>
      <c r="B13" s="96" t="s">
        <v>432</v>
      </c>
      <c r="C13" s="108">
        <v>0</v>
      </c>
      <c r="D13" s="108">
        <f>'Profit &amp; Loss Statement'!E58*100/'Profit &amp; Loss Statement'!D58-100</f>
        <v>235.83431027745263</v>
      </c>
      <c r="E13" s="108">
        <f>'Profit &amp; Loss Statement'!F58*100/'Profit &amp; Loss Statement'!E58-100</f>
        <v>33.092855480567835</v>
      </c>
      <c r="F13" s="108">
        <f>'Profit &amp; Loss Statement'!G58*100/'Profit &amp; Loss Statement'!F58-100</f>
        <v>33.030250043714034</v>
      </c>
    </row>
    <row r="14" spans="1:6">
      <c r="A14" s="96">
        <v>9</v>
      </c>
      <c r="B14" s="96" t="s">
        <v>433</v>
      </c>
      <c r="C14" s="108">
        <f>'Profit &amp; Loss Statement'!D29/100</f>
        <v>0.87180000000000002</v>
      </c>
      <c r="D14" s="108">
        <f>'Profit &amp; Loss Statement'!E29/100</f>
        <v>1.6222999999999999</v>
      </c>
      <c r="E14" s="108">
        <f>'Profit &amp; Loss Statement'!F29/100</f>
        <v>1.3966999999999998</v>
      </c>
      <c r="F14" s="108">
        <f>'Profit &amp; Loss Statement'!G29/100</f>
        <v>1.2023999999999999</v>
      </c>
    </row>
    <row r="15" spans="1:6">
      <c r="A15" s="96">
        <v>10</v>
      </c>
      <c r="B15" s="96" t="s">
        <v>434</v>
      </c>
      <c r="C15" s="108">
        <f>(C12+C14)</f>
        <v>1.1276999999999995</v>
      </c>
      <c r="D15" s="108">
        <f>(D12+D14)</f>
        <v>2.4816999999999991</v>
      </c>
      <c r="E15" s="108">
        <f>(E12+E14)</f>
        <v>2.5404999999999989</v>
      </c>
      <c r="F15" s="108">
        <f>(F12+F14)</f>
        <v>2.7239999999999993</v>
      </c>
    </row>
    <row r="16" spans="1:6">
      <c r="A16" s="96">
        <v>11</v>
      </c>
      <c r="B16" s="96" t="s">
        <v>435</v>
      </c>
      <c r="C16" s="108">
        <f>C9*100/'Summary Sheet'!C20</f>
        <v>22.169811320754707</v>
      </c>
      <c r="D16" s="108">
        <f>D9*100/'Summary Sheet'!D20</f>
        <v>21.98444397729661</v>
      </c>
      <c r="E16" s="108">
        <f>E9*100/'Summary Sheet'!E20</f>
        <v>24.756561654046838</v>
      </c>
      <c r="F16" s="108">
        <f>F9*100/'Summary Sheet'!F20</f>
        <v>26.625114684985938</v>
      </c>
    </row>
    <row r="17" spans="1:6">
      <c r="A17" s="96">
        <v>12</v>
      </c>
      <c r="B17" s="96" t="s">
        <v>436</v>
      </c>
      <c r="C17" s="108">
        <f>C12*100/'Summary Sheet'!C20</f>
        <v>4.2652843522901422</v>
      </c>
      <c r="D17" s="108">
        <f>D12*100/'Summary Sheet'!D20</f>
        <v>7.2264031952911436</v>
      </c>
      <c r="E17" s="108">
        <f>E12*100/'Summary Sheet'!E20</f>
        <v>8.9748518968966948</v>
      </c>
      <c r="F17" s="108">
        <f>F12*100/'Summary Sheet'!F20</f>
        <v>11.537499146971179</v>
      </c>
    </row>
    <row r="18" spans="1:6">
      <c r="A18" s="96">
        <v>13</v>
      </c>
      <c r="B18" s="96" t="s">
        <v>437</v>
      </c>
      <c r="C18" s="108">
        <f>('Summary Sheet'!C11/Ratio!C10)/100%</f>
        <v>4.3312114386446003</v>
      </c>
      <c r="D18" s="108">
        <f>('Summary Sheet'!D11/Ratio!D10)/100%</f>
        <v>1.8994126284875188</v>
      </c>
      <c r="E18" s="108">
        <f>('Summary Sheet'!E11/Ratio!E10)/100%</f>
        <v>1.448793338664911</v>
      </c>
      <c r="F18" s="108">
        <f>('Summary Sheet'!F11/Ratio!F10)/100%</f>
        <v>1.0930443662770908</v>
      </c>
    </row>
    <row r="22" spans="1:6">
      <c r="B22" t="str">
        <f>'Summary Sheet'!B34</f>
        <v>Account</v>
      </c>
      <c r="C22">
        <f>'Summary Sheet'!C34:H34</f>
        <v>0</v>
      </c>
    </row>
  </sheetData>
  <mergeCells count="1">
    <mergeCell ref="A1:F1"/>
  </mergeCells>
  <phoneticPr fontId="0" type="noConversion"/>
  <printOptions gridLines="1"/>
  <pageMargins left="0.75" right="0.75" top="1" bottom="1" header="0.5" footer="0.5"/>
  <pageSetup scale="97" orientation="portrait" blackAndWhite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7770-E374-45E8-99AD-89CB04820400}">
  <dimension ref="A1:J17"/>
  <sheetViews>
    <sheetView workbookViewId="0">
      <selection sqref="A1:J1"/>
    </sheetView>
  </sheetViews>
  <sheetFormatPr defaultColWidth="8.6640625" defaultRowHeight="15"/>
  <cols>
    <col min="1" max="1" width="29.33203125" customWidth="1"/>
  </cols>
  <sheetData>
    <row r="1" spans="1:10" ht="15.75">
      <c r="A1" s="186" t="s">
        <v>438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ht="15.75">
      <c r="A2" s="105" t="s">
        <v>439</v>
      </c>
      <c r="B2" s="143" t="s">
        <v>440</v>
      </c>
      <c r="C2" s="144" t="s">
        <v>441</v>
      </c>
      <c r="D2" s="144" t="s">
        <v>442</v>
      </c>
      <c r="E2" s="144" t="s">
        <v>443</v>
      </c>
      <c r="F2" s="144" t="s">
        <v>444</v>
      </c>
      <c r="G2" s="144" t="s">
        <v>445</v>
      </c>
      <c r="H2" s="144" t="s">
        <v>446</v>
      </c>
      <c r="I2" s="144" t="s">
        <v>447</v>
      </c>
      <c r="J2" s="144" t="s">
        <v>448</v>
      </c>
    </row>
    <row r="3" spans="1:10">
      <c r="A3" s="96" t="s">
        <v>449</v>
      </c>
      <c r="B3" s="141">
        <f>+'Profit &amp; Loss Statement'!D58</f>
        <v>25.589999999999939</v>
      </c>
      <c r="C3" s="108">
        <f>+'Profit &amp; Loss Statement'!E58</f>
        <v>85.939999999999927</v>
      </c>
      <c r="D3" s="108">
        <f>+'Profit &amp; Loss Statement'!F58</f>
        <v>114.3799999999999</v>
      </c>
      <c r="E3" s="108">
        <f>+'Profit &amp; Loss Statement'!G58</f>
        <v>152.15999999999997</v>
      </c>
      <c r="F3" s="108">
        <f>+'Profit &amp; Loss Statement'!H58</f>
        <v>187.65000000000018</v>
      </c>
      <c r="G3" s="108">
        <f>+'Profit &amp; Loss Statement'!I58</f>
        <v>225.45</v>
      </c>
      <c r="H3" s="108">
        <f>+'Profit &amp; Loss Statement'!J58</f>
        <v>260.42000000000019</v>
      </c>
      <c r="I3" s="108">
        <f>+'Profit &amp; Loss Statement'!K58</f>
        <v>291.98000000000013</v>
      </c>
      <c r="J3" s="108">
        <f>+SUM(B3:I3)</f>
        <v>1343.5700000000002</v>
      </c>
    </row>
    <row r="4" spans="1:10">
      <c r="A4" s="96" t="s">
        <v>450</v>
      </c>
      <c r="B4" s="141">
        <f>+'Profit &amp; Loss Statement'!D29</f>
        <v>87.18</v>
      </c>
      <c r="C4" s="108">
        <f>+'Profit &amp; Loss Statement'!E29</f>
        <v>162.22999999999999</v>
      </c>
      <c r="D4" s="108">
        <f>+'Profit &amp; Loss Statement'!F29</f>
        <v>139.66999999999999</v>
      </c>
      <c r="E4" s="108">
        <f>+'Profit &amp; Loss Statement'!G29</f>
        <v>120.24</v>
      </c>
      <c r="F4" s="108">
        <f>+'Profit &amp; Loss Statement'!H29</f>
        <v>103.51</v>
      </c>
      <c r="G4" s="108">
        <f>+'Profit &amp; Loss Statement'!I29</f>
        <v>89.12</v>
      </c>
      <c r="H4" s="108">
        <f>+'Profit &amp; Loss Statement'!J29</f>
        <v>76.72</v>
      </c>
      <c r="I4" s="108">
        <f>+'Profit &amp; Loss Statement'!K29</f>
        <v>66.05</v>
      </c>
      <c r="J4" s="108">
        <f>+SUM(B4:I4)</f>
        <v>844.72</v>
      </c>
    </row>
    <row r="5" spans="1:10">
      <c r="A5" s="96" t="s">
        <v>451</v>
      </c>
      <c r="B5" s="141">
        <v>4.67</v>
      </c>
      <c r="C5" s="108">
        <v>8</v>
      </c>
      <c r="D5" s="108">
        <v>8</v>
      </c>
      <c r="E5" s="108">
        <v>8</v>
      </c>
      <c r="F5" s="108">
        <v>8</v>
      </c>
      <c r="G5" s="108">
        <v>3.33</v>
      </c>
      <c r="H5" s="108"/>
      <c r="I5" s="108"/>
      <c r="J5" s="108">
        <f>+SUM(B5:I5)</f>
        <v>40</v>
      </c>
    </row>
    <row r="6" spans="1:10">
      <c r="A6" s="96" t="s">
        <v>452</v>
      </c>
      <c r="B6" s="142">
        <v>82.25</v>
      </c>
      <c r="C6" s="96">
        <v>130.09</v>
      </c>
      <c r="D6" s="96">
        <v>109.95</v>
      </c>
      <c r="E6" s="96">
        <v>89.8</v>
      </c>
      <c r="F6" s="96">
        <v>69.66</v>
      </c>
      <c r="G6" s="96">
        <v>49.52</v>
      </c>
      <c r="H6" s="96">
        <v>29.38</v>
      </c>
      <c r="I6" s="96">
        <v>9.23</v>
      </c>
      <c r="J6" s="108">
        <f>+SUM(B6:I6)</f>
        <v>569.88</v>
      </c>
    </row>
    <row r="7" spans="1:10" ht="15.75">
      <c r="A7" s="105" t="s">
        <v>453</v>
      </c>
      <c r="B7" s="147">
        <f>+SUM(B3:B6)</f>
        <v>199.68999999999994</v>
      </c>
      <c r="C7" s="148">
        <f t="shared" ref="C7:I7" si="0">+SUM(C3:C6)</f>
        <v>386.25999999999988</v>
      </c>
      <c r="D7" s="148">
        <f t="shared" si="0"/>
        <v>371.99999999999989</v>
      </c>
      <c r="E7" s="148">
        <f t="shared" si="0"/>
        <v>370.2</v>
      </c>
      <c r="F7" s="148">
        <f t="shared" si="0"/>
        <v>368.82000000000016</v>
      </c>
      <c r="G7" s="148">
        <f t="shared" si="0"/>
        <v>367.41999999999996</v>
      </c>
      <c r="H7" s="148">
        <f t="shared" si="0"/>
        <v>366.52000000000021</v>
      </c>
      <c r="I7" s="148">
        <f t="shared" si="0"/>
        <v>367.26000000000016</v>
      </c>
      <c r="J7" s="148">
        <f>+SUM(J3:J6)</f>
        <v>2798.17</v>
      </c>
    </row>
    <row r="8" spans="1:10">
      <c r="A8" s="96" t="s">
        <v>454</v>
      </c>
      <c r="B8" s="142">
        <f>+B6</f>
        <v>82.25</v>
      </c>
      <c r="C8" s="96">
        <f t="shared" ref="C8:I8" si="1">+C6</f>
        <v>130.09</v>
      </c>
      <c r="D8" s="96">
        <f t="shared" si="1"/>
        <v>109.95</v>
      </c>
      <c r="E8" s="96">
        <f t="shared" si="1"/>
        <v>89.8</v>
      </c>
      <c r="F8" s="96">
        <f t="shared" si="1"/>
        <v>69.66</v>
      </c>
      <c r="G8" s="96">
        <f t="shared" si="1"/>
        <v>49.52</v>
      </c>
      <c r="H8" s="96">
        <f t="shared" si="1"/>
        <v>29.38</v>
      </c>
      <c r="I8" s="96">
        <f t="shared" si="1"/>
        <v>9.23</v>
      </c>
      <c r="J8" s="108">
        <f>+SUM(B8:I8)</f>
        <v>569.88</v>
      </c>
    </row>
    <row r="9" spans="1:10">
      <c r="A9" s="96" t="s">
        <v>455</v>
      </c>
      <c r="B9" s="142">
        <v>11.19</v>
      </c>
      <c r="C9" s="96">
        <v>134.36000000000001</v>
      </c>
      <c r="D9" s="96">
        <v>134.36000000000001</v>
      </c>
      <c r="E9" s="96">
        <v>134.36000000000001</v>
      </c>
      <c r="F9" s="96">
        <v>134.36000000000001</v>
      </c>
      <c r="G9" s="96">
        <v>134.36000000000001</v>
      </c>
      <c r="H9" s="96">
        <v>134.36000000000001</v>
      </c>
      <c r="I9" s="96">
        <v>123.07</v>
      </c>
      <c r="J9" s="108">
        <f>+SUM(B9:I9)</f>
        <v>940.42000000000007</v>
      </c>
    </row>
    <row r="10" spans="1:10" ht="15.75">
      <c r="A10" s="105" t="s">
        <v>456</v>
      </c>
      <c r="B10" s="149">
        <f>+SUM(B8:B9)</f>
        <v>93.44</v>
      </c>
      <c r="C10" s="105">
        <f t="shared" ref="C10:I10" si="2">+SUM(C8:C9)</f>
        <v>264.45000000000005</v>
      </c>
      <c r="D10" s="105">
        <f t="shared" si="2"/>
        <v>244.31</v>
      </c>
      <c r="E10" s="105">
        <f t="shared" si="2"/>
        <v>224.16000000000003</v>
      </c>
      <c r="F10" s="105">
        <f t="shared" si="2"/>
        <v>204.02</v>
      </c>
      <c r="G10" s="105">
        <f t="shared" si="2"/>
        <v>183.88000000000002</v>
      </c>
      <c r="H10" s="105">
        <f t="shared" si="2"/>
        <v>163.74</v>
      </c>
      <c r="I10" s="105">
        <f t="shared" si="2"/>
        <v>132.29999999999998</v>
      </c>
      <c r="J10" s="148">
        <f>+SUM(J8:J9)</f>
        <v>1510.3000000000002</v>
      </c>
    </row>
    <row r="11" spans="1:10" ht="15.75">
      <c r="A11" s="105" t="s">
        <v>457</v>
      </c>
      <c r="B11" s="145">
        <f>+B7/B10</f>
        <v>2.1370933219178077</v>
      </c>
      <c r="C11" s="146">
        <f t="shared" ref="C11:I11" si="3">+C7/C10</f>
        <v>1.4606163736055957</v>
      </c>
      <c r="D11" s="146">
        <f t="shared" si="3"/>
        <v>1.5226556424215132</v>
      </c>
      <c r="E11" s="146">
        <f t="shared" si="3"/>
        <v>1.6514989293361881</v>
      </c>
      <c r="F11" s="146">
        <f t="shared" si="3"/>
        <v>1.8077639447113034</v>
      </c>
      <c r="G11" s="146">
        <f t="shared" si="3"/>
        <v>1.998150968022623</v>
      </c>
      <c r="H11" s="146">
        <f t="shared" si="3"/>
        <v>2.2384267741541479</v>
      </c>
      <c r="I11" s="146">
        <f t="shared" si="3"/>
        <v>2.7759637188208632</v>
      </c>
      <c r="J11" s="146">
        <f>+J7/J10</f>
        <v>1.8527246242468383</v>
      </c>
    </row>
    <row r="17" spans="1:2">
      <c r="A17" t="str">
        <f>Ratio!B22</f>
        <v>Account</v>
      </c>
      <c r="B17">
        <f>Ratio!C22</f>
        <v>0</v>
      </c>
    </row>
  </sheetData>
  <mergeCells count="1">
    <mergeCell ref="A1:J1"/>
  </mergeCells>
  <phoneticPr fontId="0" type="noConversion"/>
  <pageMargins left="0.75" right="0.75" top="1" bottom="1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DEDD-7B7A-4016-8E20-F6D0E41AFED6}">
  <dimension ref="A1:L60"/>
  <sheetViews>
    <sheetView tabSelected="1" zoomScale="75" zoomScaleNormal="75" workbookViewId="0">
      <selection activeCell="G5" sqref="G5"/>
    </sheetView>
  </sheetViews>
  <sheetFormatPr defaultColWidth="8.6640625" defaultRowHeight="15"/>
  <cols>
    <col min="1" max="1" width="20.6640625" customWidth="1"/>
    <col min="2" max="2" width="17.33203125" customWidth="1"/>
    <col min="3" max="8" width="12.6640625" customWidth="1"/>
  </cols>
  <sheetData>
    <row r="1" spans="1:8" ht="18">
      <c r="A1" s="5" t="s">
        <v>20</v>
      </c>
      <c r="B1" s="5"/>
      <c r="C1" s="5"/>
      <c r="D1" s="5"/>
      <c r="E1" s="5"/>
      <c r="F1" s="5"/>
      <c r="G1" s="5"/>
      <c r="H1" s="5"/>
    </row>
    <row r="2" spans="1:8" ht="18.75" thickBot="1">
      <c r="A2" s="5"/>
      <c r="B2" s="5"/>
      <c r="C2" s="5"/>
      <c r="D2" s="5"/>
      <c r="E2" s="5"/>
      <c r="F2" s="5"/>
      <c r="G2" s="5" t="s">
        <v>21</v>
      </c>
      <c r="H2" s="5"/>
    </row>
    <row r="3" spans="1:8" ht="18.75" thickBot="1">
      <c r="A3" s="13"/>
      <c r="B3" s="2"/>
      <c r="C3" s="164" t="s">
        <v>22</v>
      </c>
      <c r="D3" s="165"/>
      <c r="E3" s="164" t="s">
        <v>22</v>
      </c>
      <c r="F3" s="166"/>
      <c r="G3" s="43" t="s">
        <v>23</v>
      </c>
      <c r="H3" s="28" t="s">
        <v>24</v>
      </c>
    </row>
    <row r="4" spans="1:8" ht="18">
      <c r="A4" s="12"/>
      <c r="B4" s="5"/>
      <c r="C4" s="43" t="s">
        <v>25</v>
      </c>
      <c r="D4" s="9" t="s">
        <v>26</v>
      </c>
      <c r="E4" s="43" t="s">
        <v>25</v>
      </c>
      <c r="F4" s="9" t="s">
        <v>26</v>
      </c>
      <c r="G4" s="44" t="s">
        <v>25</v>
      </c>
      <c r="H4" s="15" t="s">
        <v>27</v>
      </c>
    </row>
    <row r="5" spans="1:8" ht="18.75" thickBot="1">
      <c r="A5" s="10"/>
      <c r="B5" s="7"/>
      <c r="C5" s="32" t="str">
        <f>+'Profit &amp; Loss Statement'!D4</f>
        <v>31.03.2022</v>
      </c>
      <c r="D5" s="34" t="str">
        <f>+C5</f>
        <v>31.03.2022</v>
      </c>
      <c r="E5" s="32" t="str">
        <f>+'Profit &amp; Loss Statement'!E4</f>
        <v>31.03.2023</v>
      </c>
      <c r="F5" s="34" t="str">
        <f>+E5</f>
        <v>31.03.2023</v>
      </c>
      <c r="G5" s="32">
        <f>+'Profit &amp; Loss Statement'!F4</f>
        <v>45382</v>
      </c>
      <c r="H5" s="36">
        <f>+'Profit &amp; Loss Statement'!I4</f>
        <v>46477</v>
      </c>
    </row>
    <row r="6" spans="1:8" ht="18">
      <c r="A6" s="12"/>
      <c r="B6" s="5"/>
      <c r="C6" s="13"/>
      <c r="D6" s="21"/>
      <c r="E6" s="5"/>
      <c r="F6" s="21"/>
      <c r="G6" s="21"/>
      <c r="H6" s="8"/>
    </row>
    <row r="7" spans="1:8" ht="18">
      <c r="A7" s="12" t="s">
        <v>28</v>
      </c>
      <c r="B7" s="5"/>
      <c r="C7" s="50">
        <v>0</v>
      </c>
      <c r="D7" s="47">
        <f>+'Balance Sheet2'!C32</f>
        <v>355</v>
      </c>
      <c r="E7" s="30"/>
      <c r="F7" s="47">
        <f>+'Balance Sheet2'!D32</f>
        <v>355</v>
      </c>
      <c r="G7" s="47">
        <f>+'Balance Sheet2'!E32</f>
        <v>355</v>
      </c>
      <c r="H7" s="29">
        <f>+'Balance Sheet2'!H32</f>
        <v>355</v>
      </c>
    </row>
    <row r="8" spans="1:8" ht="18">
      <c r="A8" s="12" t="s">
        <v>29</v>
      </c>
      <c r="B8" s="5"/>
      <c r="C8" s="50">
        <v>0</v>
      </c>
      <c r="D8" s="47">
        <f>SUM('Balance Sheet2'!C34:C48)-'Balance Sheet2'!C43</f>
        <v>25.589999999999939</v>
      </c>
      <c r="E8" s="30"/>
      <c r="F8" s="47">
        <f>SUM('Balance Sheet2'!D34:D48)-'Balance Sheet2'!D43</f>
        <v>111.52999999999986</v>
      </c>
      <c r="G8" s="47">
        <f>SUM('Balance Sheet2'!E34:E48)-'Balance Sheet2'!E43</f>
        <v>225.90999999999974</v>
      </c>
      <c r="H8" s="47">
        <f>SUM('Balance Sheet2'!H34:H48)-'Balance Sheet2'!H43</f>
        <v>791.16999999999985</v>
      </c>
    </row>
    <row r="9" spans="1:8" ht="18">
      <c r="A9" s="12" t="s">
        <v>30</v>
      </c>
      <c r="B9" s="5"/>
      <c r="C9" s="50"/>
      <c r="D9" s="47">
        <f>+'Balance Sheet2'!N45</f>
        <v>35.33</v>
      </c>
      <c r="E9" s="30"/>
      <c r="F9" s="47">
        <f>+'Balance Sheet2'!O45</f>
        <v>27.33</v>
      </c>
      <c r="G9" s="47">
        <f>+'Balance Sheet2'!P45</f>
        <v>19.329999999999998</v>
      </c>
      <c r="H9" s="29">
        <f>+'Balance Sheet2'!S45</f>
        <v>0</v>
      </c>
    </row>
    <row r="10" spans="1:8" ht="18">
      <c r="A10" s="12"/>
      <c r="B10" s="5"/>
      <c r="C10" s="50"/>
      <c r="D10" s="47"/>
      <c r="E10" s="30"/>
      <c r="F10" s="47"/>
      <c r="G10" s="47"/>
      <c r="H10" s="29"/>
    </row>
    <row r="11" spans="1:8" ht="18">
      <c r="A11" s="12" t="s">
        <v>31</v>
      </c>
      <c r="B11" s="5"/>
      <c r="C11" s="46">
        <f t="shared" ref="C11:H11" si="0">+C7+C8-C9</f>
        <v>0</v>
      </c>
      <c r="D11" s="47">
        <f t="shared" si="0"/>
        <v>345.25999999999993</v>
      </c>
      <c r="E11" s="24"/>
      <c r="F11" s="47">
        <f t="shared" si="0"/>
        <v>439.19999999999987</v>
      </c>
      <c r="G11" s="47">
        <f t="shared" si="0"/>
        <v>561.5799999999997</v>
      </c>
      <c r="H11" s="29">
        <f t="shared" si="0"/>
        <v>1146.1699999999998</v>
      </c>
    </row>
    <row r="12" spans="1:8" ht="18">
      <c r="A12" s="12"/>
      <c r="B12" s="5"/>
      <c r="C12" s="50"/>
      <c r="D12" s="47"/>
      <c r="E12" s="30"/>
      <c r="F12" s="47"/>
      <c r="G12" s="47"/>
      <c r="H12" s="29"/>
    </row>
    <row r="13" spans="1:8" ht="18">
      <c r="A13" s="12" t="s">
        <v>32</v>
      </c>
      <c r="B13" s="5"/>
      <c r="C13" s="50">
        <v>0</v>
      </c>
      <c r="D13" s="47">
        <f>+'Balance Sheet2'!C28</f>
        <v>1078.8499999999999</v>
      </c>
      <c r="E13" s="30"/>
      <c r="F13" s="47">
        <f>+'Balance Sheet2'!D28</f>
        <v>945.2</v>
      </c>
      <c r="G13" s="47">
        <f>+'Balance Sheet2'!E28</f>
        <v>811.33</v>
      </c>
      <c r="H13" s="29">
        <f>+'Balance Sheet2'!H28</f>
        <v>409.04999999999995</v>
      </c>
    </row>
    <row r="14" spans="1:8" ht="18">
      <c r="A14" s="12"/>
      <c r="B14" s="5"/>
      <c r="C14" s="50"/>
      <c r="D14" s="47"/>
      <c r="E14" s="30"/>
      <c r="F14" s="47"/>
      <c r="G14" s="47"/>
      <c r="H14" s="29"/>
    </row>
    <row r="15" spans="1:8" ht="18">
      <c r="A15" s="12" t="s">
        <v>33</v>
      </c>
      <c r="B15" s="5"/>
      <c r="C15" s="50">
        <v>0</v>
      </c>
      <c r="D15" s="47">
        <f>+'Balance Sheet2'!C25</f>
        <v>884.52</v>
      </c>
      <c r="E15" s="30"/>
      <c r="F15" s="47">
        <f>+'Balance Sheet2'!D25</f>
        <v>750.23</v>
      </c>
      <c r="G15" s="47">
        <f>+'Balance Sheet2'!E25</f>
        <v>615.94000000000005</v>
      </c>
      <c r="H15" s="29">
        <f>+'Balance Sheet2'!H25</f>
        <v>213.07</v>
      </c>
    </row>
    <row r="16" spans="1:8" ht="18">
      <c r="A16" s="12"/>
      <c r="B16" s="5"/>
      <c r="C16" s="50"/>
      <c r="D16" s="47"/>
      <c r="E16" s="30"/>
      <c r="F16" s="47"/>
      <c r="G16" s="47"/>
      <c r="H16" s="29"/>
    </row>
    <row r="17" spans="1:8" ht="18">
      <c r="A17" s="12" t="s">
        <v>34</v>
      </c>
      <c r="B17" s="5"/>
      <c r="C17" s="50">
        <v>0</v>
      </c>
      <c r="D17" s="47">
        <f>+'Balance Sheet2'!N13</f>
        <v>1166.32</v>
      </c>
      <c r="E17" s="30"/>
      <c r="F17" s="47">
        <f>+'Balance Sheet2'!O13</f>
        <v>1004.09</v>
      </c>
      <c r="G17" s="47">
        <f>+'Balance Sheet2'!P13</f>
        <v>864.42000000000007</v>
      </c>
      <c r="H17" s="29">
        <f>+'Balance Sheet2'!S13</f>
        <v>551.54999999999995</v>
      </c>
    </row>
    <row r="18" spans="1:8" ht="18">
      <c r="A18" s="12"/>
      <c r="B18" s="5"/>
      <c r="C18" s="50"/>
      <c r="D18" s="47"/>
      <c r="E18" s="30"/>
      <c r="F18" s="47"/>
      <c r="G18" s="47"/>
      <c r="H18" s="29"/>
    </row>
    <row r="19" spans="1:8" ht="18">
      <c r="A19" s="12" t="s">
        <v>35</v>
      </c>
      <c r="B19" s="5"/>
      <c r="C19" s="50">
        <v>0</v>
      </c>
      <c r="D19" s="47">
        <f>+'Balance Sheet2'!N51</f>
        <v>63.460000000000036</v>
      </c>
      <c r="E19" s="30"/>
      <c r="F19" s="47">
        <f>+'Balance Sheet2'!O51</f>
        <v>185.33999999999969</v>
      </c>
      <c r="G19" s="47">
        <f>+'Balance Sheet2'!P51</f>
        <v>313.0999999999998</v>
      </c>
      <c r="H19" s="29">
        <f>+'Balance Sheet2'!S51</f>
        <v>807.68999999999983</v>
      </c>
    </row>
    <row r="20" spans="1:8" ht="18">
      <c r="A20" s="12"/>
      <c r="B20" s="5"/>
      <c r="C20" s="50"/>
      <c r="D20" s="47"/>
      <c r="E20" s="30"/>
      <c r="F20" s="47"/>
      <c r="G20" s="47"/>
      <c r="H20" s="29"/>
    </row>
    <row r="21" spans="1:8" ht="18">
      <c r="A21" s="12" t="s">
        <v>36</v>
      </c>
      <c r="B21" s="5"/>
      <c r="C21" s="50">
        <v>0</v>
      </c>
      <c r="D21" s="47">
        <f>+'Balance Sheet2'!N23</f>
        <v>0</v>
      </c>
      <c r="E21" s="30"/>
      <c r="F21" s="47">
        <f>+'Balance Sheet2'!O23</f>
        <v>0</v>
      </c>
      <c r="G21" s="47">
        <f>+'Balance Sheet2'!P23</f>
        <v>0</v>
      </c>
      <c r="H21" s="47">
        <f>+'Balance Sheet2'!Q23</f>
        <v>0</v>
      </c>
    </row>
    <row r="22" spans="1:8" ht="18">
      <c r="A22" s="12"/>
      <c r="B22" s="5"/>
      <c r="C22" s="50"/>
      <c r="D22" s="47"/>
      <c r="E22" s="30"/>
      <c r="F22" s="47"/>
      <c r="G22" s="47"/>
      <c r="H22" s="29"/>
    </row>
    <row r="23" spans="1:8" ht="18">
      <c r="A23" s="12" t="s">
        <v>37</v>
      </c>
      <c r="B23" s="5"/>
      <c r="C23" s="50">
        <v>0</v>
      </c>
      <c r="D23" s="47">
        <f>+'Profit &amp; Loss Statement'!D12</f>
        <v>599.95999999999992</v>
      </c>
      <c r="E23" s="30"/>
      <c r="F23" s="47">
        <f>+'Profit &amp; Loss Statement'!E12</f>
        <v>1189.25</v>
      </c>
      <c r="G23" s="47">
        <f>+'Profit &amp; Loss Statement'!F12</f>
        <v>1274.4499999999998</v>
      </c>
      <c r="H23" s="29">
        <f>+'Profit &amp; Loss Statement'!I12</f>
        <v>1404.03</v>
      </c>
    </row>
    <row r="24" spans="1:8" ht="18">
      <c r="A24" s="12" t="s">
        <v>38</v>
      </c>
      <c r="B24" s="5"/>
      <c r="C24" s="50">
        <v>0</v>
      </c>
      <c r="D24" s="47">
        <f>+'Profit &amp; Loss Statement'!D39</f>
        <v>466.95</v>
      </c>
      <c r="E24" s="30"/>
      <c r="F24" s="47">
        <f>+'Profit &amp; Loss Statement'!E39</f>
        <v>927.80000000000007</v>
      </c>
      <c r="G24" s="47">
        <f>+'Profit &amp; Loss Statement'!F39</f>
        <v>958.93999999999994</v>
      </c>
      <c r="H24" s="29">
        <f>+'Profit &amp; Loss Statement'!I39</f>
        <v>990.74</v>
      </c>
    </row>
    <row r="25" spans="1:8" ht="18">
      <c r="A25" s="12" t="s">
        <v>39</v>
      </c>
      <c r="B25" s="5"/>
      <c r="C25" s="50">
        <v>0</v>
      </c>
      <c r="D25" s="47">
        <f>+'Profit &amp; Loss Statement'!D58</f>
        <v>25.589999999999939</v>
      </c>
      <c r="E25" s="30"/>
      <c r="F25" s="47">
        <f>+'Profit &amp; Loss Statement'!E58</f>
        <v>85.939999999999927</v>
      </c>
      <c r="G25" s="47">
        <f>+'Profit &amp; Loss Statement'!F58</f>
        <v>114.3799999999999</v>
      </c>
      <c r="H25" s="29">
        <f>+'Profit &amp; Loss Statement'!I58</f>
        <v>225.45</v>
      </c>
    </row>
    <row r="26" spans="1:8" ht="18">
      <c r="A26" s="12"/>
      <c r="B26" s="5"/>
      <c r="C26" s="50"/>
      <c r="D26" s="47"/>
      <c r="E26" s="30"/>
      <c r="F26" s="47"/>
      <c r="G26" s="47"/>
      <c r="H26" s="29"/>
    </row>
    <row r="27" spans="1:8" ht="18">
      <c r="A27" s="12" t="s">
        <v>40</v>
      </c>
      <c r="B27" s="5"/>
      <c r="C27" s="50">
        <v>0</v>
      </c>
      <c r="D27" s="47">
        <f>+'Profit &amp; Loss Statement'!D29</f>
        <v>87.18</v>
      </c>
      <c r="E27" s="30"/>
      <c r="F27" s="47">
        <f>+'Profit &amp; Loss Statement'!E29</f>
        <v>162.22999999999999</v>
      </c>
      <c r="G27" s="47">
        <f>+'Profit &amp; Loss Statement'!F29</f>
        <v>139.66999999999999</v>
      </c>
      <c r="H27" s="47">
        <f>+'Profit &amp; Loss Statement'!I29</f>
        <v>89.12</v>
      </c>
    </row>
    <row r="28" spans="1:8" ht="18">
      <c r="A28" s="12" t="s">
        <v>41</v>
      </c>
      <c r="B28" s="5"/>
      <c r="C28" s="50">
        <v>0</v>
      </c>
      <c r="D28" s="47">
        <v>0</v>
      </c>
      <c r="E28" s="30">
        <v>0</v>
      </c>
      <c r="F28" s="47">
        <v>0</v>
      </c>
      <c r="G28" s="47">
        <v>0</v>
      </c>
      <c r="H28" s="29">
        <v>0</v>
      </c>
    </row>
    <row r="29" spans="1:8" ht="18">
      <c r="A29" s="12" t="s">
        <v>42</v>
      </c>
      <c r="B29" s="5"/>
      <c r="C29" s="50">
        <v>0</v>
      </c>
      <c r="D29" s="47">
        <v>0</v>
      </c>
      <c r="E29" s="30">
        <v>0</v>
      </c>
      <c r="F29" s="47">
        <v>0</v>
      </c>
      <c r="G29" s="47">
        <v>0</v>
      </c>
      <c r="H29" s="29">
        <v>0</v>
      </c>
    </row>
    <row r="30" spans="1:8" ht="18">
      <c r="A30" s="12"/>
      <c r="B30" s="5"/>
      <c r="C30" s="50"/>
      <c r="D30" s="47"/>
      <c r="E30" s="30"/>
      <c r="F30" s="47"/>
      <c r="G30" s="47"/>
      <c r="H30" s="29"/>
    </row>
    <row r="31" spans="1:8" ht="18">
      <c r="A31" s="12" t="s">
        <v>43</v>
      </c>
      <c r="B31" s="5"/>
      <c r="C31" s="46">
        <f t="shared" ref="C31:H31" si="1">+C27+C25</f>
        <v>0</v>
      </c>
      <c r="D31" s="47">
        <f t="shared" si="1"/>
        <v>112.76999999999995</v>
      </c>
      <c r="E31" s="24">
        <f t="shared" si="1"/>
        <v>0</v>
      </c>
      <c r="F31" s="47">
        <f t="shared" si="1"/>
        <v>248.1699999999999</v>
      </c>
      <c r="G31" s="47">
        <f t="shared" si="1"/>
        <v>254.0499999999999</v>
      </c>
      <c r="H31" s="29">
        <f t="shared" si="1"/>
        <v>314.57</v>
      </c>
    </row>
    <row r="32" spans="1:8" ht="18">
      <c r="A32" s="12"/>
      <c r="B32" s="5"/>
      <c r="C32" s="46"/>
      <c r="D32" s="47"/>
      <c r="E32" s="24"/>
      <c r="F32" s="47"/>
      <c r="G32" s="47"/>
      <c r="H32" s="29"/>
    </row>
    <row r="33" spans="1:12" ht="18">
      <c r="A33" s="12" t="s">
        <v>44</v>
      </c>
      <c r="B33" s="5"/>
      <c r="C33" s="50"/>
      <c r="D33" s="51">
        <v>0</v>
      </c>
      <c r="E33" s="30"/>
      <c r="F33" s="51">
        <v>0</v>
      </c>
      <c r="G33" s="51">
        <v>0</v>
      </c>
      <c r="H33" s="31">
        <v>0</v>
      </c>
    </row>
    <row r="34" spans="1:12" ht="18">
      <c r="A34" s="12" t="s">
        <v>45</v>
      </c>
      <c r="B34" s="5"/>
      <c r="C34" s="50">
        <v>0</v>
      </c>
      <c r="D34" s="51">
        <v>0</v>
      </c>
      <c r="E34" s="30">
        <v>0</v>
      </c>
      <c r="F34" s="51">
        <v>0</v>
      </c>
      <c r="G34" s="51">
        <v>0</v>
      </c>
      <c r="H34" s="31">
        <v>0</v>
      </c>
    </row>
    <row r="35" spans="1:12" ht="18.75" thickBot="1">
      <c r="A35" s="12" t="s">
        <v>46</v>
      </c>
      <c r="B35" s="5"/>
      <c r="C35" s="46"/>
      <c r="D35" s="48">
        <f>+D33/D7</f>
        <v>0</v>
      </c>
      <c r="E35" s="24"/>
      <c r="F35" s="48">
        <f>+F33/F7</f>
        <v>0</v>
      </c>
      <c r="G35" s="48">
        <f>+G33/G7</f>
        <v>0</v>
      </c>
      <c r="H35" s="45">
        <f>+H33/H7</f>
        <v>0</v>
      </c>
    </row>
    <row r="36" spans="1:12" ht="18">
      <c r="A36" s="13"/>
      <c r="B36" s="2"/>
      <c r="C36" s="88"/>
      <c r="D36" s="41"/>
      <c r="E36" s="37"/>
      <c r="F36" s="41"/>
      <c r="G36" s="41"/>
      <c r="H36" s="38"/>
    </row>
    <row r="37" spans="1:12" ht="18">
      <c r="A37" s="12" t="s">
        <v>47</v>
      </c>
      <c r="B37" s="5"/>
      <c r="C37" s="46"/>
      <c r="D37" s="47"/>
      <c r="E37" s="24"/>
      <c r="F37" s="47"/>
      <c r="G37" s="47"/>
      <c r="H37" s="29"/>
    </row>
    <row r="38" spans="1:12" ht="18">
      <c r="A38" s="12"/>
      <c r="B38" s="5"/>
      <c r="C38" s="46"/>
      <c r="D38" s="47"/>
      <c r="E38" s="24"/>
      <c r="F38" s="47"/>
      <c r="G38" s="47"/>
      <c r="H38" s="29"/>
    </row>
    <row r="39" spans="1:12" ht="18">
      <c r="A39" s="12" t="s">
        <v>48</v>
      </c>
      <c r="B39" s="5"/>
      <c r="C39" s="50"/>
      <c r="D39" s="47">
        <f>(+'Balance Sheet'!N51-'Balance Sheet'!C56)/('Balance Sheet'!C51-'Balance Sheet'!C56)</f>
        <v>1.3265579169454023</v>
      </c>
      <c r="E39" s="30"/>
      <c r="F39" s="47">
        <f>(+'Balance Sheet'!O51-'Balance Sheet'!D56)/('Balance Sheet'!D51-'Balance Sheet'!D56)</f>
        <v>1.9506077858132023</v>
      </c>
      <c r="G39" s="47">
        <f>(+'Balance Sheet'!P51-'Balance Sheet'!E56)/('Balance Sheet'!E51-'Balance Sheet'!E56)</f>
        <v>2.6024361533343572</v>
      </c>
      <c r="H39" s="47">
        <f>(+'Balance Sheet'!S51-'Balance Sheet'!H56)/('Balance Sheet'!H51-'Balance Sheet'!H56)</f>
        <v>5.1212878865190321</v>
      </c>
    </row>
    <row r="40" spans="1:12" ht="18">
      <c r="A40" s="12"/>
      <c r="B40" s="5"/>
      <c r="C40" s="46"/>
      <c r="D40" s="47"/>
      <c r="E40" s="24"/>
      <c r="F40" s="47"/>
      <c r="G40" s="47"/>
      <c r="H40" s="29"/>
    </row>
    <row r="41" spans="1:12" ht="18">
      <c r="A41" s="12" t="s">
        <v>49</v>
      </c>
      <c r="B41" s="5"/>
      <c r="C41" s="46">
        <v>0.18</v>
      </c>
      <c r="D41" s="47">
        <f>+D15/D11</f>
        <v>2.5618953831894808</v>
      </c>
      <c r="E41" s="24" t="e">
        <f>+E15/E11</f>
        <v>#DIV/0!</v>
      </c>
      <c r="F41" s="47">
        <f>+F15/F11</f>
        <v>1.7081739526411663</v>
      </c>
      <c r="G41" s="47">
        <f>+G15/G11</f>
        <v>1.096798319028456</v>
      </c>
      <c r="H41" s="29">
        <f>+H15/H11</f>
        <v>0.18589737996981254</v>
      </c>
    </row>
    <row r="42" spans="1:12" ht="18">
      <c r="A42" s="12"/>
      <c r="B42" s="5"/>
      <c r="C42" s="46"/>
      <c r="D42" s="47"/>
      <c r="E42" s="24"/>
      <c r="F42" s="47"/>
      <c r="G42" s="47"/>
      <c r="H42" s="29"/>
    </row>
    <row r="43" spans="1:12" ht="18">
      <c r="A43" s="12" t="s">
        <v>50</v>
      </c>
      <c r="B43" s="5"/>
      <c r="C43" s="46" t="e">
        <f t="shared" ref="C43:H43" si="2">+C13/C11</f>
        <v>#DIV/0!</v>
      </c>
      <c r="D43" s="47">
        <f t="shared" si="2"/>
        <v>3.1247465678039741</v>
      </c>
      <c r="E43" s="24" t="e">
        <f t="shared" si="2"/>
        <v>#DIV/0!</v>
      </c>
      <c r="F43" s="47">
        <f t="shared" si="2"/>
        <v>2.152094717668489</v>
      </c>
      <c r="G43" s="47">
        <f t="shared" si="2"/>
        <v>1.4447273763310668</v>
      </c>
      <c r="H43" s="29">
        <f t="shared" si="2"/>
        <v>0.35688423183297419</v>
      </c>
      <c r="I43" s="24"/>
      <c r="J43" s="24"/>
      <c r="K43" s="24"/>
      <c r="L43" s="24"/>
    </row>
    <row r="44" spans="1:12" ht="18">
      <c r="A44" s="12"/>
      <c r="B44" s="5"/>
      <c r="C44" s="46"/>
      <c r="D44" s="47"/>
      <c r="E44" s="24"/>
      <c r="F44" s="47"/>
      <c r="G44" s="47"/>
      <c r="H44" s="29"/>
    </row>
    <row r="45" spans="1:12" ht="18">
      <c r="A45" s="12" t="s">
        <v>51</v>
      </c>
      <c r="B45" s="5"/>
      <c r="C45" s="50">
        <v>0.2</v>
      </c>
      <c r="D45" s="47">
        <f>SUM('Balance Sheet'!N29:N37)/'Financial Indicator &amp; Ratios'!D23</f>
        <v>0.1889792652843523</v>
      </c>
      <c r="E45" s="30"/>
      <c r="F45" s="47">
        <f>SUM('Balance Sheet'!O29:O37)/('Financial Indicator &amp; Ratios'!F23)</f>
        <v>9.9810805129283156E-2</v>
      </c>
      <c r="G45" s="47">
        <f>SUM('Balance Sheet'!P29:P37)/('Financial Indicator &amp; Ratios'!G23)</f>
        <v>9.9564518027384363E-2</v>
      </c>
      <c r="H45" s="47">
        <f>SUM('Balance Sheet'!S29:S37)/('Financial Indicator &amp; Ratios'!H23)</f>
        <v>9.9321239574652956E-2</v>
      </c>
    </row>
    <row r="46" spans="1:12" ht="18">
      <c r="A46" s="12"/>
      <c r="B46" s="5"/>
      <c r="C46" s="50"/>
      <c r="D46" s="47"/>
      <c r="E46" s="30"/>
      <c r="F46" s="47"/>
      <c r="G46" s="47"/>
      <c r="H46" s="29"/>
    </row>
    <row r="47" spans="1:12" ht="18">
      <c r="A47" s="12" t="s">
        <v>52</v>
      </c>
      <c r="B47" s="5"/>
      <c r="C47" s="50">
        <v>0.24</v>
      </c>
      <c r="D47" s="47">
        <f>SUM('Balance Sheet'!N17:N25)/(+'Profit &amp; Loss Statement'!D8+'Profit &amp; Loss Statement'!D7)</f>
        <v>0.20000000000000004</v>
      </c>
      <c r="E47" s="30"/>
      <c r="F47" s="47">
        <f>SUM('Balance Sheet'!O18:O25)/(+'Profit &amp; Loss Statement'!E8+'Profit &amp; Loss Statement'!E7)</f>
        <v>0.1666703263725727</v>
      </c>
      <c r="G47" s="47">
        <f>SUM('Balance Sheet'!P18:P25)/(+'Profit &amp; Loss Statement'!F8+'Profit &amp; Loss Statement'!F7)</f>
        <v>0.16666894337818458</v>
      </c>
      <c r="H47" s="47">
        <f>SUM('Balance Sheet'!S18:S25)/(+'Profit &amp; Loss Statement'!I8+'Profit &amp; Loss Statement'!I7)</f>
        <v>0.16666976657676927</v>
      </c>
    </row>
    <row r="48" spans="1:12" ht="18">
      <c r="A48" s="12"/>
      <c r="B48" s="5"/>
      <c r="C48" s="46"/>
      <c r="D48" s="47"/>
      <c r="E48" s="24"/>
      <c r="F48" s="47"/>
      <c r="G48" s="47"/>
      <c r="H48" s="29"/>
    </row>
    <row r="49" spans="1:8" ht="18">
      <c r="A49" s="12" t="s">
        <v>53</v>
      </c>
      <c r="B49" s="5"/>
      <c r="C49" s="46">
        <v>0.05</v>
      </c>
      <c r="D49" s="47">
        <f>+D25/D23</f>
        <v>4.2652843522901433E-2</v>
      </c>
      <c r="E49" s="24" t="e">
        <f>+E25/E23</f>
        <v>#DIV/0!</v>
      </c>
      <c r="F49" s="47">
        <f>+F25/F23</f>
        <v>7.2264031952911437E-2</v>
      </c>
      <c r="G49" s="47">
        <f>+G25/G23</f>
        <v>8.9748518968966934E-2</v>
      </c>
      <c r="H49" s="29">
        <f>+H25/H23</f>
        <v>0.1605734920194013</v>
      </c>
    </row>
    <row r="50" spans="1:8" ht="18">
      <c r="A50" s="12"/>
      <c r="B50" s="5"/>
      <c r="C50" s="46"/>
      <c r="D50" s="47"/>
      <c r="E50" s="24"/>
      <c r="F50" s="47"/>
      <c r="G50" s="47"/>
      <c r="H50" s="29"/>
    </row>
    <row r="51" spans="1:8" ht="18">
      <c r="A51" s="12" t="s">
        <v>54</v>
      </c>
      <c r="B51" s="5"/>
      <c r="C51" s="46">
        <v>0.28999999999999998</v>
      </c>
      <c r="D51" s="47">
        <f>+D25/D11</f>
        <v>7.4118055957828721E-2</v>
      </c>
      <c r="E51" s="47" t="e">
        <f>+E25/E11</f>
        <v>#DIV/0!</v>
      </c>
      <c r="F51" s="47">
        <f>+F25/F11</f>
        <v>0.19567395264116563</v>
      </c>
      <c r="G51" s="47">
        <f>+G25/G11</f>
        <v>0.20367534456355277</v>
      </c>
      <c r="H51" s="47">
        <f>+H25/H11</f>
        <v>0.19669857002015409</v>
      </c>
    </row>
    <row r="52" spans="1:8" ht="18">
      <c r="A52" s="12"/>
      <c r="B52" s="5"/>
      <c r="C52" s="46"/>
      <c r="D52" s="47"/>
      <c r="E52" s="24"/>
      <c r="F52" s="47"/>
      <c r="G52" s="47"/>
      <c r="H52" s="29"/>
    </row>
    <row r="53" spans="1:8" ht="18">
      <c r="A53" s="12" t="s">
        <v>55</v>
      </c>
      <c r="B53" s="5"/>
      <c r="C53" s="50">
        <v>0</v>
      </c>
      <c r="D53" s="51">
        <v>0</v>
      </c>
      <c r="E53" s="30">
        <v>0</v>
      </c>
      <c r="F53" s="51">
        <v>0</v>
      </c>
      <c r="G53" s="51">
        <f>+DSCR!D11</f>
        <v>1.5226556424215132</v>
      </c>
      <c r="H53" s="31">
        <f>+DSCR!G11</f>
        <v>1.998150968022623</v>
      </c>
    </row>
    <row r="54" spans="1:8" ht="18">
      <c r="A54" s="12"/>
      <c r="B54" s="5"/>
      <c r="C54" s="12"/>
      <c r="D54" s="49"/>
      <c r="E54" s="5"/>
      <c r="F54" s="49"/>
      <c r="G54" s="49"/>
      <c r="H54" s="8"/>
    </row>
    <row r="55" spans="1:8" ht="18">
      <c r="A55" s="12" t="s">
        <v>56</v>
      </c>
      <c r="B55" s="5"/>
      <c r="C55" s="52"/>
      <c r="D55" s="53"/>
      <c r="E55" s="54"/>
      <c r="F55" s="53"/>
      <c r="G55" s="53"/>
      <c r="H55" s="55"/>
    </row>
    <row r="56" spans="1:8" ht="18">
      <c r="A56" s="12" t="s">
        <v>57</v>
      </c>
      <c r="B56" s="5"/>
      <c r="C56" s="52"/>
      <c r="D56" s="53"/>
      <c r="E56" s="54"/>
      <c r="F56" s="53"/>
      <c r="G56" s="53"/>
      <c r="H56" s="55"/>
    </row>
    <row r="57" spans="1:8" ht="18.75" thickBot="1">
      <c r="A57" s="10" t="s">
        <v>58</v>
      </c>
      <c r="B57" s="7"/>
      <c r="C57" s="56"/>
      <c r="D57" s="57"/>
      <c r="E57" s="58"/>
      <c r="F57" s="57"/>
      <c r="G57" s="57"/>
      <c r="H57" s="59"/>
    </row>
    <row r="58" spans="1:8" ht="18">
      <c r="A58" s="5"/>
      <c r="B58" s="5"/>
      <c r="C58" s="5"/>
      <c r="D58" s="5"/>
      <c r="E58" s="5"/>
      <c r="F58" s="5"/>
      <c r="G58" s="5"/>
      <c r="H58" s="5"/>
    </row>
    <row r="59" spans="1:8" ht="18">
      <c r="A59" s="4" t="s">
        <v>59</v>
      </c>
      <c r="B59" s="1"/>
      <c r="C59" s="5"/>
      <c r="D59" s="5"/>
      <c r="E59" s="5"/>
      <c r="F59" s="5"/>
      <c r="G59" s="5"/>
      <c r="H59" s="26" t="s">
        <v>60</v>
      </c>
    </row>
    <row r="60" spans="1:8" ht="18">
      <c r="A60" s="5"/>
      <c r="B60" s="5"/>
      <c r="C60" s="5"/>
      <c r="D60" s="5"/>
      <c r="E60" s="5"/>
      <c r="F60" s="5"/>
      <c r="G60" s="5"/>
      <c r="H60" s="5"/>
    </row>
  </sheetData>
  <mergeCells count="2">
    <mergeCell ref="C3:D3"/>
    <mergeCell ref="E3:F3"/>
  </mergeCells>
  <phoneticPr fontId="0" type="noConversion"/>
  <pageMargins left="0.96" right="0.4" top="0.52" bottom="0.56000000000000005" header="0.5" footer="0.5"/>
  <pageSetup scale="65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A57D-0AF7-4E1F-BBFC-293F00C3E321}">
  <dimension ref="A1:J60"/>
  <sheetViews>
    <sheetView zoomScale="75" workbookViewId="0">
      <selection activeCell="K6" sqref="K6"/>
    </sheetView>
  </sheetViews>
  <sheetFormatPr defaultColWidth="8.6640625" defaultRowHeight="15"/>
  <cols>
    <col min="1" max="1" width="26.6640625" customWidth="1"/>
    <col min="2" max="3" width="11.6640625" customWidth="1"/>
    <col min="4" max="4" width="14.21875" customWidth="1"/>
    <col min="5" max="5" width="12.6640625" customWidth="1"/>
    <col min="6" max="6" width="16.6640625" customWidth="1"/>
    <col min="7" max="7" width="14.6640625" customWidth="1"/>
    <col min="8" max="8" width="12.88671875" customWidth="1"/>
  </cols>
  <sheetData>
    <row r="1" spans="1:10" ht="18.75" thickBot="1">
      <c r="A1" s="5" t="s">
        <v>61</v>
      </c>
      <c r="B1" s="5"/>
      <c r="C1" s="5"/>
      <c r="D1" s="5"/>
      <c r="E1" s="5"/>
      <c r="F1" s="5"/>
      <c r="G1" s="5" t="s">
        <v>62</v>
      </c>
      <c r="H1" s="5"/>
    </row>
    <row r="2" spans="1:10" ht="18">
      <c r="A2" s="13" t="s">
        <v>63</v>
      </c>
      <c r="B2" s="2"/>
      <c r="C2" s="2"/>
      <c r="D2" s="2"/>
      <c r="E2" s="2"/>
      <c r="F2" s="60">
        <f>+E6</f>
        <v>45747</v>
      </c>
      <c r="G2" s="90">
        <f>+'Financial Indicator &amp; Ratios'!E23</f>
        <v>0</v>
      </c>
      <c r="H2" s="14"/>
    </row>
    <row r="3" spans="1:10" ht="18.75" thickBot="1">
      <c r="A3" s="10" t="s">
        <v>64</v>
      </c>
      <c r="B3" s="7"/>
      <c r="C3" s="7" t="s">
        <v>65</v>
      </c>
      <c r="D3" s="7" t="s">
        <v>66</v>
      </c>
      <c r="E3" s="7"/>
      <c r="F3" s="35">
        <f>+F2</f>
        <v>45747</v>
      </c>
      <c r="G3" s="39">
        <f>+E8</f>
        <v>1318.83</v>
      </c>
      <c r="H3" s="11"/>
    </row>
    <row r="4" spans="1:10" ht="18.75" thickBot="1">
      <c r="A4" s="12"/>
      <c r="B4" s="5"/>
      <c r="C4" s="5"/>
      <c r="D4" s="5"/>
      <c r="E4" s="5"/>
      <c r="F4" s="5"/>
      <c r="G4" s="5"/>
      <c r="H4" s="8"/>
    </row>
    <row r="5" spans="1:10" ht="18">
      <c r="A5" s="13"/>
      <c r="B5" s="2"/>
      <c r="C5" s="2"/>
      <c r="D5" s="43" t="str">
        <f>+'Profit &amp; Loss Statement'!F5</f>
        <v>Actuals</v>
      </c>
      <c r="E5" s="43" t="str">
        <f>+'Profit &amp; Loss Statement'!G5</f>
        <v>Estimated</v>
      </c>
      <c r="F5" s="43" t="str">
        <f>+'Profit &amp; Loss Statement'!H5</f>
        <v>Projected</v>
      </c>
      <c r="G5" s="43" t="str">
        <f>+'Profit &amp; Loss Statement'!I5</f>
        <v>Projected</v>
      </c>
      <c r="H5" s="43" t="s">
        <v>67</v>
      </c>
    </row>
    <row r="6" spans="1:10" ht="18.75" thickBot="1">
      <c r="A6" s="10"/>
      <c r="B6" s="7"/>
      <c r="C6" s="7"/>
      <c r="D6" s="32">
        <f>+'Profit &amp; Loss Statement'!F4</f>
        <v>45382</v>
      </c>
      <c r="E6" s="32">
        <f>+'Profit &amp; Loss Statement'!G4</f>
        <v>45747</v>
      </c>
      <c r="F6" s="32">
        <f>+'Profit &amp; Loss Statement'!H4</f>
        <v>46112</v>
      </c>
      <c r="G6" s="32">
        <f>+'Profit &amp; Loss Statement'!I4</f>
        <v>46477</v>
      </c>
      <c r="H6" s="61">
        <f>+F6</f>
        <v>46112</v>
      </c>
    </row>
    <row r="7" spans="1:10" ht="18">
      <c r="A7" s="12"/>
      <c r="B7" s="5"/>
      <c r="C7" s="5"/>
      <c r="D7" s="5"/>
      <c r="E7" s="5"/>
      <c r="F7" s="5"/>
      <c r="G7" s="5"/>
      <c r="H7" s="8"/>
    </row>
    <row r="8" spans="1:10" ht="18">
      <c r="A8" s="3"/>
      <c r="B8" s="4" t="s">
        <v>37</v>
      </c>
      <c r="C8" s="5"/>
      <c r="D8" s="24">
        <f>+'Profit &amp; Loss Statement'!F12</f>
        <v>1274.4499999999998</v>
      </c>
      <c r="E8" s="24">
        <f>+'Profit &amp; Loss Statement'!G12</f>
        <v>1318.83</v>
      </c>
      <c r="F8" s="24">
        <f>+'Profit &amp; Loss Statement'!H12</f>
        <v>1361.42</v>
      </c>
      <c r="G8" s="24">
        <f>+'Profit &amp; Loss Statement'!I12</f>
        <v>1404.03</v>
      </c>
      <c r="H8" s="31">
        <v>0</v>
      </c>
    </row>
    <row r="9" spans="1:10" ht="18">
      <c r="A9" s="12"/>
      <c r="B9" s="4"/>
      <c r="C9" s="5"/>
      <c r="D9" s="24"/>
      <c r="E9" s="24"/>
      <c r="F9" s="24"/>
      <c r="G9" s="24"/>
      <c r="H9" s="29"/>
    </row>
    <row r="10" spans="1:10" ht="18">
      <c r="A10" s="3"/>
      <c r="B10" s="4" t="s">
        <v>68</v>
      </c>
      <c r="C10" s="5"/>
      <c r="D10" s="24">
        <f>+D45</f>
        <v>508.49</v>
      </c>
      <c r="E10" s="24">
        <f>+E45</f>
        <v>654.78000000000009</v>
      </c>
      <c r="F10" s="24">
        <f>+F45</f>
        <v>819.86</v>
      </c>
      <c r="G10" s="24">
        <f>+G45</f>
        <v>1003.6700000000001</v>
      </c>
      <c r="H10" s="29">
        <f>+H45</f>
        <v>0</v>
      </c>
    </row>
    <row r="11" spans="1:10" ht="18">
      <c r="A11" s="3"/>
      <c r="B11" s="4" t="s">
        <v>69</v>
      </c>
      <c r="C11" s="5"/>
      <c r="D11" s="24">
        <f>+D53</f>
        <v>145.38999999999999</v>
      </c>
      <c r="E11" s="24">
        <f>+E53</f>
        <v>145.57</v>
      </c>
      <c r="F11" s="24">
        <f>+F53</f>
        <v>145.78</v>
      </c>
      <c r="G11" s="24">
        <f>+G53</f>
        <v>145.97999999999999</v>
      </c>
      <c r="H11" s="29">
        <f>+H53</f>
        <v>0</v>
      </c>
    </row>
    <row r="12" spans="1:10" ht="18">
      <c r="A12" s="3"/>
      <c r="B12" s="4"/>
      <c r="C12" s="5"/>
      <c r="D12" s="24"/>
      <c r="E12" s="24"/>
      <c r="F12" s="24"/>
      <c r="G12" s="24"/>
      <c r="H12" s="29"/>
    </row>
    <row r="13" spans="1:10" ht="18">
      <c r="A13" s="3"/>
      <c r="B13" s="4" t="s">
        <v>70</v>
      </c>
      <c r="C13" s="5"/>
      <c r="D13" s="24">
        <f>+D10-D11</f>
        <v>363.1</v>
      </c>
      <c r="E13" s="24">
        <f>+E10-E11</f>
        <v>509.21000000000009</v>
      </c>
      <c r="F13" s="24">
        <f>+F10-F11</f>
        <v>674.08</v>
      </c>
      <c r="G13" s="24">
        <f>+G10-G11</f>
        <v>857.69</v>
      </c>
      <c r="H13" s="29">
        <f>+H10-H11</f>
        <v>0</v>
      </c>
      <c r="J13" s="93"/>
    </row>
    <row r="14" spans="1:10" ht="18">
      <c r="A14" s="3"/>
      <c r="B14" s="4"/>
      <c r="C14" s="5"/>
      <c r="D14" s="24"/>
      <c r="E14" s="24"/>
      <c r="F14" s="24"/>
      <c r="G14" s="24"/>
      <c r="H14" s="29"/>
    </row>
    <row r="15" spans="1:10" ht="18">
      <c r="A15" s="3" t="s">
        <v>71</v>
      </c>
      <c r="B15" s="4"/>
      <c r="C15" s="5"/>
      <c r="D15" s="24">
        <f>(D10-'Balance Sheet'!P22)*25%</f>
        <v>127.1225</v>
      </c>
      <c r="E15" s="24">
        <f>(E10-'Balance Sheet'!Q22)*25%</f>
        <v>163.69500000000002</v>
      </c>
      <c r="F15" s="24">
        <f>(F10-'Balance Sheet'!R22)*25%</f>
        <v>204.965</v>
      </c>
      <c r="G15" s="24">
        <f>(G10-'Balance Sheet'!S22)*25%</f>
        <v>250.91750000000002</v>
      </c>
      <c r="H15" s="29"/>
    </row>
    <row r="16" spans="1:10" ht="18">
      <c r="A16" s="3" t="s">
        <v>35</v>
      </c>
      <c r="B16" s="4"/>
      <c r="C16" s="5"/>
      <c r="D16" s="24">
        <f>'Balance Sheet2'!P51</f>
        <v>313.0999999999998</v>
      </c>
      <c r="E16" s="24">
        <f>'Balance Sheet2'!Q51</f>
        <v>459.2099999999997</v>
      </c>
      <c r="F16" s="24">
        <f>'Balance Sheet2'!R51</f>
        <v>624.07999999999993</v>
      </c>
      <c r="G16" s="24">
        <f>'Balance Sheet2'!S51</f>
        <v>807.68999999999983</v>
      </c>
      <c r="H16" s="29"/>
    </row>
    <row r="17" spans="1:8" ht="18">
      <c r="A17" s="3"/>
      <c r="B17" s="4"/>
      <c r="C17" s="5"/>
      <c r="D17" s="24"/>
      <c r="E17" s="24"/>
      <c r="F17" s="24"/>
      <c r="G17" s="24"/>
      <c r="H17" s="31"/>
    </row>
    <row r="18" spans="1:8" ht="18">
      <c r="A18" s="3" t="s">
        <v>72</v>
      </c>
      <c r="B18" s="4"/>
      <c r="C18" s="5"/>
      <c r="D18" s="24">
        <f xml:space="preserve"> D13-MAX(D15,D16)</f>
        <v>50.000000000000227</v>
      </c>
      <c r="E18" s="24">
        <f xml:space="preserve"> E13-MAX(E15,E16)</f>
        <v>50.000000000000398</v>
      </c>
      <c r="F18" s="24">
        <f xml:space="preserve"> F13-MAX(F15,F16)</f>
        <v>50.000000000000114</v>
      </c>
      <c r="G18" s="24">
        <f xml:space="preserve"> G13-MAX(G15,G16)</f>
        <v>50.000000000000227</v>
      </c>
      <c r="H18" s="29"/>
    </row>
    <row r="19" spans="1:8" ht="18">
      <c r="A19" s="3"/>
      <c r="B19" s="4" t="s">
        <v>73</v>
      </c>
      <c r="C19" s="5"/>
      <c r="D19" s="24">
        <f>'Balance Sheet'!E14</f>
        <v>50</v>
      </c>
      <c r="E19" s="24">
        <f>'Balance Sheet'!F14</f>
        <v>50</v>
      </c>
      <c r="F19" s="24">
        <f>'Balance Sheet'!G14</f>
        <v>50</v>
      </c>
      <c r="G19" s="24">
        <f>'Balance Sheet'!H14</f>
        <v>50</v>
      </c>
      <c r="H19" s="29">
        <f>+H17</f>
        <v>0</v>
      </c>
    </row>
    <row r="20" spans="1:8" ht="18.75" thickBot="1">
      <c r="A20" s="6"/>
      <c r="B20" s="22" t="s">
        <v>74</v>
      </c>
      <c r="C20" s="7"/>
      <c r="D20" s="39"/>
      <c r="E20" s="39"/>
      <c r="F20" s="39"/>
      <c r="G20" s="39"/>
      <c r="H20" s="40"/>
    </row>
    <row r="21" spans="1:8" ht="18">
      <c r="A21" s="12"/>
      <c r="B21" s="5"/>
      <c r="C21" s="5"/>
      <c r="D21" s="5"/>
      <c r="E21" s="5"/>
      <c r="F21" s="5"/>
      <c r="G21" s="5"/>
      <c r="H21" s="8"/>
    </row>
    <row r="22" spans="1:8" ht="18.75" thickBot="1">
      <c r="A22" s="12"/>
      <c r="B22" s="5" t="s">
        <v>75</v>
      </c>
      <c r="C22" s="5"/>
      <c r="D22" s="5"/>
      <c r="E22" s="5"/>
      <c r="F22" s="5"/>
      <c r="G22" s="5"/>
      <c r="H22" s="8"/>
    </row>
    <row r="23" spans="1:8" ht="18">
      <c r="A23" s="13"/>
      <c r="B23" s="43" t="s">
        <v>76</v>
      </c>
      <c r="C23" s="27" t="s">
        <v>77</v>
      </c>
      <c r="D23" s="43" t="str">
        <f t="shared" ref="D23:H24" si="0">+D5</f>
        <v>Actuals</v>
      </c>
      <c r="E23" s="27" t="str">
        <f t="shared" si="0"/>
        <v>Estimated</v>
      </c>
      <c r="F23" s="43" t="str">
        <f t="shared" si="0"/>
        <v>Projected</v>
      </c>
      <c r="G23" s="27" t="str">
        <f t="shared" si="0"/>
        <v>Projected</v>
      </c>
      <c r="H23" s="43" t="str">
        <f t="shared" si="0"/>
        <v>Accepted</v>
      </c>
    </row>
    <row r="24" spans="1:8" ht="18.75" thickBot="1">
      <c r="A24" s="10"/>
      <c r="B24" s="61" t="s">
        <v>78</v>
      </c>
      <c r="C24" s="62" t="s">
        <v>79</v>
      </c>
      <c r="D24" s="32">
        <f t="shared" si="0"/>
        <v>45382</v>
      </c>
      <c r="E24" s="34">
        <f t="shared" si="0"/>
        <v>45747</v>
      </c>
      <c r="F24" s="32">
        <f t="shared" si="0"/>
        <v>46112</v>
      </c>
      <c r="G24" s="34">
        <f t="shared" si="0"/>
        <v>46477</v>
      </c>
      <c r="H24" s="32">
        <f t="shared" si="0"/>
        <v>46112</v>
      </c>
    </row>
    <row r="25" spans="1:8" ht="18">
      <c r="A25" s="12"/>
      <c r="B25" s="63"/>
      <c r="C25" s="54"/>
      <c r="D25" s="21"/>
      <c r="E25" s="5"/>
      <c r="F25" s="21"/>
      <c r="G25" s="5"/>
      <c r="H25" s="63"/>
    </row>
    <row r="26" spans="1:8" ht="18">
      <c r="A26" s="12" t="s">
        <v>80</v>
      </c>
      <c r="B26" s="53"/>
      <c r="C26" s="54"/>
      <c r="D26" s="47">
        <f>+'Balance Sheet'!P29</f>
        <v>0</v>
      </c>
      <c r="E26" s="47">
        <f>+'Balance Sheet'!Q29</f>
        <v>0</v>
      </c>
      <c r="F26" s="47">
        <f>+'Balance Sheet'!R29</f>
        <v>0</v>
      </c>
      <c r="G26" s="47">
        <f>+'Balance Sheet'!S29</f>
        <v>0</v>
      </c>
      <c r="H26" s="51">
        <v>0</v>
      </c>
    </row>
    <row r="27" spans="1:8" ht="18">
      <c r="A27" s="12" t="s">
        <v>81</v>
      </c>
      <c r="B27" s="53"/>
      <c r="C27" s="54"/>
      <c r="D27" s="47" t="e">
        <f>+D26*12/'Profit &amp; Loss Statement'!F16</f>
        <v>#DIV/0!</v>
      </c>
      <c r="E27" s="47" t="e">
        <f>+E26*12/'Profit &amp; Loss Statement'!G16</f>
        <v>#DIV/0!</v>
      </c>
      <c r="F27" s="47" t="e">
        <f>+F26*12/'Profit &amp; Loss Statement'!H16</f>
        <v>#DIV/0!</v>
      </c>
      <c r="G27" s="47" t="e">
        <f>+G26*12/'Profit &amp; Loss Statement'!I16</f>
        <v>#DIV/0!</v>
      </c>
      <c r="H27" s="51"/>
    </row>
    <row r="28" spans="1:8" ht="18">
      <c r="A28" s="12" t="s">
        <v>82</v>
      </c>
      <c r="B28" s="53"/>
      <c r="C28" s="54"/>
      <c r="D28" s="47">
        <f>+'Balance Sheet'!P31</f>
        <v>30.44</v>
      </c>
      <c r="E28" s="47">
        <f>+'Balance Sheet'!Q31</f>
        <v>31.38</v>
      </c>
      <c r="F28" s="47">
        <f>+'Balance Sheet'!R31</f>
        <v>32.39</v>
      </c>
      <c r="G28" s="47">
        <f>+'Balance Sheet'!S31</f>
        <v>33.4</v>
      </c>
      <c r="H28" s="51">
        <v>0</v>
      </c>
    </row>
    <row r="29" spans="1:8" ht="18">
      <c r="A29" s="12" t="s">
        <v>81</v>
      </c>
      <c r="B29" s="53"/>
      <c r="C29" s="54"/>
      <c r="D29" s="47">
        <f>+D28*12/'Profit &amp; Loss Statement'!F17</f>
        <v>0.49563766129798237</v>
      </c>
      <c r="E29" s="47">
        <f>+E28*12/'Profit &amp; Loss Statement'!G17</f>
        <v>0.49564324637375945</v>
      </c>
      <c r="F29" s="47">
        <f>+F28*12/'Profit &amp; Loss Statement'!H17</f>
        <v>0.49564518802841145</v>
      </c>
      <c r="G29" s="47">
        <f>+G28*12/'Profit &amp; Loss Statement'!I17</f>
        <v>0.49564701226751084</v>
      </c>
      <c r="H29" s="51"/>
    </row>
    <row r="30" spans="1:8" ht="18">
      <c r="A30" s="12" t="s">
        <v>83</v>
      </c>
      <c r="B30" s="53"/>
      <c r="C30" s="54"/>
      <c r="D30" s="47">
        <f>+'Balance Sheet'!P33</f>
        <v>60.83</v>
      </c>
      <c r="E30" s="47">
        <f>+'Balance Sheet'!Q33</f>
        <v>62.84</v>
      </c>
      <c r="F30" s="47">
        <f>+'Balance Sheet'!R33</f>
        <v>64.84</v>
      </c>
      <c r="G30" s="47">
        <f>+'Balance Sheet'!S33</f>
        <v>66.849999999999994</v>
      </c>
      <c r="H30" s="51">
        <v>0</v>
      </c>
    </row>
    <row r="31" spans="1:8" ht="18">
      <c r="A31" s="12" t="s">
        <v>84</v>
      </c>
      <c r="B31" s="53"/>
      <c r="C31" s="54"/>
      <c r="D31" s="47">
        <f>+D30*12/'Profit &amp; Loss Statement'!F35</f>
        <v>0.75937041622020873</v>
      </c>
      <c r="E31" s="47">
        <f>+E30*12/'Profit &amp; Loss Statement'!G35</f>
        <v>0.77826858770589946</v>
      </c>
      <c r="F31" s="47">
        <f>+F30*12/'Profit &amp; Loss Statement'!H35</f>
        <v>0.79455915691440493</v>
      </c>
      <c r="G31" s="47">
        <f>+G30*12/'Profit &amp; Loss Statement'!I35</f>
        <v>0.8087345753689813</v>
      </c>
      <c r="H31" s="51"/>
    </row>
    <row r="32" spans="1:8" ht="18">
      <c r="A32" s="12" t="s">
        <v>85</v>
      </c>
      <c r="B32" s="53"/>
      <c r="C32" s="54"/>
      <c r="D32" s="47">
        <f>+'Balance Sheet'!P35</f>
        <v>35.619999999999997</v>
      </c>
      <c r="E32" s="47">
        <f>+'Balance Sheet'!Q35</f>
        <v>36.85</v>
      </c>
      <c r="F32" s="47">
        <f>+'Balance Sheet'!R35</f>
        <v>38.020000000000003</v>
      </c>
      <c r="G32" s="47">
        <f>+'Balance Sheet'!S35</f>
        <v>39.200000000000003</v>
      </c>
      <c r="H32" s="51">
        <v>0</v>
      </c>
    </row>
    <row r="33" spans="1:8" ht="18">
      <c r="A33" s="12" t="s">
        <v>86</v>
      </c>
      <c r="B33" s="53"/>
      <c r="C33" s="54"/>
      <c r="D33" s="47">
        <f>+D32*12/'Profit &amp; Loss Statement'!F39</f>
        <v>0.4457421736500719</v>
      </c>
      <c r="E33" s="47">
        <f>+E32*12/'Profit &amp; Loss Statement'!G39</f>
        <v>0.45696452376277535</v>
      </c>
      <c r="F33" s="47">
        <f>+F32*12/'Profit &amp; Loss Statement'!H39</f>
        <v>0.46646014170475114</v>
      </c>
      <c r="G33" s="47">
        <f>+G32*12/'Profit &amp; Loss Statement'!I39</f>
        <v>0.47479661667036765</v>
      </c>
      <c r="H33" s="51"/>
    </row>
    <row r="34" spans="1:8" ht="18">
      <c r="A34" s="12" t="s">
        <v>87</v>
      </c>
      <c r="B34" s="53"/>
      <c r="C34" s="54"/>
      <c r="D34" s="47">
        <f>+'Balance Sheet'!P37</f>
        <v>0</v>
      </c>
      <c r="E34" s="24">
        <f>+'Balance Sheet'!O37</f>
        <v>0</v>
      </c>
      <c r="F34" s="47">
        <f>+'Balance Sheet'!P37</f>
        <v>0</v>
      </c>
      <c r="G34" s="24">
        <f>+'Balance Sheet'!S37</f>
        <v>0</v>
      </c>
      <c r="H34" s="51">
        <v>0</v>
      </c>
    </row>
    <row r="35" spans="1:8" ht="18">
      <c r="A35" s="12" t="s">
        <v>81</v>
      </c>
      <c r="B35" s="53"/>
      <c r="C35" s="54"/>
      <c r="D35" s="47">
        <f>+D34*12/'Profit &amp; Loss Statement'!F19</f>
        <v>0</v>
      </c>
      <c r="E35" s="47">
        <f>+E34*12/'Profit &amp; Loss Statement'!G19</f>
        <v>0</v>
      </c>
      <c r="F35" s="47">
        <f>+F34*12/'Profit &amp; Loss Statement'!H19</f>
        <v>0</v>
      </c>
      <c r="G35" s="47">
        <f>+G34*12/'Profit &amp; Loss Statement'!I19</f>
        <v>0</v>
      </c>
      <c r="H35" s="51"/>
    </row>
    <row r="36" spans="1:8" ht="18">
      <c r="A36" s="12" t="s">
        <v>88</v>
      </c>
      <c r="B36" s="53"/>
      <c r="C36" s="54"/>
      <c r="D36" s="47">
        <f>+'Balance Sheet'!P18+'Balance Sheet'!P25</f>
        <v>244.02</v>
      </c>
      <c r="E36" s="47">
        <f>+'Balance Sheet'!Q18+'Balance Sheet'!Q25</f>
        <v>252.51</v>
      </c>
      <c r="F36" s="47">
        <f>+'Balance Sheet'!R18+'Balance Sheet'!R25</f>
        <v>260.67</v>
      </c>
      <c r="G36" s="47">
        <f>+'Balance Sheet'!S18+'Balance Sheet'!S25</f>
        <v>268.83</v>
      </c>
      <c r="H36" s="51">
        <v>0</v>
      </c>
    </row>
    <row r="37" spans="1:8" ht="18">
      <c r="A37" s="12" t="s">
        <v>89</v>
      </c>
      <c r="B37" s="53"/>
      <c r="C37" s="54"/>
      <c r="D37" s="47">
        <f>+D36*12/'Profit &amp; Loss Statement'!F7</f>
        <v>2.0000273205382149</v>
      </c>
      <c r="E37" s="47">
        <f>+E36*12/'Profit &amp; Loss Statement'!G7</f>
        <v>1.9999735987538612</v>
      </c>
      <c r="F37" s="47">
        <f>+F36*12/'Profit &amp; Loss Statement'!H7</f>
        <v>2.0000127876420226</v>
      </c>
      <c r="G37" s="47">
        <f>+G36*12/'Profit &amp; Loss Statement'!I7</f>
        <v>2.0000371989212313</v>
      </c>
      <c r="H37" s="51"/>
    </row>
    <row r="38" spans="1:8" ht="18">
      <c r="A38" s="12" t="s">
        <v>90</v>
      </c>
      <c r="B38" s="53"/>
      <c r="C38" s="54"/>
      <c r="D38" s="47">
        <f>+'Balance Sheet'!P22</f>
        <v>0</v>
      </c>
      <c r="E38" s="47">
        <f>+'Balance Sheet'!Q22</f>
        <v>0</v>
      </c>
      <c r="F38" s="47">
        <f>+'Balance Sheet'!R22</f>
        <v>0</v>
      </c>
      <c r="G38" s="47">
        <f>+'Balance Sheet'!S22</f>
        <v>0</v>
      </c>
      <c r="H38" s="51">
        <v>0</v>
      </c>
    </row>
    <row r="39" spans="1:8" ht="18">
      <c r="A39" s="12" t="s">
        <v>89</v>
      </c>
      <c r="B39" s="53"/>
      <c r="C39" s="54"/>
      <c r="D39" s="47" t="e">
        <f>+D38*12/'Profit &amp; Loss Statement'!F8</f>
        <v>#DIV/0!</v>
      </c>
      <c r="E39" s="47" t="e">
        <f>+E38*12/'Profit &amp; Loss Statement'!G8</f>
        <v>#DIV/0!</v>
      </c>
      <c r="F39" s="47" t="e">
        <f>+F38*12/'Profit &amp; Loss Statement'!H8</f>
        <v>#DIV/0!</v>
      </c>
      <c r="G39" s="47" t="e">
        <f>+G38*12/'Profit &amp; Loss Statement'!I8</f>
        <v>#DIV/0!</v>
      </c>
      <c r="H39" s="51"/>
    </row>
    <row r="40" spans="1:8" ht="18">
      <c r="A40" s="12" t="s">
        <v>91</v>
      </c>
      <c r="B40" s="53"/>
      <c r="C40" s="54"/>
      <c r="D40" s="47">
        <f>+'Balance Sheet'!P40</f>
        <v>0</v>
      </c>
      <c r="E40" s="47">
        <f>+'Balance Sheet'!Q40</f>
        <v>0</v>
      </c>
      <c r="F40" s="47">
        <f>+'Balance Sheet'!R40</f>
        <v>0</v>
      </c>
      <c r="G40" s="47">
        <f>+'Balance Sheet'!S40</f>
        <v>0</v>
      </c>
      <c r="H40" s="51">
        <v>0</v>
      </c>
    </row>
    <row r="41" spans="1:8" ht="18">
      <c r="A41" s="12" t="s">
        <v>92</v>
      </c>
      <c r="B41" s="53"/>
      <c r="C41" s="54"/>
      <c r="D41" s="47">
        <f>+D40*12/(+'Profit &amp; Loss Statement'!F16+'Profit &amp; Loss Statement'!F17)</f>
        <v>0</v>
      </c>
      <c r="E41" s="47">
        <f>+E40*12/(+'Profit &amp; Loss Statement'!G16+'Profit &amp; Loss Statement'!G17)</f>
        <v>0</v>
      </c>
      <c r="F41" s="47">
        <f>+F40*12/(+'Profit &amp; Loss Statement'!H16+'Profit &amp; Loss Statement'!H17)</f>
        <v>0</v>
      </c>
      <c r="G41" s="47">
        <f>+G40*12/(+'Profit &amp; Loss Statement'!I16+'Profit &amp; Loss Statement'!I17)</f>
        <v>0</v>
      </c>
      <c r="H41" s="51"/>
    </row>
    <row r="42" spans="1:8" ht="18">
      <c r="A42" s="12" t="s">
        <v>93</v>
      </c>
      <c r="B42" s="53"/>
      <c r="C42" s="54"/>
      <c r="D42" s="47">
        <f>+'Balance Sheet'!P47+'Balance Sheet'!P44+'Balance Sheet'!P8+'Balance Sheet'!P12+'Balance Sheet'!P15</f>
        <v>137.58000000000001</v>
      </c>
      <c r="E42" s="47">
        <f>+'Balance Sheet'!Q47+'Balance Sheet'!Q44+'Balance Sheet'!Q8+'Balance Sheet'!Q12+'Balance Sheet'!Q15</f>
        <v>271.2</v>
      </c>
      <c r="F42" s="47">
        <f>+'Balance Sheet'!R47+'Balance Sheet'!R44+'Balance Sheet'!R8+'Balance Sheet'!R12+'Balance Sheet'!R15</f>
        <v>423.94</v>
      </c>
      <c r="G42" s="47">
        <f>+'Balance Sheet'!S47+'Balance Sheet'!S44+'Balance Sheet'!S8+'Balance Sheet'!S12+'Balance Sheet'!S15</f>
        <v>595.39</v>
      </c>
      <c r="H42" s="51">
        <v>0</v>
      </c>
    </row>
    <row r="43" spans="1:8" ht="18">
      <c r="A43" s="12" t="s">
        <v>94</v>
      </c>
      <c r="B43" s="53"/>
      <c r="C43" s="54"/>
      <c r="D43" s="91">
        <f>+D42/D45</f>
        <v>0.27056579283761728</v>
      </c>
      <c r="E43" s="92">
        <f>+E42/E45</f>
        <v>0.41418491707138266</v>
      </c>
      <c r="F43" s="91">
        <f>+F42/F45</f>
        <v>0.51708828336545265</v>
      </c>
      <c r="G43" s="92">
        <f>+G42/G45</f>
        <v>0.59321290862534493</v>
      </c>
      <c r="H43" s="51"/>
    </row>
    <row r="44" spans="1:8" ht="18.75" thickBot="1">
      <c r="A44" s="12"/>
      <c r="B44" s="53"/>
      <c r="C44" s="54"/>
      <c r="D44" s="91"/>
      <c r="E44" s="92"/>
      <c r="F44" s="91"/>
      <c r="G44" s="92"/>
      <c r="H44" s="51"/>
    </row>
    <row r="45" spans="1:8" ht="18.75" thickBot="1">
      <c r="A45" s="16" t="s">
        <v>95</v>
      </c>
      <c r="B45" s="33"/>
      <c r="C45" s="25">
        <f t="shared" ref="C45:H45" si="1">+C42+C40+C38+C36+C34+C32+C30+C28+C26</f>
        <v>0</v>
      </c>
      <c r="D45" s="25">
        <f t="shared" si="1"/>
        <v>508.49</v>
      </c>
      <c r="E45" s="18">
        <f t="shared" si="1"/>
        <v>654.78000000000009</v>
      </c>
      <c r="F45" s="25">
        <f t="shared" si="1"/>
        <v>819.86</v>
      </c>
      <c r="G45" s="18">
        <f t="shared" si="1"/>
        <v>1003.6700000000001</v>
      </c>
      <c r="H45" s="25">
        <f t="shared" si="1"/>
        <v>0</v>
      </c>
    </row>
    <row r="46" spans="1:8" ht="18">
      <c r="A46" s="12"/>
      <c r="B46" s="53"/>
      <c r="C46" s="54"/>
      <c r="D46" s="41"/>
      <c r="E46" s="24"/>
      <c r="F46" s="41"/>
      <c r="G46" s="24"/>
      <c r="H46" s="51"/>
    </row>
    <row r="47" spans="1:8" ht="18">
      <c r="A47" s="12" t="s">
        <v>96</v>
      </c>
      <c r="B47" s="53"/>
      <c r="C47" s="54"/>
      <c r="D47" s="47">
        <f>+'Balance Sheet'!E21</f>
        <v>6.1</v>
      </c>
      <c r="E47" s="24">
        <f>+'Balance Sheet'!F21</f>
        <v>6.28</v>
      </c>
      <c r="F47" s="47">
        <f>+'Balance Sheet'!G21</f>
        <v>6.49</v>
      </c>
      <c r="G47" s="29">
        <f>+'Balance Sheet'!H21</f>
        <v>6.69</v>
      </c>
      <c r="H47" s="51">
        <v>0</v>
      </c>
    </row>
    <row r="48" spans="1:8" ht="18">
      <c r="A48" s="12" t="s">
        <v>97</v>
      </c>
      <c r="B48" s="53"/>
      <c r="C48" s="54"/>
      <c r="D48" s="47">
        <f>+D47*12/(+'Profit &amp; Loss Statement'!F16+'Profit &amp; Loss Statement'!F17)</f>
        <v>9.9322921613590395E-2</v>
      </c>
      <c r="E48" s="24">
        <f>+E47*12/(+'Profit &amp; Loss Statement'!G16+'Profit &amp; Loss Statement'!G17)</f>
        <v>9.9191828783531208E-2</v>
      </c>
      <c r="F48" s="47">
        <f>+F47*12/(+'Profit &amp; Loss Statement'!H16+'Profit &amp; Loss Statement'!H17)</f>
        <v>9.9312666573151909E-2</v>
      </c>
      <c r="G48" s="29">
        <f>+G47*12/(+'Profit &amp; Loss Statement'!I16+'Profit &amp; Loss Statement'!I17)</f>
        <v>9.9277799762564303E-2</v>
      </c>
      <c r="H48" s="51"/>
    </row>
    <row r="49" spans="1:8" ht="18">
      <c r="A49" s="12" t="s">
        <v>98</v>
      </c>
      <c r="B49" s="53"/>
      <c r="C49" s="54"/>
      <c r="D49" s="47">
        <f>+'Balance Sheet'!E42</f>
        <v>134.29</v>
      </c>
      <c r="E49" s="24">
        <f>+'Balance Sheet'!F42</f>
        <v>134.29</v>
      </c>
      <c r="F49" s="47">
        <f>+'Balance Sheet'!G42</f>
        <v>134.29</v>
      </c>
      <c r="G49" s="29">
        <f>+'Balance Sheet'!H42</f>
        <v>134.29</v>
      </c>
      <c r="H49" s="51">
        <v>0</v>
      </c>
    </row>
    <row r="50" spans="1:8" ht="18">
      <c r="A50" s="12"/>
      <c r="B50" s="53"/>
      <c r="C50" s="54"/>
      <c r="D50" s="47"/>
      <c r="E50" s="24"/>
      <c r="F50" s="47"/>
      <c r="G50" s="24"/>
      <c r="H50" s="51"/>
    </row>
    <row r="51" spans="1:8" ht="18">
      <c r="A51" s="12" t="s">
        <v>99</v>
      </c>
      <c r="B51" s="53"/>
      <c r="C51" s="54"/>
      <c r="D51" s="47">
        <f>+'Balance Sheet'!E17+'Balance Sheet'!E19+'Balance Sheet'!E23+'Balance Sheet'!E26+'Balance Sheet'!E30+'Balance Sheet'!E33+'Balance Sheet'!E36+'Balance Sheet'!E38+'Balance Sheet'!E46</f>
        <v>5</v>
      </c>
      <c r="E51" s="24">
        <f>+'Balance Sheet'!F17+'Balance Sheet'!F19+'Balance Sheet'!F23+'Balance Sheet'!F26+'Balance Sheet'!F30+'Balance Sheet'!F33+'Balance Sheet'!F36+'Balance Sheet'!F38+'Balance Sheet'!F46</f>
        <v>5</v>
      </c>
      <c r="F51" s="47">
        <f>+'Balance Sheet'!G17+'Balance Sheet'!G19+'Balance Sheet'!G23+'Balance Sheet'!G26+'Balance Sheet'!G30+'Balance Sheet'!G33+'Balance Sheet'!G36+'Balance Sheet'!G38+'Balance Sheet'!G46</f>
        <v>5</v>
      </c>
      <c r="G51" s="24">
        <f>+'Balance Sheet'!H17+'Balance Sheet'!H19+'Balance Sheet'!H23+'Balance Sheet'!H26+'Balance Sheet'!H30+'Balance Sheet'!H33+'Balance Sheet'!H36+'Balance Sheet'!H38+'Balance Sheet'!H46</f>
        <v>5</v>
      </c>
      <c r="H51" s="51">
        <v>0</v>
      </c>
    </row>
    <row r="52" spans="1:8" ht="18.75" thickBot="1">
      <c r="A52" s="12"/>
      <c r="B52" s="53"/>
      <c r="C52" s="54"/>
      <c r="D52" s="140"/>
      <c r="E52" s="24"/>
      <c r="F52" s="140"/>
      <c r="G52" s="24"/>
      <c r="H52" s="51"/>
    </row>
    <row r="53" spans="1:8" ht="18.75" thickBot="1">
      <c r="A53" s="16" t="s">
        <v>100</v>
      </c>
      <c r="B53" s="33"/>
      <c r="C53" s="25">
        <f t="shared" ref="C53:H53" si="2">+C51+C49+C47</f>
        <v>0</v>
      </c>
      <c r="D53" s="25">
        <f t="shared" si="2"/>
        <v>145.38999999999999</v>
      </c>
      <c r="E53" s="18">
        <f t="shared" si="2"/>
        <v>145.57</v>
      </c>
      <c r="F53" s="25">
        <f t="shared" si="2"/>
        <v>145.78</v>
      </c>
      <c r="G53" s="18">
        <f t="shared" si="2"/>
        <v>145.97999999999999</v>
      </c>
      <c r="H53" s="25">
        <f t="shared" si="2"/>
        <v>0</v>
      </c>
    </row>
    <row r="54" spans="1:8" ht="18">
      <c r="A54" s="5"/>
      <c r="B54" s="5"/>
      <c r="C54" s="5"/>
      <c r="D54" s="5"/>
      <c r="E54" s="5"/>
      <c r="F54" s="5"/>
      <c r="G54" s="5"/>
      <c r="H54" s="5"/>
    </row>
    <row r="55" spans="1:8" ht="18">
      <c r="A55" s="4" t="s">
        <v>59</v>
      </c>
      <c r="B55" s="1">
        <f>+'Financial Indicator &amp; Ratios'!B59</f>
        <v>0</v>
      </c>
      <c r="C55" s="5"/>
      <c r="D55" s="5"/>
      <c r="E55" s="5"/>
      <c r="F55" s="5"/>
      <c r="G55" s="5"/>
      <c r="H55" s="26" t="s">
        <v>101</v>
      </c>
    </row>
    <row r="56" spans="1:8" ht="18">
      <c r="A56" s="5"/>
      <c r="B56" s="5"/>
      <c r="C56" s="5"/>
      <c r="D56" s="5"/>
      <c r="E56" s="5"/>
      <c r="F56" s="5"/>
      <c r="G56" s="5"/>
      <c r="H56" s="5"/>
    </row>
    <row r="57" spans="1:8" ht="18">
      <c r="A57" s="5"/>
      <c r="B57" s="5"/>
      <c r="C57" s="5"/>
      <c r="D57" s="5"/>
      <c r="E57" s="5"/>
      <c r="F57" s="5"/>
      <c r="G57" s="5"/>
      <c r="H57" s="5"/>
    </row>
    <row r="58" spans="1:8" ht="18">
      <c r="A58" s="5"/>
      <c r="C58" s="4" t="s">
        <v>102</v>
      </c>
      <c r="D58" s="24">
        <f>+D45-'Balance Sheet'!P51</f>
        <v>0</v>
      </c>
      <c r="E58" s="24">
        <f>+E45-'Balance Sheet'!Q51</f>
        <v>0</v>
      </c>
      <c r="F58" s="24">
        <f>+F45-'Balance Sheet'!R51</f>
        <v>0</v>
      </c>
      <c r="G58" s="24">
        <f>+G45-'Balance Sheet'!S51</f>
        <v>0</v>
      </c>
      <c r="H58" s="5"/>
    </row>
    <row r="59" spans="1:8" ht="18">
      <c r="C59" s="4" t="s">
        <v>103</v>
      </c>
      <c r="D59" s="24">
        <f>+D53-'Balance Sheet'!E51</f>
        <v>-50</v>
      </c>
      <c r="E59" s="24">
        <f>+E53-'Balance Sheet'!F51</f>
        <v>-50</v>
      </c>
      <c r="F59" s="24">
        <f>+F53-'Balance Sheet'!G51</f>
        <v>-50</v>
      </c>
      <c r="G59" s="24">
        <f>+G53-'Balance Sheet'!H51</f>
        <v>-50</v>
      </c>
    </row>
    <row r="60" spans="1:8" ht="18">
      <c r="C60" s="4" t="s">
        <v>104</v>
      </c>
      <c r="D60" s="24">
        <f>+D19-'Balance Sheet'!E14</f>
        <v>0</v>
      </c>
      <c r="E60" s="24">
        <f>+E19-'Balance Sheet'!F14</f>
        <v>0</v>
      </c>
      <c r="F60" s="24">
        <f>+F19-'Balance Sheet'!G14</f>
        <v>0</v>
      </c>
      <c r="G60" s="24">
        <f>+G19-'Balance Sheet'!H14</f>
        <v>0</v>
      </c>
    </row>
  </sheetData>
  <phoneticPr fontId="0" type="noConversion"/>
  <pageMargins left="0.83" right="0.49" top="0.53" bottom="0.53" header="0.34" footer="0.47"/>
  <pageSetup scale="7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A3B7-4219-42B8-95E8-5B92B7BCE8A0}">
  <dimension ref="A1:L71"/>
  <sheetViews>
    <sheetView zoomScale="75" workbookViewId="0">
      <selection activeCell="M11" sqref="M11"/>
    </sheetView>
  </sheetViews>
  <sheetFormatPr defaultRowHeight="18"/>
  <cols>
    <col min="1" max="1" width="3.5546875" style="5" customWidth="1"/>
    <col min="2" max="2" width="21.6640625" style="5" customWidth="1"/>
    <col min="3" max="4" width="10.6640625" style="5" customWidth="1"/>
    <col min="5" max="5" width="31.5546875" style="5" customWidth="1"/>
    <col min="6" max="6" width="8.33203125" style="5" customWidth="1"/>
    <col min="7" max="7" width="5.88671875" style="5" customWidth="1"/>
    <col min="8" max="8" width="5.33203125" style="5" customWidth="1"/>
    <col min="9" max="9" width="2" style="5" customWidth="1"/>
    <col min="10" max="10" width="5.6640625" style="5" customWidth="1"/>
    <col min="11" max="11" width="6.33203125" style="5" customWidth="1"/>
    <col min="12" max="12" width="12" style="5" customWidth="1"/>
    <col min="13" max="16384" width="8.88671875" style="5"/>
  </cols>
  <sheetData>
    <row r="1" spans="1:12">
      <c r="B1" s="5" t="s">
        <v>105</v>
      </c>
      <c r="K1" s="5" t="s">
        <v>62</v>
      </c>
    </row>
    <row r="2" spans="1:12" ht="18.75" thickBot="1"/>
    <row r="3" spans="1:12" ht="18.75" thickBot="1">
      <c r="A3" s="13"/>
      <c r="B3" s="2" t="s">
        <v>106</v>
      </c>
      <c r="C3" s="164" t="s">
        <v>107</v>
      </c>
      <c r="D3" s="165"/>
      <c r="E3" s="27" t="s">
        <v>108</v>
      </c>
      <c r="F3" s="21" t="s">
        <v>109</v>
      </c>
      <c r="G3" s="167" t="s">
        <v>110</v>
      </c>
      <c r="H3" s="168"/>
      <c r="I3" s="168"/>
      <c r="J3" s="168"/>
      <c r="K3" s="169"/>
      <c r="L3" s="43" t="s">
        <v>111</v>
      </c>
    </row>
    <row r="4" spans="1:12" ht="18.75" thickBot="1">
      <c r="A4" s="10"/>
      <c r="B4" s="7"/>
      <c r="C4" s="66" t="s">
        <v>112</v>
      </c>
      <c r="D4" s="66" t="s">
        <v>113</v>
      </c>
      <c r="E4" s="7"/>
      <c r="F4" s="67"/>
      <c r="G4" s="10"/>
      <c r="H4" s="7"/>
      <c r="I4" s="70"/>
      <c r="K4" s="23" t="s">
        <v>114</v>
      </c>
      <c r="L4" s="89">
        <v>12.5</v>
      </c>
    </row>
    <row r="5" spans="1:12">
      <c r="A5" s="12"/>
      <c r="C5" s="21"/>
      <c r="D5" s="21"/>
      <c r="F5" s="68"/>
      <c r="G5" s="13"/>
      <c r="H5" s="37"/>
      <c r="I5" s="37"/>
      <c r="J5" s="37"/>
      <c r="K5" s="84"/>
      <c r="L5" s="8"/>
    </row>
    <row r="6" spans="1:12">
      <c r="A6" s="12" t="s">
        <v>115</v>
      </c>
      <c r="B6" s="5" t="s">
        <v>116</v>
      </c>
      <c r="C6" s="49"/>
      <c r="D6" s="49"/>
      <c r="F6" s="48"/>
      <c r="G6" s="12"/>
      <c r="H6" s="24"/>
      <c r="I6" s="24"/>
      <c r="J6" s="24"/>
      <c r="K6" s="29"/>
      <c r="L6" s="8"/>
    </row>
    <row r="7" spans="1:12">
      <c r="A7" s="52"/>
      <c r="B7" s="54"/>
      <c r="C7" s="53"/>
      <c r="D7" s="53"/>
      <c r="E7" s="54"/>
      <c r="F7" s="71"/>
      <c r="G7" s="52"/>
      <c r="H7" s="30"/>
      <c r="I7" s="30"/>
      <c r="J7" s="30"/>
      <c r="K7" s="31"/>
      <c r="L7" s="55"/>
    </row>
    <row r="8" spans="1:12">
      <c r="A8" s="52">
        <v>1</v>
      </c>
      <c r="B8" s="54" t="s">
        <v>117</v>
      </c>
      <c r="C8" s="51"/>
      <c r="D8" s="51">
        <v>50</v>
      </c>
      <c r="E8" s="54" t="s">
        <v>118</v>
      </c>
      <c r="F8" s="72">
        <v>0.25</v>
      </c>
      <c r="G8" s="73" t="s">
        <v>119</v>
      </c>
      <c r="H8" s="30">
        <v>0</v>
      </c>
      <c r="I8" s="74"/>
      <c r="J8" s="30"/>
      <c r="K8" s="75"/>
      <c r="L8" s="76"/>
    </row>
    <row r="9" spans="1:12">
      <c r="A9" s="52"/>
      <c r="B9" s="54"/>
      <c r="C9" s="51"/>
      <c r="D9" s="51"/>
      <c r="E9" s="77" t="s">
        <v>120</v>
      </c>
      <c r="F9" s="72"/>
      <c r="G9" s="52"/>
      <c r="H9" s="30"/>
      <c r="I9" s="30"/>
      <c r="J9" s="30"/>
      <c r="K9" s="31"/>
      <c r="L9" s="76"/>
    </row>
    <row r="10" spans="1:12">
      <c r="A10" s="52"/>
      <c r="B10" s="54"/>
      <c r="C10" s="51"/>
      <c r="D10" s="51"/>
      <c r="E10" s="54" t="s">
        <v>121</v>
      </c>
      <c r="F10" s="72"/>
      <c r="G10" s="52"/>
      <c r="H10" s="30"/>
      <c r="I10" s="30"/>
      <c r="J10" s="30"/>
      <c r="K10" s="31"/>
      <c r="L10" s="76"/>
    </row>
    <row r="11" spans="1:12">
      <c r="A11" s="52"/>
      <c r="B11" s="54"/>
      <c r="C11" s="51"/>
      <c r="D11" s="51"/>
      <c r="E11" s="54" t="s">
        <v>122</v>
      </c>
      <c r="F11" s="72"/>
      <c r="G11" s="52"/>
      <c r="H11" s="30"/>
      <c r="I11" s="30"/>
      <c r="J11" s="30"/>
      <c r="K11" s="31"/>
      <c r="L11" s="76"/>
    </row>
    <row r="12" spans="1:12">
      <c r="A12" s="52"/>
      <c r="B12" s="54"/>
      <c r="C12" s="51"/>
      <c r="D12" s="51"/>
      <c r="E12" s="54"/>
      <c r="F12" s="72"/>
      <c r="G12" s="52"/>
      <c r="H12" s="30"/>
      <c r="I12" s="30"/>
      <c r="J12" s="30"/>
      <c r="K12" s="31"/>
      <c r="L12" s="76"/>
    </row>
    <row r="13" spans="1:12">
      <c r="A13" s="52">
        <v>2</v>
      </c>
      <c r="B13" s="54" t="s">
        <v>123</v>
      </c>
      <c r="C13" s="51"/>
      <c r="D13" s="51"/>
      <c r="E13" s="54" t="s">
        <v>124</v>
      </c>
      <c r="F13" s="72">
        <v>0.5</v>
      </c>
      <c r="G13" s="73" t="s">
        <v>119</v>
      </c>
      <c r="H13" s="30">
        <v>0</v>
      </c>
      <c r="I13" s="74"/>
      <c r="J13" s="30"/>
      <c r="K13" s="75"/>
      <c r="L13" s="76"/>
    </row>
    <row r="14" spans="1:12">
      <c r="A14" s="52"/>
      <c r="B14" s="77" t="s">
        <v>125</v>
      </c>
      <c r="C14" s="51"/>
      <c r="D14" s="51"/>
      <c r="E14" s="54"/>
      <c r="F14" s="72"/>
      <c r="G14" s="52"/>
      <c r="H14" s="30"/>
      <c r="I14" s="30"/>
      <c r="J14" s="30"/>
      <c r="K14" s="31"/>
      <c r="L14" s="76"/>
    </row>
    <row r="15" spans="1:12">
      <c r="A15" s="52"/>
      <c r="B15" s="54"/>
      <c r="C15" s="51"/>
      <c r="D15" s="51"/>
      <c r="E15" s="54"/>
      <c r="F15" s="72"/>
      <c r="G15" s="52"/>
      <c r="H15" s="30"/>
      <c r="I15" s="30"/>
      <c r="J15" s="30"/>
      <c r="K15" s="31"/>
      <c r="L15" s="76"/>
    </row>
    <row r="16" spans="1:12">
      <c r="A16" s="52"/>
      <c r="B16" s="54"/>
      <c r="C16" s="51"/>
      <c r="D16" s="51"/>
      <c r="E16" s="54"/>
      <c r="F16" s="72"/>
      <c r="G16" s="52"/>
      <c r="H16" s="30"/>
      <c r="I16" s="30"/>
      <c r="J16" s="30"/>
      <c r="K16" s="31"/>
      <c r="L16" s="76"/>
    </row>
    <row r="17" spans="1:12">
      <c r="A17" s="52">
        <v>3</v>
      </c>
      <c r="B17" s="54" t="s">
        <v>126</v>
      </c>
      <c r="C17" s="51"/>
      <c r="D17" s="51"/>
      <c r="E17" s="54" t="s">
        <v>118</v>
      </c>
      <c r="F17" s="72">
        <v>0.1</v>
      </c>
      <c r="G17" s="52"/>
      <c r="H17" s="30"/>
      <c r="I17" s="30"/>
      <c r="J17" s="30"/>
      <c r="K17" s="31"/>
      <c r="L17" s="76"/>
    </row>
    <row r="18" spans="1:12">
      <c r="A18" s="52"/>
      <c r="B18" s="54"/>
      <c r="C18" s="51"/>
      <c r="D18" s="51"/>
      <c r="E18" s="77" t="s">
        <v>120</v>
      </c>
      <c r="F18" s="72"/>
      <c r="G18" s="52"/>
      <c r="H18" s="30"/>
      <c r="I18" s="30"/>
      <c r="J18" s="30"/>
      <c r="K18" s="31"/>
      <c r="L18" s="76"/>
    </row>
    <row r="19" spans="1:12">
      <c r="A19" s="52"/>
      <c r="B19" s="54"/>
      <c r="C19" s="51"/>
      <c r="D19" s="51"/>
      <c r="E19" s="54" t="s">
        <v>121</v>
      </c>
      <c r="F19" s="72"/>
      <c r="G19" s="52"/>
      <c r="H19" s="30"/>
      <c r="I19" s="30"/>
      <c r="J19" s="30"/>
      <c r="K19" s="31"/>
      <c r="L19" s="76"/>
    </row>
    <row r="20" spans="1:12">
      <c r="A20" s="52"/>
      <c r="B20" s="54"/>
      <c r="C20" s="51"/>
      <c r="D20" s="51"/>
      <c r="E20" s="54" t="s">
        <v>122</v>
      </c>
      <c r="F20" s="72"/>
      <c r="G20" s="52"/>
      <c r="H20" s="30"/>
      <c r="I20" s="30"/>
      <c r="J20" s="30"/>
      <c r="K20" s="31"/>
      <c r="L20" s="76"/>
    </row>
    <row r="21" spans="1:12">
      <c r="A21" s="52"/>
      <c r="B21" s="54"/>
      <c r="C21" s="51"/>
      <c r="D21" s="51"/>
      <c r="E21" s="54"/>
      <c r="F21" s="72"/>
      <c r="G21" s="52"/>
      <c r="H21" s="30"/>
      <c r="I21" s="30"/>
      <c r="J21" s="30"/>
      <c r="K21" s="31"/>
      <c r="L21" s="76"/>
    </row>
    <row r="22" spans="1:12">
      <c r="A22" s="52"/>
      <c r="B22" s="54"/>
      <c r="C22" s="51"/>
      <c r="D22" s="51"/>
      <c r="E22" s="54"/>
      <c r="F22" s="72"/>
      <c r="G22" s="52"/>
      <c r="H22" s="30"/>
      <c r="I22" s="30"/>
      <c r="J22" s="30"/>
      <c r="K22" s="31"/>
      <c r="L22" s="76"/>
    </row>
    <row r="23" spans="1:12">
      <c r="A23" s="52">
        <v>4</v>
      </c>
      <c r="B23" s="54" t="s">
        <v>127</v>
      </c>
      <c r="C23" s="51"/>
      <c r="D23" s="51"/>
      <c r="E23" s="54" t="s">
        <v>128</v>
      </c>
      <c r="F23" s="72">
        <v>0</v>
      </c>
      <c r="G23" s="52"/>
      <c r="H23" s="30"/>
      <c r="I23" s="30"/>
      <c r="J23" s="30"/>
      <c r="K23" s="31"/>
      <c r="L23" s="76"/>
    </row>
    <row r="24" spans="1:12">
      <c r="A24" s="52"/>
      <c r="B24" s="54"/>
      <c r="C24" s="51"/>
      <c r="D24" s="51"/>
      <c r="E24" s="54" t="s">
        <v>129</v>
      </c>
      <c r="F24" s="72"/>
      <c r="G24" s="52"/>
      <c r="H24" s="30"/>
      <c r="I24" s="30"/>
      <c r="J24" s="30"/>
      <c r="K24" s="31"/>
      <c r="L24" s="76"/>
    </row>
    <row r="25" spans="1:12">
      <c r="A25" s="52"/>
      <c r="B25" s="54"/>
      <c r="C25" s="51"/>
      <c r="D25" s="51"/>
      <c r="E25" s="54" t="s">
        <v>130</v>
      </c>
      <c r="F25" s="72"/>
      <c r="G25" s="52"/>
      <c r="H25" s="30"/>
      <c r="I25" s="30"/>
      <c r="J25" s="30"/>
      <c r="K25" s="31"/>
      <c r="L25" s="76"/>
    </row>
    <row r="26" spans="1:12">
      <c r="A26" s="52"/>
      <c r="B26" s="54"/>
      <c r="C26" s="51"/>
      <c r="D26" s="51"/>
      <c r="E26" s="54"/>
      <c r="F26" s="72"/>
      <c r="G26" s="52"/>
      <c r="H26" s="30"/>
      <c r="I26" s="30"/>
      <c r="J26" s="30"/>
      <c r="K26" s="31"/>
      <c r="L26" s="76"/>
    </row>
    <row r="27" spans="1:12">
      <c r="A27" s="52">
        <v>5</v>
      </c>
      <c r="B27" s="54" t="s">
        <v>131</v>
      </c>
      <c r="C27" s="51"/>
      <c r="D27" s="51"/>
      <c r="E27" s="54" t="s">
        <v>132</v>
      </c>
      <c r="F27" s="72">
        <v>0</v>
      </c>
      <c r="G27" s="52"/>
      <c r="H27" s="30"/>
      <c r="I27" s="30"/>
      <c r="J27" s="30"/>
      <c r="K27" s="31"/>
      <c r="L27" s="76"/>
    </row>
    <row r="28" spans="1:12">
      <c r="A28" s="52"/>
      <c r="B28" s="54"/>
      <c r="C28" s="51"/>
      <c r="D28" s="51"/>
      <c r="E28" s="54" t="s">
        <v>129</v>
      </c>
      <c r="F28" s="72"/>
      <c r="G28" s="52"/>
      <c r="H28" s="30"/>
      <c r="I28" s="30"/>
      <c r="J28" s="30"/>
      <c r="K28" s="31"/>
      <c r="L28" s="76"/>
    </row>
    <row r="29" spans="1:12">
      <c r="A29" s="52"/>
      <c r="B29" s="54"/>
      <c r="C29" s="51"/>
      <c r="D29" s="51"/>
      <c r="E29" s="54" t="s">
        <v>130</v>
      </c>
      <c r="F29" s="72"/>
      <c r="G29" s="52"/>
      <c r="H29" s="30"/>
      <c r="I29" s="30"/>
      <c r="J29" s="30"/>
      <c r="K29" s="31"/>
      <c r="L29" s="76"/>
    </row>
    <row r="30" spans="1:12">
      <c r="A30" s="52"/>
      <c r="B30" s="54"/>
      <c r="C30" s="51"/>
      <c r="D30" s="51"/>
      <c r="E30" s="54"/>
      <c r="F30" s="72"/>
      <c r="G30" s="52"/>
      <c r="H30" s="30"/>
      <c r="I30" s="30"/>
      <c r="J30" s="30"/>
      <c r="K30" s="31"/>
      <c r="L30" s="76"/>
    </row>
    <row r="31" spans="1:12">
      <c r="A31" s="52"/>
      <c r="B31" s="54"/>
      <c r="C31" s="51"/>
      <c r="D31" s="51"/>
      <c r="E31" s="54"/>
      <c r="F31" s="72"/>
      <c r="G31" s="52"/>
      <c r="H31" s="30"/>
      <c r="I31" s="30"/>
      <c r="J31" s="30"/>
      <c r="K31" s="31"/>
      <c r="L31" s="76"/>
    </row>
    <row r="32" spans="1:12">
      <c r="A32" s="52"/>
      <c r="B32" s="54"/>
      <c r="C32" s="51"/>
      <c r="D32" s="51"/>
      <c r="E32" s="54"/>
      <c r="F32" s="72"/>
      <c r="G32" s="52"/>
      <c r="H32" s="30"/>
      <c r="I32" s="30"/>
      <c r="J32" s="30"/>
      <c r="K32" s="31"/>
      <c r="L32" s="76"/>
    </row>
    <row r="33" spans="1:12">
      <c r="A33" s="52"/>
      <c r="B33" s="54"/>
      <c r="C33" s="51"/>
      <c r="D33" s="51"/>
      <c r="E33" s="54"/>
      <c r="F33" s="72"/>
      <c r="G33" s="52"/>
      <c r="H33" s="30"/>
      <c r="I33" s="30"/>
      <c r="J33" s="30"/>
      <c r="K33" s="31"/>
      <c r="L33" s="76"/>
    </row>
    <row r="34" spans="1:12">
      <c r="A34" s="52"/>
      <c r="B34" s="54"/>
      <c r="C34" s="51"/>
      <c r="D34" s="51"/>
      <c r="E34" s="54"/>
      <c r="F34" s="72"/>
      <c r="G34" s="52"/>
      <c r="H34" s="30"/>
      <c r="I34" s="30"/>
      <c r="J34" s="30"/>
      <c r="K34" s="31"/>
      <c r="L34" s="76"/>
    </row>
    <row r="35" spans="1:12">
      <c r="A35" s="52"/>
      <c r="B35" s="54"/>
      <c r="C35" s="51"/>
      <c r="D35" s="51"/>
      <c r="E35" s="54"/>
      <c r="F35" s="72"/>
      <c r="G35" s="52"/>
      <c r="H35" s="30"/>
      <c r="I35" s="30"/>
      <c r="J35" s="30"/>
      <c r="K35" s="31"/>
      <c r="L35" s="76"/>
    </row>
    <row r="36" spans="1:12">
      <c r="A36" s="52"/>
      <c r="B36" s="54"/>
      <c r="C36" s="51"/>
      <c r="D36" s="51"/>
      <c r="E36" s="54"/>
      <c r="F36" s="72"/>
      <c r="G36" s="52"/>
      <c r="H36" s="30"/>
      <c r="I36" s="30"/>
      <c r="J36" s="30"/>
      <c r="K36" s="31"/>
      <c r="L36" s="76"/>
    </row>
    <row r="37" spans="1:12" ht="14.25" customHeight="1" thickBot="1">
      <c r="A37" s="52"/>
      <c r="B37" s="54"/>
      <c r="C37" s="51"/>
      <c r="D37" s="51"/>
      <c r="E37" s="54"/>
      <c r="F37" s="72"/>
      <c r="G37" s="52"/>
      <c r="H37" s="30"/>
      <c r="I37" s="30"/>
      <c r="J37" s="30"/>
      <c r="K37" s="31"/>
      <c r="L37" s="76"/>
    </row>
    <row r="38" spans="1:12" ht="26.25" customHeight="1" thickBot="1">
      <c r="A38" s="78"/>
      <c r="B38" s="79" t="s">
        <v>133</v>
      </c>
      <c r="C38" s="25">
        <f>SUM(C5:C37)</f>
        <v>0</v>
      </c>
      <c r="D38" s="25">
        <f>SUM(D5:D37)</f>
        <v>50</v>
      </c>
      <c r="E38" s="79"/>
      <c r="F38" s="80"/>
      <c r="G38" s="78"/>
      <c r="H38" s="81"/>
      <c r="I38" s="81"/>
      <c r="J38" s="81"/>
      <c r="K38" s="82"/>
      <c r="L38" s="83"/>
    </row>
    <row r="39" spans="1:12">
      <c r="A39" s="52"/>
      <c r="B39" s="54"/>
      <c r="C39" s="51"/>
      <c r="D39" s="51"/>
      <c r="E39" s="54"/>
      <c r="F39" s="72"/>
      <c r="G39" s="52"/>
      <c r="H39" s="30"/>
      <c r="I39" s="30"/>
      <c r="J39" s="30"/>
      <c r="K39" s="31"/>
      <c r="L39" s="76"/>
    </row>
    <row r="40" spans="1:12">
      <c r="A40" s="52" t="s">
        <v>134</v>
      </c>
      <c r="B40" s="54" t="s">
        <v>135</v>
      </c>
      <c r="C40" s="51"/>
      <c r="D40" s="51"/>
      <c r="E40" s="54"/>
      <c r="F40" s="72"/>
      <c r="G40" s="52"/>
      <c r="H40" s="30"/>
      <c r="I40" s="30"/>
      <c r="J40" s="30"/>
      <c r="K40" s="31"/>
      <c r="L40" s="76"/>
    </row>
    <row r="41" spans="1:12">
      <c r="A41" s="52"/>
      <c r="B41" s="54"/>
      <c r="C41" s="51"/>
      <c r="D41" s="51"/>
      <c r="E41" s="54"/>
      <c r="F41" s="72"/>
      <c r="G41" s="52"/>
      <c r="H41" s="30"/>
      <c r="I41" s="30"/>
      <c r="J41" s="30"/>
      <c r="K41" s="31"/>
      <c r="L41" s="76"/>
    </row>
    <row r="42" spans="1:12">
      <c r="A42" s="52">
        <v>1</v>
      </c>
      <c r="B42" s="54" t="s">
        <v>136</v>
      </c>
      <c r="C42" s="51"/>
      <c r="D42" s="51"/>
      <c r="E42" s="54" t="s">
        <v>137</v>
      </c>
      <c r="F42" s="72"/>
      <c r="G42" s="52" t="s">
        <v>138</v>
      </c>
      <c r="H42" s="30"/>
      <c r="I42" s="30"/>
      <c r="J42" s="30"/>
      <c r="K42" s="31"/>
      <c r="L42" s="76"/>
    </row>
    <row r="43" spans="1:12">
      <c r="A43" s="52"/>
      <c r="B43" s="54" t="s">
        <v>139</v>
      </c>
      <c r="C43" s="51"/>
      <c r="D43" s="51"/>
      <c r="E43" s="54" t="s">
        <v>140</v>
      </c>
      <c r="F43" s="72"/>
      <c r="G43" s="52" t="s">
        <v>141</v>
      </c>
      <c r="H43" s="30"/>
      <c r="I43" s="30"/>
      <c r="J43" s="30"/>
      <c r="K43" s="31"/>
      <c r="L43" s="76"/>
    </row>
    <row r="44" spans="1:12">
      <c r="A44" s="52"/>
      <c r="B44" s="54"/>
      <c r="C44" s="51"/>
      <c r="D44" s="51"/>
      <c r="E44" s="54" t="s">
        <v>142</v>
      </c>
      <c r="F44" s="72"/>
      <c r="G44" s="52"/>
      <c r="H44" s="30"/>
      <c r="I44" s="30"/>
      <c r="J44" s="30"/>
      <c r="K44" s="31"/>
      <c r="L44" s="76"/>
    </row>
    <row r="45" spans="1:12">
      <c r="A45" s="52"/>
      <c r="B45" s="54"/>
      <c r="C45" s="51"/>
      <c r="D45" s="51"/>
      <c r="E45" s="54"/>
      <c r="F45" s="72"/>
      <c r="G45" s="52"/>
      <c r="H45" s="30"/>
      <c r="I45" s="30"/>
      <c r="J45" s="30"/>
      <c r="K45" s="31"/>
      <c r="L45" s="76"/>
    </row>
    <row r="46" spans="1:12">
      <c r="A46" s="52"/>
      <c r="B46" s="54"/>
      <c r="C46" s="51"/>
      <c r="D46" s="51"/>
      <c r="E46" s="54"/>
      <c r="F46" s="72"/>
      <c r="G46" s="52"/>
      <c r="H46" s="30"/>
      <c r="I46" s="30"/>
      <c r="J46" s="30"/>
      <c r="K46" s="31"/>
      <c r="L46" s="76"/>
    </row>
    <row r="47" spans="1:12">
      <c r="A47" s="52">
        <v>2</v>
      </c>
      <c r="B47" s="54" t="s">
        <v>136</v>
      </c>
      <c r="C47" s="51"/>
      <c r="D47" s="51"/>
      <c r="E47" s="54" t="s">
        <v>137</v>
      </c>
      <c r="F47" s="72"/>
      <c r="G47" s="52" t="s">
        <v>138</v>
      </c>
      <c r="H47" s="30"/>
      <c r="I47" s="30"/>
      <c r="J47" s="30"/>
      <c r="K47" s="31"/>
      <c r="L47" s="76"/>
    </row>
    <row r="48" spans="1:12">
      <c r="A48" s="52"/>
      <c r="B48" s="54" t="s">
        <v>143</v>
      </c>
      <c r="C48" s="51"/>
      <c r="D48" s="51"/>
      <c r="E48" s="54" t="s">
        <v>140</v>
      </c>
      <c r="F48" s="72"/>
      <c r="G48" s="52" t="s">
        <v>141</v>
      </c>
      <c r="H48" s="30"/>
      <c r="I48" s="30"/>
      <c r="J48" s="30"/>
      <c r="K48" s="31"/>
      <c r="L48" s="76"/>
    </row>
    <row r="49" spans="1:12">
      <c r="A49" s="52"/>
      <c r="B49" s="54" t="s">
        <v>144</v>
      </c>
      <c r="C49" s="51"/>
      <c r="D49" s="51"/>
      <c r="E49" s="54" t="s">
        <v>142</v>
      </c>
      <c r="F49" s="72"/>
      <c r="G49" s="52"/>
      <c r="H49" s="30"/>
      <c r="I49" s="30"/>
      <c r="J49" s="30"/>
      <c r="K49" s="31"/>
      <c r="L49" s="76"/>
    </row>
    <row r="50" spans="1:12">
      <c r="A50" s="52"/>
      <c r="B50" s="54"/>
      <c r="C50" s="51"/>
      <c r="D50" s="51"/>
      <c r="E50" s="54"/>
      <c r="F50" s="72"/>
      <c r="G50" s="52"/>
      <c r="H50" s="30"/>
      <c r="I50" s="30"/>
      <c r="J50" s="30"/>
      <c r="K50" s="31"/>
      <c r="L50" s="76"/>
    </row>
    <row r="51" spans="1:12">
      <c r="A51" s="52"/>
      <c r="B51" s="54"/>
      <c r="C51" s="51"/>
      <c r="D51" s="51"/>
      <c r="E51" s="54"/>
      <c r="F51" s="72"/>
      <c r="G51" s="52"/>
      <c r="H51" s="30"/>
      <c r="I51" s="30"/>
      <c r="J51" s="30"/>
      <c r="K51" s="31"/>
      <c r="L51" s="76"/>
    </row>
    <row r="52" spans="1:12">
      <c r="A52" s="52">
        <v>3</v>
      </c>
      <c r="B52" s="54" t="s">
        <v>145</v>
      </c>
      <c r="C52" s="51"/>
      <c r="D52" s="51"/>
      <c r="E52" s="54" t="s">
        <v>146</v>
      </c>
      <c r="F52" s="72"/>
      <c r="G52" s="52" t="s">
        <v>147</v>
      </c>
      <c r="H52" s="30"/>
      <c r="I52" s="30"/>
      <c r="J52" s="30"/>
      <c r="K52" s="31"/>
      <c r="L52" s="76"/>
    </row>
    <row r="53" spans="1:12">
      <c r="A53" s="52"/>
      <c r="B53" s="54"/>
      <c r="C53" s="51"/>
      <c r="D53" s="51"/>
      <c r="E53" s="54" t="s">
        <v>148</v>
      </c>
      <c r="F53" s="72"/>
      <c r="G53" s="52" t="s">
        <v>149</v>
      </c>
      <c r="H53" s="30"/>
      <c r="I53" s="30"/>
      <c r="J53" s="30"/>
      <c r="K53" s="31"/>
      <c r="L53" s="76"/>
    </row>
    <row r="54" spans="1:12">
      <c r="A54" s="52"/>
      <c r="B54" s="54"/>
      <c r="C54" s="51"/>
      <c r="D54" s="51"/>
      <c r="E54" s="54"/>
      <c r="F54" s="72"/>
      <c r="G54" s="52" t="s">
        <v>150</v>
      </c>
      <c r="H54" s="30"/>
      <c r="I54" s="30"/>
      <c r="J54" s="30"/>
      <c r="K54" s="31"/>
      <c r="L54" s="76"/>
    </row>
    <row r="55" spans="1:12">
      <c r="A55" s="52"/>
      <c r="B55" s="54"/>
      <c r="C55" s="51"/>
      <c r="D55" s="51"/>
      <c r="E55" s="54"/>
      <c r="F55" s="72"/>
      <c r="G55" s="52"/>
      <c r="H55" s="30"/>
      <c r="I55" s="30"/>
      <c r="J55" s="30"/>
      <c r="K55" s="31"/>
      <c r="L55" s="76"/>
    </row>
    <row r="56" spans="1:12">
      <c r="A56" s="52"/>
      <c r="B56" s="54"/>
      <c r="C56" s="51"/>
      <c r="D56" s="51"/>
      <c r="E56" s="54"/>
      <c r="F56" s="72"/>
      <c r="G56" s="52"/>
      <c r="H56" s="30"/>
      <c r="I56" s="30"/>
      <c r="J56" s="30"/>
      <c r="K56" s="31"/>
      <c r="L56" s="76"/>
    </row>
    <row r="57" spans="1:12">
      <c r="A57" s="52"/>
      <c r="B57" s="54"/>
      <c r="C57" s="51"/>
      <c r="D57" s="51"/>
      <c r="E57" s="54"/>
      <c r="F57" s="72"/>
      <c r="G57" s="52"/>
      <c r="H57" s="30"/>
      <c r="I57" s="30"/>
      <c r="J57" s="30"/>
      <c r="K57" s="31"/>
      <c r="L57" s="55"/>
    </row>
    <row r="58" spans="1:12" ht="18.75" thickBot="1">
      <c r="A58" s="52"/>
      <c r="B58" s="54"/>
      <c r="C58" s="51"/>
      <c r="D58" s="51"/>
      <c r="E58" s="54"/>
      <c r="F58" s="72"/>
      <c r="G58" s="52"/>
      <c r="H58" s="30"/>
      <c r="I58" s="30"/>
      <c r="J58" s="30"/>
      <c r="K58" s="31"/>
      <c r="L58" s="55"/>
    </row>
    <row r="59" spans="1:12" ht="24" customHeight="1" thickBot="1">
      <c r="A59" s="16"/>
      <c r="B59" s="17" t="s">
        <v>151</v>
      </c>
      <c r="C59" s="25">
        <f>SUM(C39:C58)</f>
        <v>0</v>
      </c>
      <c r="D59" s="25">
        <f>SUM(D39:D58)</f>
        <v>0</v>
      </c>
      <c r="E59" s="17"/>
      <c r="F59" s="69"/>
      <c r="G59" s="16"/>
      <c r="H59" s="18"/>
      <c r="I59" s="18"/>
      <c r="J59" s="18"/>
      <c r="K59" s="19"/>
      <c r="L59" s="20"/>
    </row>
    <row r="60" spans="1:12">
      <c r="F60" s="64"/>
      <c r="H60" s="24"/>
      <c r="I60" s="24"/>
      <c r="J60" s="24"/>
      <c r="K60" s="24"/>
    </row>
    <row r="61" spans="1:12">
      <c r="B61" s="4" t="s">
        <v>152</v>
      </c>
      <c r="C61" s="1">
        <f>+'WC Assessment'!B55</f>
        <v>0</v>
      </c>
      <c r="F61" s="64"/>
      <c r="H61" s="24"/>
      <c r="I61" s="24"/>
      <c r="J61" s="24"/>
      <c r="K61" s="24"/>
      <c r="L61" s="26" t="s">
        <v>153</v>
      </c>
    </row>
    <row r="62" spans="1:12">
      <c r="F62" s="64"/>
      <c r="H62" s="24"/>
      <c r="I62" s="24"/>
      <c r="J62" s="24"/>
      <c r="K62" s="24"/>
    </row>
    <row r="63" spans="1:12">
      <c r="F63" s="64"/>
      <c r="H63" s="24"/>
      <c r="I63" s="24"/>
      <c r="J63" s="24"/>
      <c r="K63" s="24"/>
    </row>
    <row r="64" spans="1:12">
      <c r="F64" s="64"/>
      <c r="H64" s="24"/>
      <c r="I64" s="24"/>
      <c r="J64" s="24"/>
      <c r="K64" s="24"/>
    </row>
    <row r="65" spans="6:11">
      <c r="F65" s="64"/>
      <c r="H65" s="24"/>
      <c r="I65" s="24"/>
      <c r="J65" s="24"/>
      <c r="K65" s="24"/>
    </row>
    <row r="66" spans="6:11">
      <c r="F66" s="64"/>
      <c r="H66" s="24"/>
      <c r="I66" s="24"/>
      <c r="J66" s="24"/>
      <c r="K66" s="24"/>
    </row>
    <row r="67" spans="6:11">
      <c r="F67" s="64"/>
      <c r="H67" s="24"/>
      <c r="I67" s="24"/>
      <c r="J67" s="24"/>
      <c r="K67" s="24"/>
    </row>
    <row r="68" spans="6:11">
      <c r="F68" s="65"/>
      <c r="H68" s="24"/>
      <c r="I68" s="24"/>
      <c r="J68" s="24"/>
      <c r="K68" s="24"/>
    </row>
    <row r="69" spans="6:11">
      <c r="F69" s="65"/>
    </row>
    <row r="70" spans="6:11">
      <c r="F70" s="65"/>
    </row>
    <row r="71" spans="6:11">
      <c r="F71" s="65"/>
    </row>
  </sheetData>
  <sheetProtection password="EB2E" sheet="1" objects="1" scenarios="1"/>
  <mergeCells count="2">
    <mergeCell ref="C3:D3"/>
    <mergeCell ref="G3:K3"/>
  </mergeCells>
  <phoneticPr fontId="0" type="noConversion"/>
  <pageMargins left="0.52" right="0.33" top="0.34" bottom="0.47" header="0.31" footer="0.51"/>
  <pageSetup scale="65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0441-423D-45CE-90A3-4433EF87669F}">
  <sheetPr>
    <pageSetUpPr fitToPage="1"/>
  </sheetPr>
  <dimension ref="A1:K62"/>
  <sheetViews>
    <sheetView zoomScale="70" zoomScaleNormal="75" workbookViewId="0">
      <selection activeCell="J9" sqref="J9"/>
    </sheetView>
  </sheetViews>
  <sheetFormatPr defaultColWidth="8.6640625" defaultRowHeight="15"/>
  <cols>
    <col min="1" max="1" width="5.5546875" style="116" customWidth="1"/>
    <col min="2" max="2" width="31.109375" customWidth="1"/>
    <col min="3" max="3" width="5.88671875" customWidth="1"/>
    <col min="4" max="4" width="12.5546875" customWidth="1"/>
    <col min="5" max="6" width="12.6640625" customWidth="1"/>
    <col min="7" max="7" width="12.88671875" customWidth="1"/>
    <col min="8" max="8" width="12" customWidth="1"/>
    <col min="9" max="9" width="13.77734375" customWidth="1"/>
    <col min="10" max="10" width="12.33203125" customWidth="1"/>
    <col min="11" max="11" width="13.5546875" customWidth="1"/>
  </cols>
  <sheetData>
    <row r="1" spans="1:11" ht="18">
      <c r="A1" s="9"/>
      <c r="B1" s="1" t="s">
        <v>154</v>
      </c>
      <c r="C1" s="5"/>
      <c r="D1" s="5"/>
      <c r="E1" s="5"/>
      <c r="F1" s="5"/>
      <c r="G1" s="5"/>
      <c r="H1" s="5"/>
      <c r="I1" s="9" t="s">
        <v>155</v>
      </c>
      <c r="J1" s="9"/>
    </row>
    <row r="2" spans="1:11" ht="18">
      <c r="A2" s="9"/>
      <c r="B2" s="5"/>
      <c r="C2" s="5"/>
      <c r="D2" s="5"/>
      <c r="E2" s="5"/>
      <c r="F2" s="5"/>
      <c r="G2" s="5"/>
      <c r="H2" s="5"/>
      <c r="I2" s="9"/>
      <c r="J2" s="9"/>
    </row>
    <row r="3" spans="1:11" ht="18">
      <c r="A3" s="104"/>
      <c r="B3" s="95"/>
      <c r="C3" s="95"/>
      <c r="D3" s="171" t="s">
        <v>156</v>
      </c>
      <c r="E3" s="171"/>
      <c r="F3" s="171"/>
      <c r="G3" s="171"/>
      <c r="H3" s="171"/>
      <c r="I3" s="171"/>
      <c r="J3" s="171"/>
      <c r="K3" s="171"/>
    </row>
    <row r="4" spans="1:11" ht="18">
      <c r="A4" s="104"/>
      <c r="B4" s="95"/>
      <c r="C4" s="95"/>
      <c r="D4" s="158" t="s">
        <v>157</v>
      </c>
      <c r="E4" s="158" t="s">
        <v>158</v>
      </c>
      <c r="F4" s="158">
        <v>45382</v>
      </c>
      <c r="G4" s="160">
        <v>45747</v>
      </c>
      <c r="H4" s="162">
        <v>46112</v>
      </c>
      <c r="I4" s="162">
        <v>46477</v>
      </c>
      <c r="J4" s="162" t="s">
        <v>159</v>
      </c>
      <c r="K4" s="162" t="s">
        <v>160</v>
      </c>
    </row>
    <row r="5" spans="1:11" ht="18">
      <c r="A5" s="104"/>
      <c r="B5" s="95"/>
      <c r="C5" s="95"/>
      <c r="D5" s="159" t="s">
        <v>26</v>
      </c>
      <c r="E5" s="159" t="s">
        <v>26</v>
      </c>
      <c r="F5" s="159" t="s">
        <v>26</v>
      </c>
      <c r="G5" s="161" t="s">
        <v>161</v>
      </c>
      <c r="H5" s="163" t="s">
        <v>162</v>
      </c>
      <c r="I5" s="163" t="s">
        <v>162</v>
      </c>
      <c r="J5" s="163" t="s">
        <v>162</v>
      </c>
      <c r="K5" s="163" t="s">
        <v>162</v>
      </c>
    </row>
    <row r="6" spans="1:11" ht="18">
      <c r="A6" s="104"/>
      <c r="B6" s="95"/>
      <c r="C6" s="95"/>
      <c r="D6" s="95"/>
      <c r="E6" s="95"/>
      <c r="F6" s="95"/>
      <c r="G6" s="95"/>
      <c r="H6" s="95"/>
      <c r="I6" s="95"/>
      <c r="J6" s="95"/>
      <c r="K6" s="96"/>
    </row>
    <row r="7" spans="1:11" ht="18">
      <c r="A7" s="104">
        <v>1</v>
      </c>
      <c r="B7" s="95" t="s">
        <v>163</v>
      </c>
      <c r="C7" s="95"/>
      <c r="D7" s="99">
        <v>689.3</v>
      </c>
      <c r="E7" s="99">
        <v>1366.23</v>
      </c>
      <c r="F7" s="99">
        <v>1464.1</v>
      </c>
      <c r="G7" s="99">
        <v>1515.08</v>
      </c>
      <c r="H7" s="99">
        <v>1564.01</v>
      </c>
      <c r="I7" s="99">
        <v>1612.95</v>
      </c>
      <c r="J7" s="99">
        <v>1661.88</v>
      </c>
      <c r="K7" s="99">
        <v>1710.82</v>
      </c>
    </row>
    <row r="8" spans="1:11" ht="18">
      <c r="A8" s="104"/>
      <c r="B8" s="95" t="s">
        <v>164</v>
      </c>
      <c r="C8" s="95"/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</row>
    <row r="9" spans="1:11" ht="18">
      <c r="A9" s="104"/>
      <c r="B9" s="95"/>
      <c r="C9" s="95"/>
      <c r="D9" s="99"/>
      <c r="E9" s="99"/>
      <c r="F9" s="99"/>
      <c r="G9" s="99"/>
      <c r="H9" s="99"/>
      <c r="I9" s="99"/>
      <c r="J9" s="99"/>
      <c r="K9" s="99"/>
    </row>
    <row r="10" spans="1:11" ht="18">
      <c r="A10" s="104">
        <v>2</v>
      </c>
      <c r="B10" s="95" t="s">
        <v>165</v>
      </c>
      <c r="C10" s="95"/>
      <c r="D10" s="99">
        <v>89.34</v>
      </c>
      <c r="E10" s="99">
        <v>176.98</v>
      </c>
      <c r="F10" s="99">
        <v>189.65</v>
      </c>
      <c r="G10" s="99">
        <v>196.25</v>
      </c>
      <c r="H10" s="99">
        <v>202.59</v>
      </c>
      <c r="I10" s="99">
        <v>208.92</v>
      </c>
      <c r="J10" s="99">
        <v>215.25</v>
      </c>
      <c r="K10" s="99">
        <v>221.59</v>
      </c>
    </row>
    <row r="11" spans="1:11" ht="18">
      <c r="A11" s="104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 ht="18">
      <c r="A12" s="104">
        <v>3</v>
      </c>
      <c r="B12" s="95" t="s">
        <v>166</v>
      </c>
      <c r="C12" s="95"/>
      <c r="D12" s="97">
        <f t="shared" ref="D12:I12" si="0">+D7+D8-D10</f>
        <v>599.95999999999992</v>
      </c>
      <c r="E12" s="97">
        <f t="shared" si="0"/>
        <v>1189.25</v>
      </c>
      <c r="F12" s="97">
        <f>+F7+F8-F10</f>
        <v>1274.4499999999998</v>
      </c>
      <c r="G12" s="97">
        <f t="shared" si="0"/>
        <v>1318.83</v>
      </c>
      <c r="H12" s="97">
        <f t="shared" si="0"/>
        <v>1361.42</v>
      </c>
      <c r="I12" s="97">
        <f t="shared" si="0"/>
        <v>1404.03</v>
      </c>
      <c r="J12" s="97">
        <f>+J7+J8-J10</f>
        <v>1446.63</v>
      </c>
      <c r="K12" s="97">
        <f>+K7+K8-K10</f>
        <v>1489.23</v>
      </c>
    </row>
    <row r="13" spans="1:11" ht="18">
      <c r="A13" s="104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4" spans="1:11" ht="18">
      <c r="A14" s="104">
        <v>4</v>
      </c>
      <c r="B14" s="95" t="s">
        <v>167</v>
      </c>
      <c r="C14" s="95"/>
      <c r="D14" s="95"/>
      <c r="E14" s="95"/>
      <c r="F14" s="95"/>
      <c r="G14" s="95"/>
      <c r="H14" s="95"/>
      <c r="I14" s="95"/>
      <c r="J14" s="95"/>
      <c r="K14" s="95"/>
    </row>
    <row r="15" spans="1:11" ht="18">
      <c r="A15" s="104" t="s">
        <v>168</v>
      </c>
      <c r="B15" s="95" t="s">
        <v>169</v>
      </c>
      <c r="C15" s="95"/>
      <c r="D15" s="95"/>
      <c r="E15" s="95"/>
      <c r="F15" s="95"/>
      <c r="G15" s="95"/>
      <c r="H15" s="95"/>
      <c r="I15" s="95"/>
      <c r="J15" s="95"/>
      <c r="K15" s="95"/>
    </row>
    <row r="16" spans="1:11" ht="18">
      <c r="A16" s="104"/>
      <c r="B16" s="95" t="s">
        <v>170</v>
      </c>
      <c r="C16" s="95"/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</row>
    <row r="17" spans="1:11" ht="18">
      <c r="A17" s="104"/>
      <c r="B17" s="95" t="s">
        <v>171</v>
      </c>
      <c r="C17" s="95"/>
      <c r="D17" s="99">
        <v>415.03</v>
      </c>
      <c r="E17" s="99">
        <v>688.08</v>
      </c>
      <c r="F17" s="99">
        <v>736.99</v>
      </c>
      <c r="G17" s="99">
        <v>759.74</v>
      </c>
      <c r="H17" s="99">
        <v>784.19</v>
      </c>
      <c r="I17" s="99">
        <v>808.64</v>
      </c>
      <c r="J17" s="99">
        <v>833.1</v>
      </c>
      <c r="K17" s="99">
        <v>857.55</v>
      </c>
    </row>
    <row r="18" spans="1:11" ht="18">
      <c r="A18" s="104"/>
      <c r="B18" s="95"/>
      <c r="C18" s="95"/>
      <c r="D18" s="99"/>
      <c r="E18" s="99"/>
      <c r="F18" s="99"/>
      <c r="G18" s="99"/>
      <c r="H18" s="99"/>
      <c r="I18" s="99"/>
      <c r="J18" s="99"/>
      <c r="K18" s="99"/>
    </row>
    <row r="19" spans="1:11" ht="18">
      <c r="A19" s="104" t="s">
        <v>172</v>
      </c>
      <c r="B19" s="95" t="s">
        <v>173</v>
      </c>
      <c r="C19" s="95"/>
      <c r="D19" s="99">
        <v>1.81</v>
      </c>
      <c r="E19" s="99">
        <v>3</v>
      </c>
      <c r="F19" s="99">
        <v>3.21</v>
      </c>
      <c r="G19" s="99">
        <v>3.31</v>
      </c>
      <c r="H19" s="99">
        <v>3.42</v>
      </c>
      <c r="I19" s="99">
        <v>3.52</v>
      </c>
      <c r="J19" s="99">
        <v>3.63</v>
      </c>
      <c r="K19" s="99">
        <v>3.73</v>
      </c>
    </row>
    <row r="20" spans="1:11" ht="18">
      <c r="A20" s="104"/>
      <c r="B20" s="95"/>
      <c r="C20" s="95"/>
      <c r="D20" s="99"/>
      <c r="E20" s="99"/>
      <c r="F20" s="99"/>
      <c r="G20" s="99"/>
      <c r="H20" s="99"/>
      <c r="I20" s="99"/>
      <c r="J20" s="99"/>
      <c r="K20" s="99"/>
    </row>
    <row r="21" spans="1:11" ht="18">
      <c r="A21" s="104" t="s">
        <v>174</v>
      </c>
      <c r="B21" s="95" t="s">
        <v>175</v>
      </c>
      <c r="C21" s="95"/>
      <c r="D21" s="99">
        <v>8.9600000000000009</v>
      </c>
      <c r="E21" s="99">
        <v>16.54</v>
      </c>
      <c r="F21" s="99">
        <v>17.72</v>
      </c>
      <c r="G21" s="99">
        <v>18.32</v>
      </c>
      <c r="H21" s="99">
        <v>18.91</v>
      </c>
      <c r="I21" s="99">
        <v>19.5</v>
      </c>
      <c r="J21" s="99">
        <v>20.09</v>
      </c>
      <c r="K21" s="99">
        <v>20.68</v>
      </c>
    </row>
    <row r="22" spans="1:11" ht="18">
      <c r="A22" s="104"/>
      <c r="B22" s="95"/>
      <c r="C22" s="95"/>
      <c r="D22" s="99"/>
      <c r="E22" s="99"/>
      <c r="F22" s="99"/>
      <c r="G22" s="99"/>
      <c r="H22" s="99"/>
      <c r="I22" s="99"/>
      <c r="J22" s="99"/>
      <c r="K22" s="99"/>
    </row>
    <row r="23" spans="1:11" ht="18">
      <c r="A23" s="104" t="s">
        <v>176</v>
      </c>
      <c r="B23" s="95" t="s">
        <v>177</v>
      </c>
      <c r="C23" s="95"/>
      <c r="D23" s="99">
        <v>14.46</v>
      </c>
      <c r="E23" s="99">
        <v>25.28</v>
      </c>
      <c r="F23" s="99">
        <v>25.79</v>
      </c>
      <c r="G23" s="99">
        <v>26.3</v>
      </c>
      <c r="H23" s="99">
        <v>26.83</v>
      </c>
      <c r="I23" s="99">
        <v>27.37</v>
      </c>
      <c r="J23" s="99">
        <v>27.91</v>
      </c>
      <c r="K23" s="99">
        <v>28.47</v>
      </c>
    </row>
    <row r="24" spans="1:11" ht="18">
      <c r="A24" s="104"/>
      <c r="B24" s="95"/>
      <c r="C24" s="95"/>
      <c r="D24" s="99"/>
      <c r="E24" s="99"/>
      <c r="F24" s="99"/>
      <c r="G24" s="99"/>
      <c r="H24" s="99"/>
      <c r="I24" s="99"/>
      <c r="J24" s="99"/>
      <c r="K24" s="99"/>
    </row>
    <row r="25" spans="1:11" ht="18">
      <c r="A25" s="104" t="s">
        <v>178</v>
      </c>
      <c r="B25" s="95" t="s">
        <v>179</v>
      </c>
      <c r="C25" s="95"/>
      <c r="D25" s="99">
        <v>1.81</v>
      </c>
      <c r="E25" s="99">
        <v>3</v>
      </c>
      <c r="F25" s="99">
        <v>3.21</v>
      </c>
      <c r="G25" s="99">
        <v>3.31</v>
      </c>
      <c r="H25" s="99">
        <v>3.42</v>
      </c>
      <c r="I25" s="99">
        <v>3.52</v>
      </c>
      <c r="J25" s="99">
        <v>3.63</v>
      </c>
      <c r="K25" s="99">
        <v>3.73</v>
      </c>
    </row>
    <row r="26" spans="1:11" ht="18">
      <c r="A26" s="104"/>
      <c r="B26" s="95"/>
      <c r="C26" s="95"/>
      <c r="D26" s="99"/>
      <c r="E26" s="99"/>
      <c r="F26" s="99"/>
      <c r="G26" s="99"/>
      <c r="H26" s="99"/>
      <c r="I26" s="99"/>
      <c r="J26" s="99"/>
      <c r="K26" s="99"/>
    </row>
    <row r="27" spans="1:11" ht="18">
      <c r="A27" s="104" t="s">
        <v>180</v>
      </c>
      <c r="B27" s="95" t="s">
        <v>181</v>
      </c>
      <c r="C27" s="95"/>
      <c r="D27" s="99">
        <v>21.69</v>
      </c>
      <c r="E27" s="99">
        <v>35.96</v>
      </c>
      <c r="F27" s="99">
        <v>38.520000000000003</v>
      </c>
      <c r="G27" s="99">
        <v>39.71</v>
      </c>
      <c r="H27" s="99">
        <v>40.98</v>
      </c>
      <c r="I27" s="99">
        <v>42.26</v>
      </c>
      <c r="J27" s="99">
        <v>43.54</v>
      </c>
      <c r="K27" s="99">
        <v>44.82</v>
      </c>
    </row>
    <row r="28" spans="1:11" ht="18">
      <c r="A28" s="104"/>
      <c r="B28" s="95"/>
      <c r="C28" s="95"/>
      <c r="D28" s="99"/>
      <c r="E28" s="99"/>
      <c r="F28" s="99"/>
      <c r="G28" s="99"/>
      <c r="H28" s="99"/>
      <c r="I28" s="99"/>
      <c r="J28" s="99"/>
      <c r="K28" s="99"/>
    </row>
    <row r="29" spans="1:11" ht="18">
      <c r="A29" s="104" t="s">
        <v>182</v>
      </c>
      <c r="B29" s="95" t="s">
        <v>183</v>
      </c>
      <c r="C29" s="99"/>
      <c r="D29" s="99">
        <v>87.18</v>
      </c>
      <c r="E29" s="99">
        <v>162.22999999999999</v>
      </c>
      <c r="F29" s="99">
        <v>139.66999999999999</v>
      </c>
      <c r="G29" s="99">
        <v>120.24</v>
      </c>
      <c r="H29" s="99">
        <v>103.51</v>
      </c>
      <c r="I29" s="99">
        <v>89.12</v>
      </c>
      <c r="J29" s="99">
        <v>76.72</v>
      </c>
      <c r="K29" s="99">
        <v>66.05</v>
      </c>
    </row>
    <row r="30" spans="1:11" ht="18">
      <c r="A30" s="104"/>
      <c r="B30" s="95"/>
      <c r="C30" s="95"/>
      <c r="D30" s="97"/>
      <c r="E30" s="97"/>
      <c r="F30" s="97"/>
      <c r="G30" s="97"/>
      <c r="H30" s="97"/>
      <c r="I30" s="97"/>
      <c r="J30" s="97"/>
      <c r="K30" s="97"/>
    </row>
    <row r="31" spans="1:11" ht="18">
      <c r="A31" s="104"/>
      <c r="B31" s="95" t="s">
        <v>184</v>
      </c>
      <c r="C31" s="95"/>
      <c r="D31" s="97">
        <f t="shared" ref="D31:J31" si="1">SUM(D14:D30)</f>
        <v>550.93999999999994</v>
      </c>
      <c r="E31" s="97">
        <f t="shared" si="1"/>
        <v>934.09</v>
      </c>
      <c r="F31" s="97">
        <f t="shared" si="1"/>
        <v>965.11</v>
      </c>
      <c r="G31" s="97">
        <f t="shared" si="1"/>
        <v>970.93</v>
      </c>
      <c r="H31" s="97">
        <f t="shared" si="1"/>
        <v>981.26</v>
      </c>
      <c r="I31" s="97">
        <f t="shared" si="1"/>
        <v>993.93</v>
      </c>
      <c r="J31" s="97">
        <f t="shared" si="1"/>
        <v>1008.62</v>
      </c>
      <c r="K31" s="97">
        <f>SUM(K14:K30)</f>
        <v>1025.03</v>
      </c>
    </row>
    <row r="32" spans="1:11" ht="18">
      <c r="A32" s="104"/>
      <c r="B32" s="95"/>
      <c r="C32" s="95"/>
      <c r="D32" s="97"/>
      <c r="E32" s="97"/>
      <c r="F32" s="97"/>
      <c r="G32" s="97"/>
      <c r="H32" s="97"/>
      <c r="I32" s="97"/>
      <c r="J32" s="97"/>
      <c r="K32" s="97"/>
    </row>
    <row r="33" spans="1:11" ht="18">
      <c r="A33" s="104"/>
      <c r="B33" s="95" t="s">
        <v>185</v>
      </c>
      <c r="C33" s="95"/>
      <c r="D33" s="99">
        <v>0</v>
      </c>
      <c r="E33" s="97">
        <f t="shared" ref="E33:K33" si="2">+D34</f>
        <v>54.78</v>
      </c>
      <c r="F33" s="97">
        <f t="shared" si="2"/>
        <v>56.99</v>
      </c>
      <c r="G33" s="97">
        <f t="shared" si="2"/>
        <v>60.83</v>
      </c>
      <c r="H33" s="97">
        <f t="shared" si="2"/>
        <v>62.84</v>
      </c>
      <c r="I33" s="97">
        <f t="shared" si="2"/>
        <v>64.84</v>
      </c>
      <c r="J33" s="97">
        <f t="shared" si="2"/>
        <v>66.849999999999994</v>
      </c>
      <c r="K33" s="97">
        <f t="shared" si="2"/>
        <v>68.849999999999994</v>
      </c>
    </row>
    <row r="34" spans="1:11" ht="18">
      <c r="A34" s="104"/>
      <c r="B34" s="95" t="s">
        <v>186</v>
      </c>
      <c r="C34" s="95"/>
      <c r="D34" s="99">
        <v>54.78</v>
      </c>
      <c r="E34" s="99">
        <v>56.99</v>
      </c>
      <c r="F34" s="97">
        <v>60.83</v>
      </c>
      <c r="G34" s="97">
        <v>62.84</v>
      </c>
      <c r="H34" s="97">
        <v>64.84</v>
      </c>
      <c r="I34" s="99">
        <v>66.849999999999994</v>
      </c>
      <c r="J34" s="99">
        <v>68.849999999999994</v>
      </c>
      <c r="K34" s="99">
        <v>70.86</v>
      </c>
    </row>
    <row r="35" spans="1:11" ht="18">
      <c r="A35" s="104"/>
      <c r="B35" s="95" t="s">
        <v>184</v>
      </c>
      <c r="C35" s="95"/>
      <c r="D35" s="97">
        <f t="shared" ref="D35:J35" si="3">+D31+D33-D34</f>
        <v>496.15999999999997</v>
      </c>
      <c r="E35" s="97">
        <f t="shared" si="3"/>
        <v>931.88</v>
      </c>
      <c r="F35" s="97">
        <f t="shared" si="3"/>
        <v>961.27</v>
      </c>
      <c r="G35" s="97">
        <f t="shared" si="3"/>
        <v>968.92</v>
      </c>
      <c r="H35" s="97">
        <f t="shared" si="3"/>
        <v>979.25999999999988</v>
      </c>
      <c r="I35" s="97">
        <f t="shared" si="3"/>
        <v>991.92</v>
      </c>
      <c r="J35" s="97">
        <f t="shared" si="3"/>
        <v>1006.62</v>
      </c>
      <c r="K35" s="97">
        <f>+K31+K33-K34</f>
        <v>1023.0199999999999</v>
      </c>
    </row>
    <row r="36" spans="1:11" ht="18">
      <c r="A36" s="104"/>
      <c r="B36" s="95" t="s">
        <v>187</v>
      </c>
      <c r="C36" s="95"/>
      <c r="D36" s="99">
        <v>0</v>
      </c>
      <c r="E36" s="97">
        <f t="shared" ref="E36:K36" si="4">+D37</f>
        <v>29.21</v>
      </c>
      <c r="F36" s="97">
        <f t="shared" si="4"/>
        <v>33.29</v>
      </c>
      <c r="G36" s="97">
        <f t="shared" si="4"/>
        <v>35.619999999999997</v>
      </c>
      <c r="H36" s="97">
        <f t="shared" si="4"/>
        <v>36.85</v>
      </c>
      <c r="I36" s="97">
        <f t="shared" si="4"/>
        <v>38.020000000000003</v>
      </c>
      <c r="J36" s="97">
        <f t="shared" si="4"/>
        <v>39.200000000000003</v>
      </c>
      <c r="K36" s="97">
        <f t="shared" si="4"/>
        <v>40.380000000000003</v>
      </c>
    </row>
    <row r="37" spans="1:11" ht="18">
      <c r="A37" s="104"/>
      <c r="B37" s="95" t="s">
        <v>188</v>
      </c>
      <c r="C37" s="95"/>
      <c r="D37" s="99">
        <v>29.21</v>
      </c>
      <c r="E37" s="99">
        <v>33.29</v>
      </c>
      <c r="F37" s="99">
        <v>35.619999999999997</v>
      </c>
      <c r="G37" s="99">
        <v>36.85</v>
      </c>
      <c r="H37" s="99">
        <v>38.020000000000003</v>
      </c>
      <c r="I37" s="99">
        <v>39.200000000000003</v>
      </c>
      <c r="J37" s="99">
        <v>40.380000000000003</v>
      </c>
      <c r="K37" s="99">
        <v>41.56</v>
      </c>
    </row>
    <row r="38" spans="1:11" ht="18">
      <c r="A38" s="104"/>
      <c r="B38" s="95"/>
      <c r="C38" s="95"/>
      <c r="D38" s="97"/>
      <c r="E38" s="97"/>
      <c r="F38" s="97"/>
      <c r="G38" s="97"/>
      <c r="H38" s="97"/>
      <c r="I38" s="97"/>
      <c r="J38" s="97"/>
      <c r="K38" s="97"/>
    </row>
    <row r="39" spans="1:11" ht="18">
      <c r="A39" s="104"/>
      <c r="B39" s="95" t="s">
        <v>189</v>
      </c>
      <c r="C39" s="95"/>
      <c r="D39" s="97">
        <f t="shared" ref="D39:I39" si="5">+D35+D36-D37</f>
        <v>466.95</v>
      </c>
      <c r="E39" s="97">
        <f t="shared" si="5"/>
        <v>927.80000000000007</v>
      </c>
      <c r="F39" s="97">
        <f t="shared" si="5"/>
        <v>958.93999999999994</v>
      </c>
      <c r="G39" s="97">
        <f t="shared" si="5"/>
        <v>967.68999999999994</v>
      </c>
      <c r="H39" s="97">
        <f t="shared" si="5"/>
        <v>978.08999999999992</v>
      </c>
      <c r="I39" s="97">
        <f t="shared" si="5"/>
        <v>990.74</v>
      </c>
      <c r="J39" s="97">
        <f>+J35+J36-J37</f>
        <v>1005.4399999999999</v>
      </c>
      <c r="K39" s="97">
        <f>+K35+K36-K37</f>
        <v>1021.8399999999999</v>
      </c>
    </row>
    <row r="40" spans="1:11" ht="18">
      <c r="A40" s="104"/>
      <c r="B40" s="95"/>
      <c r="C40" s="95"/>
      <c r="D40" s="97"/>
      <c r="E40" s="97"/>
      <c r="F40" s="97"/>
      <c r="G40" s="97"/>
      <c r="H40" s="97"/>
      <c r="I40" s="97"/>
      <c r="J40" s="97"/>
      <c r="K40" s="97"/>
    </row>
    <row r="41" spans="1:11" ht="18">
      <c r="A41" s="104">
        <v>5</v>
      </c>
      <c r="B41" s="95" t="s">
        <v>190</v>
      </c>
      <c r="C41" s="95"/>
      <c r="D41" s="97">
        <f t="shared" ref="D41:I41" si="6">+D12-D39</f>
        <v>133.00999999999993</v>
      </c>
      <c r="E41" s="97">
        <f t="shared" si="6"/>
        <v>261.44999999999993</v>
      </c>
      <c r="F41" s="97">
        <f t="shared" si="6"/>
        <v>315.50999999999988</v>
      </c>
      <c r="G41" s="97">
        <f t="shared" si="6"/>
        <v>351.14</v>
      </c>
      <c r="H41" s="97">
        <f t="shared" si="6"/>
        <v>383.33000000000015</v>
      </c>
      <c r="I41" s="97">
        <f t="shared" si="6"/>
        <v>413.28999999999996</v>
      </c>
      <c r="J41" s="97">
        <f>+J12-J39</f>
        <v>441.19000000000017</v>
      </c>
      <c r="K41" s="97">
        <f>+K12-K39</f>
        <v>467.3900000000001</v>
      </c>
    </row>
    <row r="42" spans="1:11" ht="18">
      <c r="A42" s="104"/>
      <c r="B42" s="95"/>
      <c r="C42" s="95"/>
      <c r="D42" s="97"/>
      <c r="E42" s="97"/>
      <c r="F42" s="97"/>
      <c r="G42" s="97"/>
      <c r="H42" s="97"/>
      <c r="I42" s="97"/>
      <c r="J42" s="97"/>
      <c r="K42" s="97"/>
    </row>
    <row r="43" spans="1:11" ht="18">
      <c r="A43" s="104">
        <v>6</v>
      </c>
      <c r="B43" s="95" t="s">
        <v>191</v>
      </c>
      <c r="C43" s="95"/>
      <c r="D43" s="99">
        <v>85.63</v>
      </c>
      <c r="E43" s="99">
        <v>137.59</v>
      </c>
      <c r="F43" s="99">
        <v>117.45</v>
      </c>
      <c r="G43" s="99">
        <v>97.3</v>
      </c>
      <c r="H43" s="99">
        <v>77.16</v>
      </c>
      <c r="I43" s="99">
        <v>57.02</v>
      </c>
      <c r="J43" s="99">
        <v>36.880000000000003</v>
      </c>
      <c r="K43" s="99">
        <v>16.73</v>
      </c>
    </row>
    <row r="44" spans="1:11" ht="18">
      <c r="A44" s="104"/>
      <c r="B44" s="95"/>
      <c r="C44" s="95"/>
      <c r="D44" s="99"/>
      <c r="E44" s="99"/>
      <c r="F44" s="99"/>
      <c r="G44" s="99"/>
      <c r="H44" s="99"/>
      <c r="I44" s="99"/>
      <c r="J44" s="99"/>
      <c r="K44" s="99"/>
    </row>
    <row r="45" spans="1:11" ht="18">
      <c r="A45" s="104">
        <v>7</v>
      </c>
      <c r="B45" s="170" t="s">
        <v>192</v>
      </c>
      <c r="C45" s="170"/>
      <c r="D45" s="99">
        <v>11.3</v>
      </c>
      <c r="E45" s="99">
        <v>20.7</v>
      </c>
      <c r="F45" s="99">
        <v>22.04</v>
      </c>
      <c r="G45" s="99">
        <v>22.73</v>
      </c>
      <c r="H45" s="99">
        <v>23.43</v>
      </c>
      <c r="I45" s="99">
        <v>24.13</v>
      </c>
      <c r="J45" s="99">
        <v>24.83</v>
      </c>
      <c r="K45" s="99">
        <v>25.53</v>
      </c>
    </row>
    <row r="46" spans="1:11" ht="18" customHeight="1">
      <c r="A46" s="104"/>
      <c r="B46" s="95"/>
      <c r="C46" s="95"/>
      <c r="D46" s="97"/>
      <c r="E46" s="97"/>
      <c r="F46" s="97"/>
      <c r="G46" s="97"/>
      <c r="H46" s="97"/>
      <c r="I46" s="97"/>
      <c r="J46" s="97"/>
      <c r="K46" s="97"/>
    </row>
    <row r="47" spans="1:11" ht="18">
      <c r="A47" s="104">
        <v>8</v>
      </c>
      <c r="B47" s="95" t="s">
        <v>193</v>
      </c>
      <c r="C47" s="95"/>
      <c r="D47" s="97">
        <f t="shared" ref="D47:I47" si="7">+D41-D43-D45</f>
        <v>36.079999999999941</v>
      </c>
      <c r="E47" s="97">
        <f t="shared" si="7"/>
        <v>103.15999999999993</v>
      </c>
      <c r="F47" s="97">
        <f t="shared" si="7"/>
        <v>176.0199999999999</v>
      </c>
      <c r="G47" s="97">
        <f t="shared" si="7"/>
        <v>231.10999999999999</v>
      </c>
      <c r="H47" s="97">
        <f t="shared" si="7"/>
        <v>282.74000000000018</v>
      </c>
      <c r="I47" s="97">
        <f t="shared" si="7"/>
        <v>332.14</v>
      </c>
      <c r="J47" s="97">
        <f>+J41-J43-J45</f>
        <v>379.48000000000019</v>
      </c>
      <c r="K47" s="97">
        <f>+K41-K43-K45</f>
        <v>425.13000000000011</v>
      </c>
    </row>
    <row r="48" spans="1:11" ht="11.25" customHeight="1">
      <c r="A48" s="104"/>
      <c r="B48" s="95"/>
      <c r="C48" s="95"/>
      <c r="D48" s="97"/>
      <c r="E48" s="97"/>
      <c r="F48" s="97"/>
      <c r="G48" s="97"/>
      <c r="H48" s="97"/>
      <c r="I48" s="97"/>
      <c r="J48" s="97"/>
      <c r="K48" s="97"/>
    </row>
    <row r="49" spans="1:11" ht="18">
      <c r="A49" s="104">
        <v>9</v>
      </c>
      <c r="B49" s="95" t="s">
        <v>194</v>
      </c>
      <c r="C49" s="95"/>
      <c r="D49" s="97"/>
      <c r="E49" s="97"/>
      <c r="F49" s="97"/>
      <c r="G49" s="97"/>
      <c r="H49" s="97"/>
      <c r="I49" s="97"/>
      <c r="J49" s="97"/>
      <c r="K49" s="97"/>
    </row>
    <row r="50" spans="1:11" ht="18">
      <c r="A50" s="104"/>
      <c r="B50" s="95" t="s">
        <v>195</v>
      </c>
      <c r="C50" s="95"/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</row>
    <row r="51" spans="1:11" ht="18">
      <c r="A51" s="104"/>
      <c r="B51" s="95" t="s">
        <v>196</v>
      </c>
      <c r="C51" s="95"/>
      <c r="D51" s="99">
        <v>4.67</v>
      </c>
      <c r="E51" s="99">
        <v>8</v>
      </c>
      <c r="F51" s="99">
        <v>8</v>
      </c>
      <c r="G51" s="99">
        <v>8</v>
      </c>
      <c r="H51" s="99">
        <v>8</v>
      </c>
      <c r="I51" s="99">
        <v>3.33</v>
      </c>
      <c r="J51" s="99">
        <v>0</v>
      </c>
      <c r="K51" s="99">
        <v>0</v>
      </c>
    </row>
    <row r="52" spans="1:11" ht="18">
      <c r="A52" s="104"/>
      <c r="B52" s="95" t="s">
        <v>197</v>
      </c>
      <c r="C52" s="95"/>
      <c r="D52" s="97">
        <f t="shared" ref="D52:J52" si="8">+D50-D51</f>
        <v>-4.67</v>
      </c>
      <c r="E52" s="97">
        <f t="shared" si="8"/>
        <v>-8</v>
      </c>
      <c r="F52" s="97">
        <f t="shared" si="8"/>
        <v>-8</v>
      </c>
      <c r="G52" s="97">
        <f t="shared" si="8"/>
        <v>-8</v>
      </c>
      <c r="H52" s="97">
        <f t="shared" si="8"/>
        <v>-8</v>
      </c>
      <c r="I52" s="97">
        <f t="shared" si="8"/>
        <v>-3.33</v>
      </c>
      <c r="J52" s="97">
        <f t="shared" si="8"/>
        <v>0</v>
      </c>
      <c r="K52" s="97">
        <f>+K50-K51</f>
        <v>0</v>
      </c>
    </row>
    <row r="53" spans="1:11" ht="11.25" customHeight="1">
      <c r="A53" s="104"/>
      <c r="B53" s="95"/>
      <c r="C53" s="95"/>
      <c r="D53" s="97"/>
      <c r="E53" s="97"/>
      <c r="F53" s="97"/>
      <c r="G53" s="97"/>
      <c r="H53" s="97"/>
      <c r="I53" s="97"/>
      <c r="J53" s="97"/>
      <c r="K53" s="97"/>
    </row>
    <row r="54" spans="1:11" ht="18">
      <c r="A54" s="104">
        <v>10</v>
      </c>
      <c r="B54" s="95" t="s">
        <v>198</v>
      </c>
      <c r="C54" s="95"/>
      <c r="D54" s="97">
        <f t="shared" ref="D54:I54" si="9">+D47+D52</f>
        <v>31.40999999999994</v>
      </c>
      <c r="E54" s="97">
        <f t="shared" si="9"/>
        <v>95.159999999999926</v>
      </c>
      <c r="F54" s="97">
        <f t="shared" si="9"/>
        <v>168.0199999999999</v>
      </c>
      <c r="G54" s="97">
        <f t="shared" si="9"/>
        <v>223.10999999999999</v>
      </c>
      <c r="H54" s="97">
        <f t="shared" si="9"/>
        <v>274.74000000000018</v>
      </c>
      <c r="I54" s="97">
        <f t="shared" si="9"/>
        <v>328.81</v>
      </c>
      <c r="J54" s="97">
        <f>+J47+J52</f>
        <v>379.48000000000019</v>
      </c>
      <c r="K54" s="97">
        <f>+K47+K52</f>
        <v>425.13000000000011</v>
      </c>
    </row>
    <row r="55" spans="1:11" ht="12" customHeight="1">
      <c r="A55" s="104"/>
      <c r="B55" s="95"/>
      <c r="C55" s="95"/>
      <c r="D55" s="97"/>
      <c r="E55" s="97"/>
      <c r="F55" s="97"/>
      <c r="G55" s="97"/>
      <c r="H55" s="97"/>
      <c r="I55" s="97"/>
      <c r="J55" s="97"/>
      <c r="K55" s="97"/>
    </row>
    <row r="56" spans="1:11" ht="18">
      <c r="A56" s="104"/>
      <c r="B56" s="95" t="s">
        <v>199</v>
      </c>
      <c r="C56" s="95"/>
      <c r="D56" s="99">
        <v>5.82</v>
      </c>
      <c r="E56" s="99">
        <v>9.2200000000000006</v>
      </c>
      <c r="F56" s="99">
        <v>53.64</v>
      </c>
      <c r="G56" s="99">
        <v>70.95</v>
      </c>
      <c r="H56" s="99">
        <v>87.09</v>
      </c>
      <c r="I56" s="99">
        <v>103.36</v>
      </c>
      <c r="J56" s="99">
        <v>119.06</v>
      </c>
      <c r="K56" s="99">
        <v>133.15</v>
      </c>
    </row>
    <row r="57" spans="1:11" ht="11.25" customHeight="1">
      <c r="A57" s="104"/>
      <c r="B57" s="95"/>
      <c r="C57" s="95"/>
      <c r="D57" s="97"/>
      <c r="E57" s="97"/>
      <c r="F57" s="97"/>
      <c r="G57" s="97"/>
      <c r="H57" s="97"/>
      <c r="I57" s="97"/>
      <c r="J57" s="97"/>
      <c r="K57" s="97"/>
    </row>
    <row r="58" spans="1:11" ht="18">
      <c r="A58" s="104">
        <v>11</v>
      </c>
      <c r="B58" s="95" t="s">
        <v>200</v>
      </c>
      <c r="C58" s="95"/>
      <c r="D58" s="97">
        <f t="shared" ref="D58:I58" si="10">+D54-D56</f>
        <v>25.589999999999939</v>
      </c>
      <c r="E58" s="97">
        <f t="shared" si="10"/>
        <v>85.939999999999927</v>
      </c>
      <c r="F58" s="97">
        <f t="shared" si="10"/>
        <v>114.3799999999999</v>
      </c>
      <c r="G58" s="97">
        <f t="shared" si="10"/>
        <v>152.15999999999997</v>
      </c>
      <c r="H58" s="97">
        <f t="shared" si="10"/>
        <v>187.65000000000018</v>
      </c>
      <c r="I58" s="97">
        <f t="shared" si="10"/>
        <v>225.45</v>
      </c>
      <c r="J58" s="97">
        <f>+J54-J56</f>
        <v>260.42000000000019</v>
      </c>
      <c r="K58" s="97">
        <f>+K54-K56</f>
        <v>291.98000000000013</v>
      </c>
    </row>
    <row r="59" spans="1:11" ht="24.75" customHeight="1">
      <c r="A59" s="104"/>
      <c r="B59" s="95" t="s">
        <v>201</v>
      </c>
      <c r="C59" s="95"/>
      <c r="D59" s="97">
        <v>0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</row>
    <row r="60" spans="1:11" ht="18">
      <c r="A60" s="104"/>
      <c r="B60" s="96"/>
      <c r="C60" s="95"/>
      <c r="D60" s="96"/>
      <c r="E60" s="96"/>
      <c r="F60" s="96"/>
      <c r="G60" s="96"/>
      <c r="H60" s="96"/>
      <c r="I60" s="96"/>
      <c r="J60" s="96"/>
      <c r="K60" s="96"/>
    </row>
    <row r="61" spans="1:11" ht="18">
      <c r="A61" s="104"/>
      <c r="B61" s="112" t="s">
        <v>202</v>
      </c>
      <c r="C61" s="95"/>
      <c r="D61" s="95"/>
      <c r="E61" s="95"/>
      <c r="F61" s="95"/>
      <c r="G61" s="95"/>
      <c r="H61" s="95"/>
      <c r="I61" s="113"/>
      <c r="J61" s="113"/>
      <c r="K61" s="113" t="s">
        <v>203</v>
      </c>
    </row>
    <row r="62" spans="1:11" ht="18">
      <c r="A62" s="9"/>
      <c r="B62" s="5"/>
      <c r="C62" s="5"/>
      <c r="D62" s="5"/>
      <c r="E62" s="5"/>
      <c r="F62" s="5"/>
      <c r="G62" s="5"/>
      <c r="H62" s="5"/>
      <c r="I62" s="5"/>
      <c r="J62" s="5"/>
    </row>
  </sheetData>
  <mergeCells count="2">
    <mergeCell ref="B45:C45"/>
    <mergeCell ref="D3:K3"/>
  </mergeCells>
  <phoneticPr fontId="0" type="noConversion"/>
  <printOptions gridLines="1"/>
  <pageMargins left="1.1499999999999999" right="0.75" top="0.5" bottom="0.47" header="0.5" footer="0.5"/>
  <pageSetup scale="67" orientation="portrait" blackAndWhite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1EFD-6C0D-4CCB-A69D-1399E8B6844A}">
  <sheetPr>
    <pageSetUpPr fitToPage="1"/>
  </sheetPr>
  <dimension ref="A1:U56"/>
  <sheetViews>
    <sheetView zoomScale="60" zoomScaleNormal="60" workbookViewId="0">
      <selection activeCell="E19" sqref="E19"/>
    </sheetView>
  </sheetViews>
  <sheetFormatPr defaultColWidth="8.6640625" defaultRowHeight="15"/>
  <cols>
    <col min="1" max="1" width="3.6640625" customWidth="1"/>
    <col min="2" max="2" width="19.6640625" customWidth="1"/>
    <col min="3" max="4" width="12.33203125" customWidth="1"/>
    <col min="5" max="5" width="12.88671875" customWidth="1"/>
    <col min="6" max="6" width="12.33203125" customWidth="1"/>
    <col min="7" max="7" width="12.109375" customWidth="1"/>
    <col min="8" max="8" width="15.33203125" customWidth="1"/>
    <col min="9" max="9" width="11.6640625" customWidth="1"/>
    <col min="10" max="10" width="12.33203125" customWidth="1"/>
    <col min="11" max="11" width="4.88671875" customWidth="1"/>
    <col min="12" max="12" width="4.6640625" customWidth="1"/>
    <col min="13" max="13" width="18.88671875" customWidth="1"/>
    <col min="14" max="14" width="12.109375" customWidth="1"/>
    <col min="15" max="15" width="12" customWidth="1"/>
    <col min="16" max="16" width="11.88671875" customWidth="1"/>
    <col min="17" max="17" width="12.33203125" customWidth="1"/>
    <col min="18" max="18" width="11.6640625" customWidth="1"/>
    <col min="19" max="21" width="12.33203125" customWidth="1"/>
  </cols>
  <sheetData>
    <row r="1" spans="1:21" ht="21.75" customHeight="1" thickBot="1">
      <c r="A1" s="5"/>
      <c r="B1" s="5" t="s">
        <v>204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172" t="s">
        <v>205</v>
      </c>
      <c r="O1" s="172"/>
      <c r="P1" s="172"/>
      <c r="Q1" s="172"/>
      <c r="R1" s="172"/>
      <c r="S1" s="172"/>
    </row>
    <row r="2" spans="1:21" ht="21.75" customHeight="1" thickBot="1">
      <c r="A2" s="13"/>
      <c r="B2" s="2"/>
      <c r="C2" s="173" t="s">
        <v>206</v>
      </c>
      <c r="D2" s="174"/>
      <c r="E2" s="174"/>
      <c r="F2" s="174"/>
      <c r="G2" s="174"/>
      <c r="H2" s="174"/>
      <c r="I2" s="174"/>
      <c r="J2" s="174"/>
      <c r="K2" s="27"/>
      <c r="L2" s="2"/>
      <c r="M2" s="2"/>
      <c r="N2" s="175" t="s">
        <v>207</v>
      </c>
      <c r="O2" s="176"/>
      <c r="P2" s="176"/>
      <c r="Q2" s="176"/>
      <c r="R2" s="176"/>
      <c r="S2" s="176"/>
      <c r="T2" s="176"/>
      <c r="U2" s="176"/>
    </row>
    <row r="3" spans="1:21" ht="21.75" customHeight="1">
      <c r="A3" s="13"/>
      <c r="B3" s="95" t="s">
        <v>208</v>
      </c>
      <c r="C3" s="94" t="str">
        <f>+'Profit &amp; Loss Statement'!D4</f>
        <v>31.03.2022</v>
      </c>
      <c r="D3" s="94" t="str">
        <f>+'Profit &amp; Loss Statement'!E4</f>
        <v>31.03.2023</v>
      </c>
      <c r="E3" s="94">
        <f>+'Profit &amp; Loss Statement'!F4</f>
        <v>45382</v>
      </c>
      <c r="F3" s="94">
        <f>+'Profit &amp; Loss Statement'!G4</f>
        <v>45747</v>
      </c>
      <c r="G3" s="94">
        <f>+'Profit &amp; Loss Statement'!H4</f>
        <v>46112</v>
      </c>
      <c r="H3" s="94">
        <f>+'Profit &amp; Loss Statement'!I4</f>
        <v>46477</v>
      </c>
      <c r="I3" s="94" t="str">
        <f>+'Profit &amp; Loss Statement'!J4</f>
        <v>31.03.2028</v>
      </c>
      <c r="J3" s="94" t="str">
        <f>+'Profit &amp; Loss Statement'!K4</f>
        <v>31.03.2029</v>
      </c>
      <c r="K3" s="94"/>
      <c r="L3" s="95"/>
      <c r="M3" s="95" t="s">
        <v>209</v>
      </c>
      <c r="N3" s="94" t="str">
        <f t="shared" ref="N3:P4" si="0">+C3</f>
        <v>31.03.2022</v>
      </c>
      <c r="O3" s="94" t="str">
        <f t="shared" si="0"/>
        <v>31.03.2023</v>
      </c>
      <c r="P3" s="94">
        <f t="shared" si="0"/>
        <v>45382</v>
      </c>
      <c r="Q3" s="94">
        <f t="shared" ref="Q3:S4" si="1">+F3</f>
        <v>45747</v>
      </c>
      <c r="R3" s="94">
        <f t="shared" si="1"/>
        <v>46112</v>
      </c>
      <c r="S3" s="94">
        <f t="shared" si="1"/>
        <v>46477</v>
      </c>
      <c r="T3" s="94" t="str">
        <f>+I3</f>
        <v>31.03.2028</v>
      </c>
      <c r="U3" s="94" t="str">
        <f>+J3</f>
        <v>31.03.2029</v>
      </c>
    </row>
    <row r="4" spans="1:21" ht="21.75" customHeight="1" thickBot="1">
      <c r="A4" s="10"/>
      <c r="B4" s="95"/>
      <c r="C4" s="94" t="str">
        <f>+'Profit &amp; Loss Statement'!D5</f>
        <v>Actuals</v>
      </c>
      <c r="D4" s="94" t="str">
        <f>+'Profit &amp; Loss Statement'!E5</f>
        <v>Actuals</v>
      </c>
      <c r="E4" s="94" t="str">
        <f>+'Profit &amp; Loss Statement'!F5</f>
        <v>Actuals</v>
      </c>
      <c r="F4" s="94" t="str">
        <f>+'Profit &amp; Loss Statement'!G5</f>
        <v>Estimated</v>
      </c>
      <c r="G4" s="94" t="str">
        <f>+'Profit &amp; Loss Statement'!H5</f>
        <v>Projected</v>
      </c>
      <c r="H4" s="94" t="str">
        <f>+'Profit &amp; Loss Statement'!I5</f>
        <v>Projected</v>
      </c>
      <c r="I4" s="94" t="str">
        <f>+'Profit &amp; Loss Statement'!J5</f>
        <v>Projected</v>
      </c>
      <c r="J4" s="94" t="str">
        <f>+'Profit &amp; Loss Statement'!K5</f>
        <v>Projected</v>
      </c>
      <c r="K4" s="94"/>
      <c r="L4" s="95"/>
      <c r="M4" s="95"/>
      <c r="N4" s="94" t="str">
        <f t="shared" si="0"/>
        <v>Actuals</v>
      </c>
      <c r="O4" s="94" t="str">
        <f t="shared" si="0"/>
        <v>Actuals</v>
      </c>
      <c r="P4" s="94" t="str">
        <f t="shared" si="0"/>
        <v>Actuals</v>
      </c>
      <c r="Q4" s="94" t="str">
        <f t="shared" si="1"/>
        <v>Estimated</v>
      </c>
      <c r="R4" s="94" t="str">
        <f t="shared" si="1"/>
        <v>Projected</v>
      </c>
      <c r="S4" s="94" t="str">
        <f t="shared" si="1"/>
        <v>Projected</v>
      </c>
      <c r="T4" s="94" t="str">
        <f>+I4</f>
        <v>Projected</v>
      </c>
      <c r="U4" s="94" t="str">
        <f>+J4</f>
        <v>Projected</v>
      </c>
    </row>
    <row r="5" spans="1:21" ht="21.75" customHeight="1">
      <c r="A5" s="12"/>
      <c r="B5" s="95" t="s">
        <v>210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 t="s">
        <v>211</v>
      </c>
      <c r="N5" s="95"/>
      <c r="O5" s="95"/>
      <c r="P5" s="95"/>
      <c r="Q5" s="95"/>
      <c r="R5" s="95"/>
      <c r="S5" s="95"/>
      <c r="T5" s="95"/>
      <c r="U5" s="95"/>
    </row>
    <row r="6" spans="1:21" ht="16.5" customHeight="1">
      <c r="A6" s="12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</row>
    <row r="7" spans="1:21" ht="21.75" customHeight="1">
      <c r="A7" s="12">
        <v>1</v>
      </c>
      <c r="B7" s="95" t="s">
        <v>212</v>
      </c>
      <c r="C7" s="95"/>
      <c r="D7" s="95"/>
      <c r="E7" s="95"/>
      <c r="F7" s="95"/>
      <c r="G7" s="95"/>
      <c r="H7" s="95"/>
      <c r="I7" s="95"/>
      <c r="J7" s="95"/>
      <c r="K7" s="95"/>
      <c r="L7" s="95">
        <v>30</v>
      </c>
      <c r="M7" s="95" t="s">
        <v>213</v>
      </c>
      <c r="N7" s="95"/>
      <c r="O7" s="95"/>
      <c r="P7" s="95"/>
      <c r="Q7" s="95"/>
      <c r="R7" s="95"/>
      <c r="S7" s="95"/>
      <c r="T7" s="95"/>
      <c r="U7" s="95"/>
    </row>
    <row r="8" spans="1:21" ht="21.75" customHeight="1">
      <c r="A8" s="12"/>
      <c r="B8" s="95" t="s">
        <v>214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 t="s">
        <v>215</v>
      </c>
      <c r="N8" s="99">
        <v>1.55</v>
      </c>
      <c r="O8" s="99">
        <v>3.9</v>
      </c>
      <c r="P8" s="99">
        <v>7.58</v>
      </c>
      <c r="Q8" s="99">
        <v>11.2</v>
      </c>
      <c r="R8" s="99">
        <v>13.94</v>
      </c>
      <c r="S8" s="99">
        <v>15.39</v>
      </c>
      <c r="T8" s="99">
        <v>21.1</v>
      </c>
      <c r="U8" s="99">
        <v>28.9</v>
      </c>
    </row>
    <row r="9" spans="1:21" ht="16.5" customHeight="1">
      <c r="A9" s="1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9"/>
      <c r="O9" s="99"/>
      <c r="P9" s="99"/>
      <c r="Q9" s="99"/>
      <c r="R9" s="99"/>
      <c r="S9" s="99"/>
      <c r="T9" s="99"/>
      <c r="U9" s="99"/>
    </row>
    <row r="10" spans="1:21" ht="21.75" customHeight="1">
      <c r="A10" s="12"/>
      <c r="B10" s="95" t="s">
        <v>216</v>
      </c>
      <c r="C10" s="99">
        <v>50</v>
      </c>
      <c r="D10" s="99">
        <v>50</v>
      </c>
      <c r="E10" s="99">
        <v>50</v>
      </c>
      <c r="F10" s="99">
        <v>50</v>
      </c>
      <c r="G10" s="99">
        <v>50</v>
      </c>
      <c r="H10" s="99">
        <v>50</v>
      </c>
      <c r="I10" s="99">
        <v>50</v>
      </c>
      <c r="J10" s="99">
        <v>50</v>
      </c>
      <c r="K10" s="99"/>
      <c r="L10" s="95">
        <v>31</v>
      </c>
      <c r="M10" s="95" t="s">
        <v>217</v>
      </c>
      <c r="N10" s="99"/>
      <c r="O10" s="99"/>
      <c r="P10" s="99"/>
      <c r="Q10" s="99"/>
      <c r="R10" s="99"/>
      <c r="S10" s="99"/>
      <c r="T10" s="99"/>
      <c r="U10" s="99"/>
    </row>
    <row r="11" spans="1:21" ht="21.75" customHeight="1">
      <c r="A11" s="12"/>
      <c r="B11" s="95"/>
      <c r="C11" s="99"/>
      <c r="D11" s="99"/>
      <c r="E11" s="99"/>
      <c r="F11" s="99"/>
      <c r="G11" s="99"/>
      <c r="H11" s="99"/>
      <c r="I11" s="99"/>
      <c r="J11" s="99"/>
      <c r="K11" s="99"/>
      <c r="L11" s="95"/>
      <c r="M11" s="95"/>
      <c r="N11" s="99"/>
      <c r="O11" s="99"/>
      <c r="P11" s="99"/>
      <c r="Q11" s="99"/>
      <c r="R11" s="99"/>
      <c r="S11" s="99"/>
      <c r="T11" s="99"/>
      <c r="U11" s="99"/>
    </row>
    <row r="12" spans="1:21" ht="21.75" customHeight="1">
      <c r="A12" s="12"/>
      <c r="B12" s="95" t="s">
        <v>218</v>
      </c>
      <c r="C12" s="99">
        <v>0</v>
      </c>
      <c r="D12" s="99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/>
      <c r="L12" s="95"/>
      <c r="M12" s="95" t="s">
        <v>219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99">
        <v>0</v>
      </c>
      <c r="U12" s="99">
        <v>0</v>
      </c>
    </row>
    <row r="13" spans="1:21" ht="21.75" customHeight="1" thickBot="1">
      <c r="A13" s="12"/>
      <c r="B13" s="95"/>
      <c r="C13" s="97"/>
      <c r="D13" s="97"/>
      <c r="E13" s="97"/>
      <c r="F13" s="97"/>
      <c r="G13" s="97"/>
      <c r="H13" s="97"/>
      <c r="I13" s="97"/>
      <c r="J13" s="97"/>
      <c r="K13" s="97"/>
      <c r="L13" s="95"/>
      <c r="M13" s="95" t="s">
        <v>220</v>
      </c>
      <c r="N13" s="99"/>
      <c r="O13" s="99"/>
      <c r="P13" s="99"/>
      <c r="Q13" s="99"/>
      <c r="R13" s="99"/>
      <c r="S13" s="99"/>
      <c r="T13" s="99"/>
      <c r="U13" s="99"/>
    </row>
    <row r="14" spans="1:21" ht="21.75" customHeight="1" thickBot="1">
      <c r="A14" s="16"/>
      <c r="B14" s="95" t="s">
        <v>221</v>
      </c>
      <c r="C14" s="97">
        <f t="shared" ref="C14:H14" si="2">+C12+C10</f>
        <v>50</v>
      </c>
      <c r="D14" s="97">
        <f t="shared" si="2"/>
        <v>50</v>
      </c>
      <c r="E14" s="97">
        <f t="shared" si="2"/>
        <v>50</v>
      </c>
      <c r="F14" s="97">
        <f t="shared" si="2"/>
        <v>50</v>
      </c>
      <c r="G14" s="97">
        <f t="shared" si="2"/>
        <v>50</v>
      </c>
      <c r="H14" s="97">
        <f t="shared" si="2"/>
        <v>50</v>
      </c>
      <c r="I14" s="97">
        <f>+I12+I10</f>
        <v>50</v>
      </c>
      <c r="J14" s="97">
        <f>+J12+J10</f>
        <v>50</v>
      </c>
      <c r="K14" s="97"/>
      <c r="L14" s="95"/>
      <c r="M14" s="95"/>
      <c r="N14" s="99"/>
      <c r="O14" s="99"/>
      <c r="P14" s="99"/>
      <c r="Q14" s="99"/>
      <c r="R14" s="99"/>
      <c r="S14" s="99"/>
      <c r="T14" s="99"/>
      <c r="U14" s="99"/>
    </row>
    <row r="15" spans="1:21" ht="21.75" customHeight="1">
      <c r="A15" s="12"/>
      <c r="B15" s="95"/>
      <c r="C15" s="97"/>
      <c r="D15" s="97"/>
      <c r="E15" s="97"/>
      <c r="F15" s="97"/>
      <c r="G15" s="97"/>
      <c r="H15" s="97"/>
      <c r="I15" s="97"/>
      <c r="J15" s="97"/>
      <c r="K15" s="97"/>
      <c r="L15" s="95"/>
      <c r="M15" s="95" t="s">
        <v>222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0</v>
      </c>
      <c r="U15" s="99">
        <v>0</v>
      </c>
    </row>
    <row r="16" spans="1:21" ht="21.75" customHeight="1">
      <c r="A16" s="12">
        <v>2</v>
      </c>
      <c r="B16" s="100" t="s">
        <v>223</v>
      </c>
      <c r="C16" s="99"/>
      <c r="D16" s="99"/>
      <c r="E16" s="99"/>
      <c r="F16" s="99"/>
      <c r="G16" s="99"/>
      <c r="H16" s="99"/>
      <c r="I16" s="99"/>
      <c r="J16" s="99"/>
      <c r="K16" s="99"/>
      <c r="L16" s="95"/>
      <c r="M16" s="95"/>
      <c r="N16" s="99"/>
      <c r="O16" s="99"/>
      <c r="P16" s="99"/>
      <c r="Q16" s="99"/>
      <c r="R16" s="99"/>
      <c r="S16" s="99"/>
      <c r="T16" s="99"/>
      <c r="U16" s="99"/>
    </row>
    <row r="17" spans="1:21" ht="21.75" customHeight="1">
      <c r="A17" s="12"/>
      <c r="B17" s="95" t="s">
        <v>224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/>
      <c r="L17" s="95">
        <v>32</v>
      </c>
      <c r="M17" s="95" t="s">
        <v>225</v>
      </c>
      <c r="N17" s="99"/>
      <c r="O17" s="99"/>
      <c r="P17" s="99"/>
      <c r="Q17" s="99"/>
      <c r="R17" s="99"/>
      <c r="S17" s="99"/>
      <c r="T17" s="99"/>
      <c r="U17" s="99"/>
    </row>
    <row r="18" spans="1:21" ht="21.75" customHeight="1">
      <c r="A18" s="12"/>
      <c r="B18" s="95"/>
      <c r="C18" s="99"/>
      <c r="D18" s="99"/>
      <c r="E18" s="99"/>
      <c r="F18" s="99"/>
      <c r="G18" s="99"/>
      <c r="H18" s="99"/>
      <c r="I18" s="99"/>
      <c r="J18" s="99"/>
      <c r="K18" s="99"/>
      <c r="L18" s="95"/>
      <c r="M18" s="100" t="s">
        <v>226</v>
      </c>
      <c r="N18" s="99">
        <v>137.86000000000001</v>
      </c>
      <c r="O18" s="99">
        <v>227.71</v>
      </c>
      <c r="P18" s="99">
        <v>244.02</v>
      </c>
      <c r="Q18" s="99">
        <v>252.51</v>
      </c>
      <c r="R18" s="99">
        <v>260.67</v>
      </c>
      <c r="S18" s="99">
        <v>268.83</v>
      </c>
      <c r="T18" s="99">
        <v>276.98</v>
      </c>
      <c r="U18" s="99">
        <v>285.14</v>
      </c>
    </row>
    <row r="19" spans="1:21" ht="21.75" customHeight="1">
      <c r="A19" s="12">
        <v>3</v>
      </c>
      <c r="B19" s="95" t="s">
        <v>227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/>
      <c r="L19" s="95"/>
      <c r="M19" s="95" t="s">
        <v>228</v>
      </c>
      <c r="N19" s="99"/>
      <c r="O19" s="99"/>
      <c r="P19" s="99"/>
      <c r="Q19" s="99"/>
      <c r="R19" s="99"/>
      <c r="S19" s="99"/>
      <c r="T19" s="99"/>
      <c r="U19" s="99"/>
    </row>
    <row r="20" spans="1:21" ht="21.75" customHeight="1">
      <c r="A20" s="12"/>
      <c r="B20" s="95"/>
      <c r="C20" s="99"/>
      <c r="D20" s="99"/>
      <c r="E20" s="99"/>
      <c r="F20" s="99"/>
      <c r="G20" s="99"/>
      <c r="H20" s="99"/>
      <c r="I20" s="99"/>
      <c r="J20" s="99"/>
      <c r="K20" s="99"/>
      <c r="L20" s="95"/>
      <c r="M20" s="95"/>
      <c r="N20" s="99"/>
      <c r="O20" s="99"/>
      <c r="P20" s="99"/>
      <c r="Q20" s="99"/>
      <c r="R20" s="99"/>
      <c r="S20" s="99"/>
      <c r="T20" s="99"/>
      <c r="U20" s="99"/>
    </row>
    <row r="21" spans="1:21" ht="21.75" customHeight="1">
      <c r="A21" s="12">
        <v>4</v>
      </c>
      <c r="B21" s="100" t="s">
        <v>229</v>
      </c>
      <c r="C21" s="99">
        <v>5.04</v>
      </c>
      <c r="D21" s="99">
        <v>5.68</v>
      </c>
      <c r="E21" s="99">
        <v>6.1</v>
      </c>
      <c r="F21" s="99">
        <v>6.28</v>
      </c>
      <c r="G21" s="99">
        <v>6.49</v>
      </c>
      <c r="H21" s="99">
        <v>6.69</v>
      </c>
      <c r="I21" s="99">
        <v>6.89</v>
      </c>
      <c r="J21" s="99">
        <v>7.09</v>
      </c>
      <c r="K21" s="99"/>
      <c r="L21" s="95">
        <v>32</v>
      </c>
      <c r="M21" s="95" t="s">
        <v>230</v>
      </c>
      <c r="N21" s="99"/>
      <c r="O21" s="99"/>
      <c r="P21" s="99"/>
      <c r="Q21" s="99"/>
      <c r="R21" s="99"/>
      <c r="S21" s="99"/>
      <c r="T21" s="99"/>
      <c r="U21" s="99"/>
    </row>
    <row r="22" spans="1:21" ht="21.75" customHeight="1">
      <c r="A22" s="12"/>
      <c r="B22" s="95"/>
      <c r="C22" s="99"/>
      <c r="D22" s="99"/>
      <c r="E22" s="99"/>
      <c r="F22" s="99"/>
      <c r="G22" s="99"/>
      <c r="H22" s="99"/>
      <c r="I22" s="99"/>
      <c r="J22" s="99"/>
      <c r="K22" s="99"/>
      <c r="L22" s="95"/>
      <c r="M22" s="95" t="s">
        <v>231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</row>
    <row r="23" spans="1:21" ht="21.75" customHeight="1">
      <c r="A23" s="12">
        <v>5</v>
      </c>
      <c r="B23" s="95" t="s">
        <v>232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/>
      <c r="L23" s="95"/>
      <c r="M23" s="95"/>
      <c r="N23" s="99"/>
      <c r="O23" s="99"/>
      <c r="P23" s="99"/>
      <c r="Q23" s="99"/>
      <c r="R23" s="99"/>
      <c r="S23" s="99"/>
      <c r="T23" s="99"/>
      <c r="U23" s="99"/>
    </row>
    <row r="24" spans="1:21" ht="21.75" customHeight="1">
      <c r="A24" s="12"/>
      <c r="B24" s="95"/>
      <c r="C24" s="99"/>
      <c r="D24" s="99"/>
      <c r="E24" s="99"/>
      <c r="F24" s="99"/>
      <c r="G24" s="99"/>
      <c r="H24" s="99"/>
      <c r="I24" s="99"/>
      <c r="J24" s="99"/>
      <c r="K24" s="99"/>
      <c r="L24" s="95">
        <v>33</v>
      </c>
      <c r="M24" s="95" t="s">
        <v>233</v>
      </c>
      <c r="N24" s="99"/>
      <c r="O24" s="99"/>
      <c r="P24" s="99"/>
      <c r="Q24" s="99"/>
      <c r="R24" s="99"/>
      <c r="S24" s="99"/>
      <c r="T24" s="99"/>
      <c r="U24" s="99"/>
    </row>
    <row r="25" spans="1:21" ht="21.75" customHeight="1">
      <c r="A25" s="12">
        <v>6</v>
      </c>
      <c r="B25" s="95" t="s">
        <v>234</v>
      </c>
      <c r="C25" s="99"/>
      <c r="D25" s="99"/>
      <c r="E25" s="99"/>
      <c r="F25" s="99"/>
      <c r="G25" s="99"/>
      <c r="H25" s="99"/>
      <c r="I25" s="99"/>
      <c r="J25" s="99"/>
      <c r="K25" s="99"/>
      <c r="L25" s="95"/>
      <c r="M25" s="95" t="s">
        <v>235</v>
      </c>
      <c r="N25" s="99">
        <v>0</v>
      </c>
      <c r="O25" s="99">
        <v>0</v>
      </c>
      <c r="P25" s="99">
        <v>0</v>
      </c>
      <c r="Q25" s="99">
        <v>0</v>
      </c>
      <c r="R25" s="99">
        <v>0</v>
      </c>
      <c r="S25" s="99">
        <v>0</v>
      </c>
      <c r="T25" s="99">
        <v>0</v>
      </c>
      <c r="U25" s="99">
        <v>0</v>
      </c>
    </row>
    <row r="26" spans="1:21" ht="21.75" customHeight="1">
      <c r="A26" s="12"/>
      <c r="B26" s="100" t="s">
        <v>236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/>
      <c r="L26" s="95"/>
      <c r="M26" s="95"/>
      <c r="N26" s="99"/>
      <c r="O26" s="99"/>
      <c r="P26" s="99"/>
      <c r="Q26" s="99"/>
      <c r="R26" s="99"/>
      <c r="S26" s="99"/>
      <c r="T26" s="99"/>
      <c r="U26" s="99"/>
    </row>
    <row r="27" spans="1:21" ht="21.75" customHeight="1">
      <c r="A27" s="12"/>
      <c r="B27" s="100" t="s">
        <v>237</v>
      </c>
      <c r="C27" s="99"/>
      <c r="D27" s="99"/>
      <c r="E27" s="99"/>
      <c r="F27" s="99"/>
      <c r="G27" s="99"/>
      <c r="H27" s="99"/>
      <c r="I27" s="99"/>
      <c r="J27" s="99"/>
      <c r="K27" s="99"/>
      <c r="L27" s="95">
        <v>34</v>
      </c>
      <c r="M27" s="95" t="s">
        <v>238</v>
      </c>
      <c r="N27" s="99"/>
      <c r="O27" s="99"/>
      <c r="P27" s="99"/>
      <c r="Q27" s="99"/>
      <c r="R27" s="99"/>
      <c r="S27" s="99"/>
      <c r="T27" s="99"/>
      <c r="U27" s="99"/>
    </row>
    <row r="28" spans="1:21" ht="21.75" customHeight="1">
      <c r="A28" s="12"/>
      <c r="B28" s="95"/>
      <c r="C28" s="99"/>
      <c r="D28" s="99"/>
      <c r="E28" s="99"/>
      <c r="F28" s="99"/>
      <c r="G28" s="99"/>
      <c r="H28" s="99"/>
      <c r="I28" s="99"/>
      <c r="J28" s="99"/>
      <c r="K28" s="99"/>
      <c r="L28" s="95"/>
      <c r="M28" s="95"/>
      <c r="N28" s="97"/>
      <c r="O28" s="97"/>
      <c r="P28" s="97"/>
      <c r="Q28" s="97"/>
      <c r="R28" s="97"/>
      <c r="S28" s="97"/>
      <c r="T28" s="97"/>
      <c r="U28" s="97"/>
    </row>
    <row r="29" spans="1:21" ht="21.75" customHeight="1">
      <c r="A29" s="12">
        <v>7</v>
      </c>
      <c r="B29" s="100" t="s">
        <v>239</v>
      </c>
      <c r="C29" s="99"/>
      <c r="D29" s="99"/>
      <c r="E29" s="99"/>
      <c r="F29" s="99"/>
      <c r="G29" s="99"/>
      <c r="H29" s="99"/>
      <c r="I29" s="99"/>
      <c r="J29" s="99"/>
      <c r="K29" s="99"/>
      <c r="L29" s="95"/>
      <c r="M29" s="95" t="s">
        <v>240</v>
      </c>
      <c r="N29" s="99">
        <v>0</v>
      </c>
      <c r="O29" s="99">
        <v>0</v>
      </c>
      <c r="P29" s="99">
        <v>0</v>
      </c>
      <c r="Q29" s="99">
        <v>0</v>
      </c>
      <c r="R29" s="99">
        <v>0</v>
      </c>
      <c r="S29" s="99">
        <v>0</v>
      </c>
      <c r="T29" s="99">
        <v>0</v>
      </c>
      <c r="U29" s="99">
        <v>0</v>
      </c>
    </row>
    <row r="30" spans="1:21" ht="21.75" customHeight="1">
      <c r="A30" s="12"/>
      <c r="B30" s="95" t="s">
        <v>241</v>
      </c>
      <c r="C30" s="99">
        <v>0</v>
      </c>
      <c r="D30" s="99">
        <v>0</v>
      </c>
      <c r="E30" s="99">
        <v>0</v>
      </c>
      <c r="F30" s="99">
        <v>0</v>
      </c>
      <c r="G30" s="99">
        <v>0</v>
      </c>
      <c r="H30" s="99">
        <v>0</v>
      </c>
      <c r="I30" s="99">
        <v>0</v>
      </c>
      <c r="J30" s="99">
        <v>0</v>
      </c>
      <c r="K30" s="99"/>
      <c r="L30" s="95"/>
      <c r="M30" s="95"/>
      <c r="N30" s="99" t="s">
        <v>242</v>
      </c>
      <c r="O30" s="99" t="s">
        <v>242</v>
      </c>
      <c r="P30" s="99" t="s">
        <v>242</v>
      </c>
      <c r="Q30" s="99"/>
      <c r="R30" s="99"/>
      <c r="S30" s="99" t="s">
        <v>242</v>
      </c>
      <c r="T30" s="99" t="s">
        <v>242</v>
      </c>
      <c r="U30" s="99" t="s">
        <v>242</v>
      </c>
    </row>
    <row r="31" spans="1:21" ht="21.75" customHeight="1">
      <c r="A31" s="12"/>
      <c r="B31" s="95"/>
      <c r="C31" s="99"/>
      <c r="D31" s="99"/>
      <c r="E31" s="99"/>
      <c r="F31" s="99"/>
      <c r="G31" s="99"/>
      <c r="H31" s="99"/>
      <c r="I31" s="99"/>
      <c r="J31" s="99"/>
      <c r="K31" s="99"/>
      <c r="L31" s="95"/>
      <c r="M31" s="100" t="s">
        <v>243</v>
      </c>
      <c r="N31" s="99">
        <v>29.39</v>
      </c>
      <c r="O31" s="99">
        <v>28.42</v>
      </c>
      <c r="P31" s="99">
        <v>30.44</v>
      </c>
      <c r="Q31" s="99">
        <v>31.38</v>
      </c>
      <c r="R31" s="99">
        <v>32.39</v>
      </c>
      <c r="S31" s="99">
        <v>33.4</v>
      </c>
      <c r="T31" s="99">
        <v>34.409999999999997</v>
      </c>
      <c r="U31" s="99">
        <v>35.42</v>
      </c>
    </row>
    <row r="32" spans="1:21" ht="21.75" customHeight="1">
      <c r="A32" s="12"/>
      <c r="B32" s="95"/>
      <c r="C32" s="99"/>
      <c r="D32" s="99"/>
      <c r="E32" s="99"/>
      <c r="F32" s="99"/>
      <c r="G32" s="99"/>
      <c r="H32" s="99"/>
      <c r="I32" s="99"/>
      <c r="J32" s="99"/>
      <c r="K32" s="99"/>
      <c r="L32" s="95"/>
      <c r="M32" s="95"/>
      <c r="N32" s="97"/>
      <c r="O32" s="97"/>
      <c r="P32" s="97"/>
      <c r="Q32" s="97"/>
      <c r="R32" s="97"/>
      <c r="S32" s="97"/>
      <c r="T32" s="97"/>
      <c r="U32" s="97"/>
    </row>
    <row r="33" spans="1:21" ht="21.75" customHeight="1">
      <c r="A33" s="12">
        <v>8</v>
      </c>
      <c r="B33" s="95" t="s">
        <v>244</v>
      </c>
      <c r="C33" s="99">
        <v>0</v>
      </c>
      <c r="D33" s="99">
        <v>0</v>
      </c>
      <c r="E33" s="99">
        <v>0</v>
      </c>
      <c r="F33" s="99">
        <v>0</v>
      </c>
      <c r="G33" s="99">
        <v>0</v>
      </c>
      <c r="H33" s="99">
        <v>0</v>
      </c>
      <c r="I33" s="99">
        <v>0</v>
      </c>
      <c r="J33" s="99">
        <v>0</v>
      </c>
      <c r="K33" s="99"/>
      <c r="L33" s="95"/>
      <c r="M33" s="100" t="s">
        <v>245</v>
      </c>
      <c r="N33" s="97">
        <f>+'Profit &amp; Loss Statement'!D34</f>
        <v>54.78</v>
      </c>
      <c r="O33" s="97">
        <f>+'Profit &amp; Loss Statement'!E34</f>
        <v>56.99</v>
      </c>
      <c r="P33" s="97">
        <f>+'Profit &amp; Loss Statement'!F34</f>
        <v>60.83</v>
      </c>
      <c r="Q33" s="97">
        <f>+'Profit &amp; Loss Statement'!G34</f>
        <v>62.84</v>
      </c>
      <c r="R33" s="97">
        <f>+'Profit &amp; Loss Statement'!H34</f>
        <v>64.84</v>
      </c>
      <c r="S33" s="97">
        <f>+'Profit &amp; Loss Statement'!I34</f>
        <v>66.849999999999994</v>
      </c>
      <c r="T33" s="97">
        <f>+'Profit &amp; Loss Statement'!J34</f>
        <v>68.849999999999994</v>
      </c>
      <c r="U33" s="97">
        <f>+'Profit &amp; Loss Statement'!K34</f>
        <v>70.86</v>
      </c>
    </row>
    <row r="34" spans="1:21" ht="21.75" customHeight="1">
      <c r="A34" s="12"/>
      <c r="B34" s="95" t="s">
        <v>246</v>
      </c>
      <c r="C34" s="99"/>
      <c r="D34" s="99"/>
      <c r="E34" s="99"/>
      <c r="F34" s="99"/>
      <c r="G34" s="99"/>
      <c r="H34" s="99"/>
      <c r="I34" s="99"/>
      <c r="J34" s="99"/>
      <c r="K34" s="99"/>
      <c r="L34" s="95"/>
      <c r="M34" s="95"/>
      <c r="N34" s="97"/>
      <c r="O34" s="97"/>
      <c r="P34" s="97"/>
      <c r="Q34" s="97"/>
      <c r="R34" s="97"/>
      <c r="S34" s="97"/>
      <c r="T34" s="97"/>
      <c r="U34" s="97"/>
    </row>
    <row r="35" spans="1:21" ht="21.75" customHeight="1">
      <c r="A35" s="12"/>
      <c r="B35" s="95"/>
      <c r="C35" s="99"/>
      <c r="D35" s="99"/>
      <c r="E35" s="99"/>
      <c r="F35" s="99"/>
      <c r="G35" s="99"/>
      <c r="H35" s="99"/>
      <c r="I35" s="99"/>
      <c r="J35" s="99"/>
      <c r="K35" s="99"/>
      <c r="L35" s="95"/>
      <c r="M35" s="100" t="s">
        <v>247</v>
      </c>
      <c r="N35" s="97">
        <f>+'Profit &amp; Loss Statement'!D37</f>
        <v>29.21</v>
      </c>
      <c r="O35" s="97">
        <f>+'Profit &amp; Loss Statement'!E37</f>
        <v>33.29</v>
      </c>
      <c r="P35" s="97">
        <f>+'Profit &amp; Loss Statement'!F37</f>
        <v>35.619999999999997</v>
      </c>
      <c r="Q35" s="97">
        <f>+'Profit &amp; Loss Statement'!G37</f>
        <v>36.85</v>
      </c>
      <c r="R35" s="97">
        <f>+'Profit &amp; Loss Statement'!H37</f>
        <v>38.020000000000003</v>
      </c>
      <c r="S35" s="97">
        <f>+'Profit &amp; Loss Statement'!I37</f>
        <v>39.200000000000003</v>
      </c>
      <c r="T35" s="97">
        <f>+'Profit &amp; Loss Statement'!J37</f>
        <v>40.380000000000003</v>
      </c>
      <c r="U35" s="97">
        <f>+'Profit &amp; Loss Statement'!K37</f>
        <v>41.56</v>
      </c>
    </row>
    <row r="36" spans="1:21" ht="21.75" customHeight="1">
      <c r="A36" s="12">
        <v>9</v>
      </c>
      <c r="B36" s="95" t="s">
        <v>248</v>
      </c>
      <c r="C36" s="99">
        <v>0</v>
      </c>
      <c r="D36" s="99">
        <v>0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0</v>
      </c>
      <c r="K36" s="99"/>
      <c r="L36" s="95"/>
      <c r="M36" s="95"/>
      <c r="N36" s="97"/>
      <c r="O36" s="97"/>
      <c r="P36" s="97"/>
      <c r="Q36" s="97"/>
      <c r="R36" s="97"/>
      <c r="S36" s="97"/>
      <c r="T36" s="97"/>
      <c r="U36" s="97"/>
    </row>
    <row r="37" spans="1:21" ht="21.75" customHeight="1">
      <c r="A37" s="12"/>
      <c r="B37" s="95"/>
      <c r="C37" s="99"/>
      <c r="D37" s="99"/>
      <c r="E37" s="99"/>
      <c r="F37" s="99"/>
      <c r="G37" s="99"/>
      <c r="H37" s="99"/>
      <c r="I37" s="99"/>
      <c r="J37" s="99"/>
      <c r="K37" s="99"/>
      <c r="L37" s="95"/>
      <c r="M37" s="100" t="s">
        <v>249</v>
      </c>
      <c r="N37" s="99">
        <v>0</v>
      </c>
      <c r="O37" s="99">
        <v>0</v>
      </c>
      <c r="P37" s="99">
        <v>0</v>
      </c>
      <c r="Q37" s="99">
        <v>0</v>
      </c>
      <c r="R37" s="99">
        <v>0</v>
      </c>
      <c r="S37" s="99">
        <v>0</v>
      </c>
      <c r="T37" s="99">
        <v>0</v>
      </c>
      <c r="U37" s="99">
        <v>0</v>
      </c>
    </row>
    <row r="38" spans="1:21" ht="21.75" customHeight="1">
      <c r="A38" s="12">
        <v>10</v>
      </c>
      <c r="B38" s="95" t="s">
        <v>250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/>
      <c r="L38" s="95"/>
      <c r="M38" s="95"/>
      <c r="N38" s="99"/>
      <c r="O38" s="99"/>
      <c r="P38" s="99"/>
      <c r="Q38" s="99"/>
      <c r="R38" s="99"/>
      <c r="S38" s="99"/>
      <c r="T38" s="99"/>
      <c r="U38" s="99"/>
    </row>
    <row r="39" spans="1:21" ht="21.75" customHeight="1">
      <c r="A39" s="12"/>
      <c r="B39" s="95" t="s">
        <v>251</v>
      </c>
      <c r="C39" s="99"/>
      <c r="D39" s="99"/>
      <c r="E39" s="99"/>
      <c r="F39" s="99"/>
      <c r="G39" s="99"/>
      <c r="H39" s="99"/>
      <c r="I39" s="99"/>
      <c r="J39" s="99"/>
      <c r="K39" s="99"/>
      <c r="L39" s="95">
        <v>35</v>
      </c>
      <c r="M39" s="100" t="s">
        <v>252</v>
      </c>
      <c r="N39" s="99"/>
      <c r="O39" s="99"/>
      <c r="P39" s="99"/>
      <c r="Q39" s="99"/>
      <c r="R39" s="99"/>
      <c r="S39" s="99"/>
      <c r="T39" s="99"/>
      <c r="U39" s="99"/>
    </row>
    <row r="40" spans="1:21" ht="21.75" customHeight="1">
      <c r="A40" s="12"/>
      <c r="B40" s="95"/>
      <c r="C40" s="99"/>
      <c r="D40" s="99"/>
      <c r="E40" s="99"/>
      <c r="F40" s="99"/>
      <c r="G40" s="99"/>
      <c r="H40" s="99"/>
      <c r="I40" s="99"/>
      <c r="J40" s="99"/>
      <c r="K40" s="99"/>
      <c r="L40" s="95"/>
      <c r="M40" s="95" t="s">
        <v>253</v>
      </c>
      <c r="N40" s="99">
        <v>0</v>
      </c>
      <c r="O40" s="99">
        <v>0</v>
      </c>
      <c r="P40" s="99">
        <v>0</v>
      </c>
      <c r="Q40" s="99">
        <v>0</v>
      </c>
      <c r="R40" s="99">
        <v>0</v>
      </c>
      <c r="S40" s="99">
        <v>0</v>
      </c>
      <c r="T40" s="99">
        <v>0</v>
      </c>
      <c r="U40" s="99">
        <v>0</v>
      </c>
    </row>
    <row r="41" spans="1:21" ht="21.75" customHeight="1">
      <c r="A41" s="12">
        <v>11</v>
      </c>
      <c r="B41" s="95" t="s">
        <v>233</v>
      </c>
      <c r="C41" s="99"/>
      <c r="D41" s="99"/>
      <c r="E41" s="99"/>
      <c r="F41" s="99"/>
      <c r="G41" s="99"/>
      <c r="H41" s="99"/>
      <c r="I41" s="99"/>
      <c r="J41" s="99"/>
      <c r="K41" s="99"/>
      <c r="L41" s="95"/>
      <c r="M41" s="100" t="s">
        <v>254</v>
      </c>
      <c r="N41" s="99"/>
      <c r="O41" s="99"/>
      <c r="P41" s="99"/>
      <c r="Q41" s="99"/>
      <c r="R41" s="99"/>
      <c r="S41" s="99"/>
      <c r="T41" s="99"/>
      <c r="U41" s="99"/>
    </row>
    <row r="42" spans="1:21" ht="21.75" customHeight="1">
      <c r="A42" s="12"/>
      <c r="B42" s="95" t="s">
        <v>255</v>
      </c>
      <c r="C42" s="99">
        <v>134.29</v>
      </c>
      <c r="D42" s="99">
        <v>134.29</v>
      </c>
      <c r="E42" s="99">
        <v>134.29</v>
      </c>
      <c r="F42" s="99">
        <v>134.29</v>
      </c>
      <c r="G42" s="99">
        <v>134.29</v>
      </c>
      <c r="H42" s="99">
        <v>134.29</v>
      </c>
      <c r="I42" s="99">
        <v>123.07</v>
      </c>
      <c r="J42" s="99">
        <v>0</v>
      </c>
      <c r="K42" s="99"/>
      <c r="L42" s="95"/>
      <c r="M42" s="95"/>
      <c r="N42" s="99"/>
      <c r="O42" s="99"/>
      <c r="P42" s="99"/>
      <c r="Q42" s="99"/>
      <c r="R42" s="99"/>
      <c r="S42" s="99"/>
      <c r="T42" s="99"/>
      <c r="U42" s="99"/>
    </row>
    <row r="43" spans="1:21" ht="21.75" customHeight="1">
      <c r="A43" s="12"/>
      <c r="B43" s="95" t="s">
        <v>256</v>
      </c>
      <c r="C43" s="99"/>
      <c r="D43" s="99"/>
      <c r="E43" s="99"/>
      <c r="F43" s="99"/>
      <c r="G43" s="99"/>
      <c r="H43" s="99"/>
      <c r="I43" s="99"/>
      <c r="J43" s="99"/>
      <c r="K43" s="99"/>
      <c r="L43" s="95">
        <v>36</v>
      </c>
      <c r="M43" s="95" t="s">
        <v>257</v>
      </c>
      <c r="N43" s="99"/>
      <c r="O43" s="99"/>
      <c r="P43" s="99"/>
      <c r="Q43" s="99"/>
      <c r="R43" s="99"/>
      <c r="S43" s="99"/>
      <c r="T43" s="99"/>
      <c r="U43" s="99"/>
    </row>
    <row r="44" spans="1:21" ht="21.75" customHeight="1">
      <c r="A44" s="12"/>
      <c r="B44" s="95"/>
      <c r="C44" s="99"/>
      <c r="D44" s="99"/>
      <c r="E44" s="99"/>
      <c r="F44" s="99"/>
      <c r="G44" s="99"/>
      <c r="H44" s="99"/>
      <c r="I44" s="99"/>
      <c r="J44" s="99"/>
      <c r="K44" s="99"/>
      <c r="L44" s="95"/>
      <c r="M44" s="95" t="s">
        <v>258</v>
      </c>
      <c r="N44" s="99">
        <v>0</v>
      </c>
      <c r="O44" s="99">
        <v>0</v>
      </c>
      <c r="P44" s="99">
        <v>0</v>
      </c>
      <c r="Q44" s="99">
        <v>0</v>
      </c>
      <c r="R44" s="99">
        <v>0</v>
      </c>
      <c r="S44" s="99">
        <v>0</v>
      </c>
      <c r="T44" s="99">
        <v>0</v>
      </c>
      <c r="U44" s="99">
        <v>0</v>
      </c>
    </row>
    <row r="45" spans="1:21" ht="21.75" customHeight="1">
      <c r="A45" s="12">
        <v>12</v>
      </c>
      <c r="B45" s="95" t="s">
        <v>259</v>
      </c>
      <c r="C45" s="99"/>
      <c r="D45" s="99"/>
      <c r="E45" s="99"/>
      <c r="F45" s="99"/>
      <c r="G45" s="99"/>
      <c r="H45" s="99"/>
      <c r="I45" s="99"/>
      <c r="J45" s="99"/>
      <c r="K45" s="99"/>
      <c r="L45" s="95"/>
      <c r="M45" s="95"/>
      <c r="N45" s="99"/>
      <c r="O45" s="99"/>
      <c r="P45" s="99"/>
      <c r="Q45" s="99"/>
      <c r="R45" s="99"/>
      <c r="S45" s="99"/>
      <c r="T45" s="99"/>
      <c r="U45" s="99"/>
    </row>
    <row r="46" spans="1:21" ht="21.75" customHeight="1">
      <c r="A46" s="12"/>
      <c r="B46" s="95" t="s">
        <v>260</v>
      </c>
      <c r="C46" s="99">
        <v>5</v>
      </c>
      <c r="D46" s="99">
        <v>5</v>
      </c>
      <c r="E46" s="99">
        <v>5</v>
      </c>
      <c r="F46" s="99">
        <v>5</v>
      </c>
      <c r="G46" s="99">
        <v>5</v>
      </c>
      <c r="H46" s="99">
        <v>5</v>
      </c>
      <c r="I46" s="99">
        <v>5</v>
      </c>
      <c r="J46" s="99">
        <v>5</v>
      </c>
      <c r="K46" s="99"/>
      <c r="L46" s="95">
        <v>37</v>
      </c>
      <c r="M46" s="95" t="s">
        <v>261</v>
      </c>
      <c r="N46" s="99"/>
      <c r="O46" s="99"/>
      <c r="P46" s="99"/>
      <c r="Q46" s="99"/>
      <c r="R46" s="99"/>
      <c r="S46" s="99"/>
      <c r="T46" s="99"/>
      <c r="U46" s="99"/>
    </row>
    <row r="47" spans="1:21" ht="21.75" customHeight="1">
      <c r="A47" s="12"/>
      <c r="B47" s="95" t="s">
        <v>262</v>
      </c>
      <c r="C47" s="99"/>
      <c r="D47" s="99"/>
      <c r="E47" s="99"/>
      <c r="F47" s="99"/>
      <c r="G47" s="99"/>
      <c r="H47" s="99"/>
      <c r="I47" s="99"/>
      <c r="J47" s="99"/>
      <c r="K47" s="99"/>
      <c r="L47" s="95"/>
      <c r="M47" s="95" t="s">
        <v>263</v>
      </c>
      <c r="N47" s="99">
        <v>5</v>
      </c>
      <c r="O47" s="99">
        <v>30</v>
      </c>
      <c r="P47" s="99">
        <v>130</v>
      </c>
      <c r="Q47" s="99">
        <v>260</v>
      </c>
      <c r="R47" s="99">
        <v>410</v>
      </c>
      <c r="S47" s="99">
        <v>580</v>
      </c>
      <c r="T47" s="99">
        <v>765</v>
      </c>
      <c r="U47" s="99">
        <v>980</v>
      </c>
    </row>
    <row r="48" spans="1:21" ht="16.5" customHeight="1" thickBot="1">
      <c r="A48" s="12"/>
      <c r="B48" s="95" t="s">
        <v>242</v>
      </c>
      <c r="C48" s="97"/>
      <c r="D48" s="97"/>
      <c r="E48" s="97"/>
      <c r="F48" s="97"/>
      <c r="G48" s="97"/>
      <c r="H48" s="97"/>
      <c r="I48" s="97"/>
      <c r="J48" s="97"/>
      <c r="K48" s="97"/>
      <c r="L48" s="95"/>
      <c r="M48" s="95"/>
      <c r="N48" s="99"/>
      <c r="O48" s="99"/>
      <c r="P48" s="99"/>
      <c r="Q48" s="99"/>
      <c r="R48" s="99"/>
      <c r="S48" s="99"/>
      <c r="T48" s="99"/>
      <c r="U48" s="99"/>
    </row>
    <row r="49" spans="1:21" ht="21.75" customHeight="1" thickBot="1">
      <c r="A49" s="16"/>
      <c r="B49" s="95" t="s">
        <v>264</v>
      </c>
      <c r="C49" s="97">
        <f t="shared" ref="C49:H49" si="3">SUM(C15:C48)</f>
        <v>144.32999999999998</v>
      </c>
      <c r="D49" s="97">
        <f t="shared" si="3"/>
        <v>144.97</v>
      </c>
      <c r="E49" s="97">
        <f t="shared" si="3"/>
        <v>145.38999999999999</v>
      </c>
      <c r="F49" s="97">
        <f t="shared" si="3"/>
        <v>145.57</v>
      </c>
      <c r="G49" s="97">
        <f t="shared" si="3"/>
        <v>145.78</v>
      </c>
      <c r="H49" s="97">
        <f t="shared" si="3"/>
        <v>145.97999999999999</v>
      </c>
      <c r="I49" s="97">
        <f>SUM(I15:I48)</f>
        <v>134.95999999999998</v>
      </c>
      <c r="J49" s="97">
        <f>SUM(J15:J48)</f>
        <v>12.09</v>
      </c>
      <c r="K49" s="97"/>
      <c r="L49" s="95"/>
      <c r="M49" s="95"/>
      <c r="N49" s="99"/>
      <c r="O49" s="99"/>
      <c r="P49" s="99"/>
      <c r="Q49" s="99"/>
      <c r="R49" s="99"/>
      <c r="S49" s="99"/>
      <c r="T49" s="99"/>
      <c r="U49" s="99"/>
    </row>
    <row r="50" spans="1:21" ht="14.25" customHeight="1" thickBot="1">
      <c r="A50" s="12"/>
      <c r="B50" s="95"/>
      <c r="C50" s="97"/>
      <c r="D50" s="97"/>
      <c r="E50" s="97"/>
      <c r="F50" s="97"/>
      <c r="G50" s="97"/>
      <c r="H50" s="97"/>
      <c r="I50" s="97"/>
      <c r="J50" s="97"/>
      <c r="K50" s="97"/>
      <c r="L50" s="95"/>
      <c r="M50" s="95"/>
      <c r="N50" s="97"/>
      <c r="O50" s="97"/>
      <c r="P50" s="97"/>
      <c r="Q50" s="97"/>
      <c r="R50" s="97"/>
      <c r="S50" s="97"/>
      <c r="T50" s="97"/>
      <c r="U50" s="97"/>
    </row>
    <row r="51" spans="1:21" ht="36.75" customHeight="1" thickBot="1">
      <c r="A51" s="16">
        <v>13</v>
      </c>
      <c r="B51" s="101" t="s">
        <v>265</v>
      </c>
      <c r="C51" s="97">
        <f t="shared" ref="C51:J51" si="4">+C49+C14</f>
        <v>194.32999999999998</v>
      </c>
      <c r="D51" s="97">
        <f t="shared" si="4"/>
        <v>194.97</v>
      </c>
      <c r="E51" s="97">
        <f t="shared" si="4"/>
        <v>195.39</v>
      </c>
      <c r="F51" s="97">
        <f t="shared" si="4"/>
        <v>195.57</v>
      </c>
      <c r="G51" s="97">
        <f t="shared" si="4"/>
        <v>195.78</v>
      </c>
      <c r="H51" s="97">
        <f t="shared" si="4"/>
        <v>195.98</v>
      </c>
      <c r="I51" s="97">
        <f t="shared" si="4"/>
        <v>184.95999999999998</v>
      </c>
      <c r="J51" s="97">
        <f t="shared" si="4"/>
        <v>62.09</v>
      </c>
      <c r="K51" s="97"/>
      <c r="L51" s="95">
        <v>38</v>
      </c>
      <c r="M51" s="95" t="s">
        <v>266</v>
      </c>
      <c r="N51" s="97">
        <f t="shared" ref="N51:U51" si="5">SUM(N5:N50)</f>
        <v>257.79000000000002</v>
      </c>
      <c r="O51" s="97">
        <f t="shared" si="5"/>
        <v>380.31000000000006</v>
      </c>
      <c r="P51" s="97">
        <f t="shared" si="5"/>
        <v>508.49</v>
      </c>
      <c r="Q51" s="97">
        <f t="shared" si="5"/>
        <v>654.78</v>
      </c>
      <c r="R51" s="97">
        <f t="shared" si="5"/>
        <v>819.86</v>
      </c>
      <c r="S51" s="97">
        <f t="shared" si="5"/>
        <v>1003.6699999999998</v>
      </c>
      <c r="T51" s="97">
        <f t="shared" si="5"/>
        <v>1206.72</v>
      </c>
      <c r="U51" s="97">
        <f t="shared" si="5"/>
        <v>1441.88</v>
      </c>
    </row>
    <row r="52" spans="1:21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21.75" customHeight="1">
      <c r="A53" s="5"/>
      <c r="B53" s="4" t="s">
        <v>202</v>
      </c>
      <c r="C53" s="5">
        <f>+'Profit &amp; Loss Statement'!C61</f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26"/>
      <c r="T53" s="26"/>
      <c r="U53" s="26" t="s">
        <v>267</v>
      </c>
    </row>
    <row r="55" spans="1:21" ht="18.75" thickBot="1">
      <c r="B55" s="5" t="s">
        <v>268</v>
      </c>
      <c r="C55" s="5"/>
      <c r="D55" s="5"/>
      <c r="E55" s="5"/>
      <c r="F55" s="5"/>
      <c r="G55" s="5"/>
      <c r="H55" s="5"/>
      <c r="I55" s="5"/>
      <c r="J55" s="5"/>
      <c r="K55" s="5"/>
    </row>
    <row r="56" spans="1:21" ht="18.75" thickBot="1">
      <c r="B56" s="5" t="s">
        <v>269</v>
      </c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30"/>
    </row>
  </sheetData>
  <mergeCells count="3">
    <mergeCell ref="N1:S1"/>
    <mergeCell ref="C2:J2"/>
    <mergeCell ref="N2:U2"/>
  </mergeCells>
  <phoneticPr fontId="0" type="noConversion"/>
  <printOptions gridLines="1"/>
  <pageMargins left="0.44" right="0.28000000000000003" top="0.55000000000000004" bottom="0.47" header="0.39" footer="0.5"/>
  <pageSetup scale="58" orientation="portrait" blackAndWhite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03E3-5485-4EDF-9C7D-01580F96B6C7}">
  <sheetPr>
    <pageSetUpPr fitToPage="1"/>
  </sheetPr>
  <dimension ref="A1:U58"/>
  <sheetViews>
    <sheetView zoomScale="60" zoomScaleNormal="60" workbookViewId="0">
      <selection activeCell="B2" sqref="B2"/>
    </sheetView>
  </sheetViews>
  <sheetFormatPr defaultColWidth="8.6640625" defaultRowHeight="15"/>
  <cols>
    <col min="1" max="1" width="3.6640625" customWidth="1"/>
    <col min="2" max="2" width="18.88671875" customWidth="1"/>
    <col min="3" max="5" width="12.5546875" customWidth="1"/>
    <col min="6" max="6" width="12.33203125" customWidth="1"/>
    <col min="7" max="7" width="11.6640625" customWidth="1"/>
    <col min="8" max="10" width="12.33203125" customWidth="1"/>
    <col min="11" max="12" width="4.6640625" customWidth="1"/>
    <col min="13" max="13" width="18.33203125" customWidth="1"/>
    <col min="14" max="14" width="12.33203125" customWidth="1"/>
    <col min="15" max="17" width="12.109375" customWidth="1"/>
    <col min="18" max="21" width="12.33203125" customWidth="1"/>
  </cols>
  <sheetData>
    <row r="1" spans="1:21" ht="21.75" customHeight="1" thickBot="1">
      <c r="A1" s="5"/>
      <c r="B1" s="5" t="s">
        <v>270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21.75" customHeight="1" thickBot="1">
      <c r="A2" s="16"/>
      <c r="B2" s="14"/>
      <c r="C2" s="173" t="s">
        <v>206</v>
      </c>
      <c r="D2" s="174"/>
      <c r="E2" s="174"/>
      <c r="F2" s="174"/>
      <c r="G2" s="174"/>
      <c r="H2" s="174"/>
      <c r="I2" s="174"/>
      <c r="J2" s="174"/>
      <c r="K2" s="27"/>
      <c r="L2" s="13"/>
      <c r="M2" s="14"/>
      <c r="N2" s="175" t="s">
        <v>206</v>
      </c>
      <c r="O2" s="176"/>
      <c r="P2" s="176"/>
      <c r="Q2" s="176"/>
      <c r="R2" s="176"/>
      <c r="S2" s="176"/>
      <c r="T2" s="176"/>
      <c r="U2" s="176"/>
    </row>
    <row r="3" spans="1:21" ht="21.75" customHeight="1">
      <c r="A3" s="12"/>
      <c r="B3" s="95" t="s">
        <v>208</v>
      </c>
      <c r="C3" s="94" t="str">
        <f>+'Balance Sheet'!C3</f>
        <v>31.03.2022</v>
      </c>
      <c r="D3" s="94" t="str">
        <f>+'Balance Sheet'!D3</f>
        <v>31.03.2023</v>
      </c>
      <c r="E3" s="94">
        <f>+'Balance Sheet'!E3</f>
        <v>45382</v>
      </c>
      <c r="F3" s="94">
        <f>+'Balance Sheet'!F3</f>
        <v>45747</v>
      </c>
      <c r="G3" s="94">
        <f>+'Balance Sheet'!G3</f>
        <v>46112</v>
      </c>
      <c r="H3" s="94">
        <f>+'Balance Sheet'!H3</f>
        <v>46477</v>
      </c>
      <c r="I3" s="94" t="str">
        <f>+'Balance Sheet'!I3</f>
        <v>31.03.2028</v>
      </c>
      <c r="J3" s="94" t="str">
        <f>+'Balance Sheet'!J3</f>
        <v>31.03.2029</v>
      </c>
      <c r="K3" s="94"/>
      <c r="L3" s="102"/>
      <c r="M3" s="102" t="str">
        <f>+'Balance Sheet'!M3</f>
        <v>ASSETS</v>
      </c>
      <c r="N3" s="94" t="str">
        <f>+'Balance Sheet'!N3</f>
        <v>31.03.2022</v>
      </c>
      <c r="O3" s="94" t="str">
        <f>+'Balance Sheet'!O3</f>
        <v>31.03.2023</v>
      </c>
      <c r="P3" s="94">
        <f>+'Balance Sheet'!P3</f>
        <v>45382</v>
      </c>
      <c r="Q3" s="94">
        <f>+'Balance Sheet'!Q3</f>
        <v>45747</v>
      </c>
      <c r="R3" s="94">
        <f>+'Balance Sheet'!R3</f>
        <v>46112</v>
      </c>
      <c r="S3" s="94">
        <f>+'Balance Sheet'!S3</f>
        <v>46477</v>
      </c>
      <c r="T3" s="94" t="str">
        <f>+'Balance Sheet'!T3</f>
        <v>31.03.2028</v>
      </c>
      <c r="U3" s="94" t="str">
        <f>+'Balance Sheet'!U3</f>
        <v>31.03.2029</v>
      </c>
    </row>
    <row r="4" spans="1:21" ht="21.75" customHeight="1" thickBot="1">
      <c r="A4" s="10"/>
      <c r="B4" s="95"/>
      <c r="C4" s="94" t="str">
        <f>+'Balance Sheet'!C4</f>
        <v>Actuals</v>
      </c>
      <c r="D4" s="94" t="str">
        <f>+'Balance Sheet'!D4</f>
        <v>Actuals</v>
      </c>
      <c r="E4" s="94" t="str">
        <f>+'Balance Sheet'!E4</f>
        <v>Actuals</v>
      </c>
      <c r="F4" s="94" t="str">
        <f>+'Balance Sheet'!F4</f>
        <v>Estimated</v>
      </c>
      <c r="G4" s="94" t="str">
        <f>+'Balance Sheet'!G4</f>
        <v>Projected</v>
      </c>
      <c r="H4" s="94" t="str">
        <f>+'Balance Sheet'!H4</f>
        <v>Projected</v>
      </c>
      <c r="I4" s="94" t="str">
        <f>+'Balance Sheet'!I4</f>
        <v>Projected</v>
      </c>
      <c r="J4" s="94" t="str">
        <f>+'Balance Sheet'!J4</f>
        <v>Projected</v>
      </c>
      <c r="K4" s="94"/>
      <c r="L4" s="102"/>
      <c r="M4" s="102"/>
      <c r="N4" s="94" t="str">
        <f>+'Balance Sheet'!N4</f>
        <v>Actuals</v>
      </c>
      <c r="O4" s="94" t="str">
        <f>+'Balance Sheet'!O4</f>
        <v>Actuals</v>
      </c>
      <c r="P4" s="94" t="str">
        <f>+'Balance Sheet'!P4</f>
        <v>Actuals</v>
      </c>
      <c r="Q4" s="94" t="str">
        <f>+'Balance Sheet'!Q4</f>
        <v>Estimated</v>
      </c>
      <c r="R4" s="94" t="str">
        <f>+'Balance Sheet'!R4</f>
        <v>Projected</v>
      </c>
      <c r="S4" s="94" t="str">
        <f>+'Balance Sheet'!S4</f>
        <v>Projected</v>
      </c>
      <c r="T4" s="94" t="str">
        <f>+'Balance Sheet'!T4</f>
        <v>Projected</v>
      </c>
      <c r="U4" s="94" t="str">
        <f>+'Balance Sheet'!U4</f>
        <v>Projected</v>
      </c>
    </row>
    <row r="5" spans="1:21" ht="16.5" customHeight="1">
      <c r="A5" s="12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</row>
    <row r="6" spans="1:21" ht="21.75" customHeight="1">
      <c r="A6" s="12"/>
      <c r="B6" s="95" t="s">
        <v>271</v>
      </c>
      <c r="C6" s="103"/>
      <c r="D6" s="103"/>
      <c r="E6" s="103"/>
      <c r="F6" s="103"/>
      <c r="G6" s="103"/>
      <c r="H6" s="103"/>
      <c r="I6" s="103"/>
      <c r="J6" s="103"/>
      <c r="K6" s="103"/>
      <c r="L6" s="95"/>
      <c r="M6" s="95" t="s">
        <v>272</v>
      </c>
      <c r="N6" s="95"/>
      <c r="O6" s="95"/>
      <c r="P6" s="95"/>
      <c r="Q6" s="95"/>
      <c r="R6" s="95"/>
      <c r="S6" s="95"/>
      <c r="T6" s="95"/>
      <c r="U6" s="95"/>
    </row>
    <row r="7" spans="1:21" ht="16.5" customHeight="1">
      <c r="A7" s="12"/>
      <c r="B7" s="95"/>
      <c r="C7" s="103"/>
      <c r="D7" s="103"/>
      <c r="E7" s="103"/>
      <c r="F7" s="103"/>
      <c r="G7" s="103"/>
      <c r="H7" s="103" t="s">
        <v>273</v>
      </c>
      <c r="I7" s="103" t="s">
        <v>273</v>
      </c>
      <c r="J7" s="103" t="s">
        <v>273</v>
      </c>
      <c r="K7" s="103"/>
      <c r="L7" s="95"/>
      <c r="M7" s="95"/>
      <c r="N7" s="95"/>
      <c r="O7" s="95"/>
      <c r="P7" s="95"/>
      <c r="Q7" s="95"/>
      <c r="R7" s="95"/>
      <c r="S7" s="95"/>
      <c r="T7" s="95"/>
      <c r="U7" s="95"/>
    </row>
    <row r="8" spans="1:21" ht="21.75" customHeight="1">
      <c r="A8" s="12">
        <v>14</v>
      </c>
      <c r="B8" s="95" t="s">
        <v>274</v>
      </c>
      <c r="C8" s="103" t="s">
        <v>242</v>
      </c>
      <c r="D8" s="103" t="s">
        <v>242</v>
      </c>
      <c r="E8" s="103" t="s">
        <v>242</v>
      </c>
      <c r="F8" s="103"/>
      <c r="G8" s="103"/>
      <c r="H8" s="103" t="s">
        <v>242</v>
      </c>
      <c r="I8" s="103" t="s">
        <v>242</v>
      </c>
      <c r="J8" s="103" t="s">
        <v>242</v>
      </c>
      <c r="K8" s="103"/>
      <c r="L8" s="95">
        <v>39</v>
      </c>
      <c r="M8" s="95" t="s">
        <v>275</v>
      </c>
      <c r="N8" s="99">
        <v>1253.5</v>
      </c>
      <c r="O8" s="99">
        <f t="shared" ref="O8:U8" si="0">+N8</f>
        <v>1253.5</v>
      </c>
      <c r="P8" s="99">
        <f t="shared" si="0"/>
        <v>1253.5</v>
      </c>
      <c r="Q8" s="99">
        <f t="shared" si="0"/>
        <v>1253.5</v>
      </c>
      <c r="R8" s="99">
        <f t="shared" si="0"/>
        <v>1253.5</v>
      </c>
      <c r="S8" s="99">
        <f t="shared" si="0"/>
        <v>1253.5</v>
      </c>
      <c r="T8" s="99">
        <f t="shared" si="0"/>
        <v>1253.5</v>
      </c>
      <c r="U8" s="99">
        <f t="shared" si="0"/>
        <v>1253.5</v>
      </c>
    </row>
    <row r="9" spans="1:21" ht="21.75" customHeight="1">
      <c r="A9" s="12"/>
      <c r="B9" s="95" t="s">
        <v>276</v>
      </c>
      <c r="C9" s="99">
        <v>0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/>
      <c r="L9" s="95"/>
      <c r="M9" s="95" t="s">
        <v>242</v>
      </c>
      <c r="N9" s="99"/>
      <c r="O9" s="99"/>
      <c r="P9" s="99"/>
      <c r="Q9" s="99"/>
      <c r="R9" s="99"/>
      <c r="S9" s="99"/>
      <c r="T9" s="99"/>
      <c r="U9" s="99"/>
    </row>
    <row r="10" spans="1:21" ht="21.75" customHeight="1">
      <c r="A10" s="12"/>
      <c r="B10" s="95" t="s">
        <v>242</v>
      </c>
      <c r="C10" s="99" t="s">
        <v>242</v>
      </c>
      <c r="D10" s="99" t="s">
        <v>242</v>
      </c>
      <c r="E10" s="99" t="s">
        <v>242</v>
      </c>
      <c r="F10" s="99"/>
      <c r="G10" s="99"/>
      <c r="H10" s="99" t="s">
        <v>242</v>
      </c>
      <c r="I10" s="99" t="s">
        <v>242</v>
      </c>
      <c r="J10" s="99" t="s">
        <v>242</v>
      </c>
      <c r="K10" s="99"/>
      <c r="L10" s="95">
        <v>40</v>
      </c>
      <c r="M10" s="95" t="s">
        <v>277</v>
      </c>
      <c r="N10" s="99">
        <f>+'Profit &amp; Loss Statement'!D29</f>
        <v>87.18</v>
      </c>
      <c r="O10" s="99">
        <f>+N10+'Profit &amp; Loss Statement'!E29</f>
        <v>249.41</v>
      </c>
      <c r="P10" s="99">
        <f>+O10+'Profit &amp; Loss Statement'!F29</f>
        <v>389.08</v>
      </c>
      <c r="Q10" s="99">
        <f>+P10+'Profit &amp; Loss Statement'!G29</f>
        <v>509.32</v>
      </c>
      <c r="R10" s="99">
        <f>+Q10+'Profit &amp; Loss Statement'!H29</f>
        <v>612.83000000000004</v>
      </c>
      <c r="S10" s="99">
        <f>+R10+'Profit &amp; Loss Statement'!I29</f>
        <v>701.95</v>
      </c>
      <c r="T10" s="99">
        <f>+S10+'Profit &amp; Loss Statement'!J29</f>
        <v>778.67000000000007</v>
      </c>
      <c r="U10" s="99">
        <f>+T10+'Profit &amp; Loss Statement'!K29</f>
        <v>844.72</v>
      </c>
    </row>
    <row r="11" spans="1:21" ht="21.75" customHeight="1">
      <c r="A11" s="12">
        <v>15</v>
      </c>
      <c r="B11" s="95" t="s">
        <v>278</v>
      </c>
      <c r="C11" s="99"/>
      <c r="D11" s="99"/>
      <c r="E11" s="99"/>
      <c r="F11" s="99"/>
      <c r="G11" s="99"/>
      <c r="H11" s="99"/>
      <c r="I11" s="99"/>
      <c r="J11" s="99"/>
      <c r="K11" s="99"/>
      <c r="L11" s="95"/>
      <c r="M11" s="95" t="s">
        <v>279</v>
      </c>
      <c r="N11" s="97"/>
      <c r="O11" s="97"/>
      <c r="P11" s="97"/>
      <c r="Q11" s="97"/>
      <c r="R11" s="97"/>
      <c r="S11" s="97"/>
      <c r="T11" s="97"/>
      <c r="U11" s="97"/>
    </row>
    <row r="12" spans="1:21" ht="21.75" customHeight="1">
      <c r="A12" s="12"/>
      <c r="B12" s="95" t="s">
        <v>280</v>
      </c>
      <c r="C12" s="99">
        <v>0</v>
      </c>
      <c r="D12" s="99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/>
      <c r="L12" s="95"/>
      <c r="M12" s="95" t="s">
        <v>242</v>
      </c>
      <c r="N12" s="97"/>
      <c r="O12" s="97"/>
      <c r="P12" s="97"/>
      <c r="Q12" s="97"/>
      <c r="R12" s="97"/>
      <c r="S12" s="97"/>
      <c r="T12" s="97"/>
      <c r="U12" s="97"/>
    </row>
    <row r="13" spans="1:21" ht="21.75" customHeight="1">
      <c r="A13" s="12"/>
      <c r="B13" s="95"/>
      <c r="C13" s="99" t="s">
        <v>242</v>
      </c>
      <c r="D13" s="99" t="s">
        <v>242</v>
      </c>
      <c r="E13" s="99" t="s">
        <v>242</v>
      </c>
      <c r="F13" s="99"/>
      <c r="G13" s="99"/>
      <c r="H13" s="99" t="s">
        <v>242</v>
      </c>
      <c r="I13" s="99" t="s">
        <v>242</v>
      </c>
      <c r="J13" s="99" t="s">
        <v>242</v>
      </c>
      <c r="K13" s="99"/>
      <c r="L13" s="95">
        <v>41</v>
      </c>
      <c r="M13" s="95" t="s">
        <v>281</v>
      </c>
      <c r="N13" s="97">
        <f t="shared" ref="N13:S13" si="1">N8-N10</f>
        <v>1166.32</v>
      </c>
      <c r="O13" s="97">
        <f t="shared" si="1"/>
        <v>1004.09</v>
      </c>
      <c r="P13" s="97">
        <f t="shared" si="1"/>
        <v>864.42000000000007</v>
      </c>
      <c r="Q13" s="97">
        <f t="shared" si="1"/>
        <v>744.18000000000006</v>
      </c>
      <c r="R13" s="97">
        <f t="shared" si="1"/>
        <v>640.66999999999996</v>
      </c>
      <c r="S13" s="97">
        <f t="shared" si="1"/>
        <v>551.54999999999995</v>
      </c>
      <c r="T13" s="97">
        <f>T8-T10</f>
        <v>474.82999999999993</v>
      </c>
      <c r="U13" s="97">
        <f>U8-U10</f>
        <v>408.78</v>
      </c>
    </row>
    <row r="14" spans="1:21" ht="21.75" customHeight="1">
      <c r="A14" s="12">
        <v>16</v>
      </c>
      <c r="B14" s="95" t="s">
        <v>282</v>
      </c>
      <c r="C14" s="99">
        <v>794.52</v>
      </c>
      <c r="D14" s="99">
        <v>660.23</v>
      </c>
      <c r="E14" s="99">
        <v>525.94000000000005</v>
      </c>
      <c r="F14" s="99">
        <v>391.65</v>
      </c>
      <c r="G14" s="99">
        <v>257.36</v>
      </c>
      <c r="H14" s="99">
        <v>123.07</v>
      </c>
      <c r="I14" s="99">
        <v>0</v>
      </c>
      <c r="J14" s="99">
        <v>0</v>
      </c>
      <c r="K14" s="99"/>
      <c r="L14" s="95"/>
      <c r="M14" s="95"/>
      <c r="N14" s="97"/>
      <c r="O14" s="97"/>
      <c r="P14" s="97"/>
      <c r="Q14" s="97"/>
      <c r="R14" s="97"/>
      <c r="S14" s="97"/>
      <c r="T14" s="97"/>
      <c r="U14" s="97"/>
    </row>
    <row r="15" spans="1:21" ht="21.75" customHeight="1">
      <c r="A15" s="12"/>
      <c r="B15" s="95"/>
      <c r="C15" s="99" t="s">
        <v>242</v>
      </c>
      <c r="D15" s="99" t="s">
        <v>242</v>
      </c>
      <c r="E15" s="99" t="s">
        <v>242</v>
      </c>
      <c r="F15" s="99"/>
      <c r="G15" s="99"/>
      <c r="H15" s="99" t="s">
        <v>242</v>
      </c>
      <c r="I15" s="99" t="s">
        <v>242</v>
      </c>
      <c r="J15" s="99" t="s">
        <v>242</v>
      </c>
      <c r="K15" s="99"/>
      <c r="L15" s="95"/>
      <c r="M15" s="95" t="s">
        <v>283</v>
      </c>
      <c r="N15" s="97"/>
      <c r="O15" s="97"/>
      <c r="P15" s="97" t="s">
        <v>242</v>
      </c>
      <c r="Q15" s="97"/>
      <c r="R15" s="97"/>
      <c r="S15" s="97" t="s">
        <v>242</v>
      </c>
      <c r="T15" s="97" t="s">
        <v>242</v>
      </c>
      <c r="U15" s="97" t="s">
        <v>242</v>
      </c>
    </row>
    <row r="16" spans="1:21" ht="21.75" customHeight="1">
      <c r="A16" s="12">
        <v>17</v>
      </c>
      <c r="B16" s="95" t="s">
        <v>284</v>
      </c>
      <c r="C16" s="99"/>
      <c r="D16" s="99"/>
      <c r="E16" s="99"/>
      <c r="F16" s="99"/>
      <c r="G16" s="99"/>
      <c r="H16" s="99"/>
      <c r="I16" s="99"/>
      <c r="J16" s="99"/>
      <c r="K16" s="99"/>
      <c r="L16" s="95"/>
      <c r="M16" s="95" t="s">
        <v>285</v>
      </c>
      <c r="N16" s="97"/>
      <c r="O16" s="97"/>
      <c r="P16" s="97"/>
      <c r="Q16" s="97"/>
      <c r="R16" s="97"/>
      <c r="S16" s="97"/>
      <c r="T16" s="97"/>
      <c r="U16" s="97"/>
    </row>
    <row r="17" spans="1:21" ht="21.75" customHeight="1">
      <c r="A17" s="12"/>
      <c r="B17" s="95" t="s">
        <v>286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/>
      <c r="L17" s="95"/>
      <c r="M17" s="95" t="s">
        <v>242</v>
      </c>
      <c r="N17" s="97"/>
      <c r="O17" s="97"/>
      <c r="P17" s="97"/>
      <c r="Q17" s="97"/>
      <c r="R17" s="97"/>
      <c r="S17" s="97"/>
      <c r="T17" s="97"/>
      <c r="U17" s="97"/>
    </row>
    <row r="18" spans="1:21" ht="21.75" customHeight="1">
      <c r="A18" s="12"/>
      <c r="B18" s="95" t="s">
        <v>242</v>
      </c>
      <c r="C18" s="99"/>
      <c r="D18" s="99"/>
      <c r="E18" s="99"/>
      <c r="F18" s="99"/>
      <c r="G18" s="99"/>
      <c r="H18" s="99"/>
      <c r="I18" s="99"/>
      <c r="J18" s="99"/>
      <c r="K18" s="99"/>
      <c r="L18" s="95">
        <v>42</v>
      </c>
      <c r="M18" s="95" t="s">
        <v>287</v>
      </c>
      <c r="N18" s="99">
        <v>0</v>
      </c>
      <c r="O18" s="99">
        <v>0</v>
      </c>
      <c r="P18" s="99">
        <v>0</v>
      </c>
      <c r="Q18" s="99">
        <v>0</v>
      </c>
      <c r="R18" s="99">
        <v>0</v>
      </c>
      <c r="S18" s="99">
        <v>0</v>
      </c>
      <c r="T18" s="99">
        <v>0</v>
      </c>
      <c r="U18" s="99">
        <v>0</v>
      </c>
    </row>
    <row r="19" spans="1:21" ht="21.75" customHeight="1">
      <c r="A19" s="12">
        <v>18</v>
      </c>
      <c r="B19" s="95" t="s">
        <v>288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/>
      <c r="L19" s="95"/>
      <c r="M19" s="95" t="s">
        <v>289</v>
      </c>
      <c r="N19" s="99"/>
      <c r="O19" s="99"/>
      <c r="P19" s="99"/>
      <c r="Q19" s="99"/>
      <c r="R19" s="99"/>
      <c r="S19" s="99"/>
      <c r="T19" s="99"/>
      <c r="U19" s="99"/>
    </row>
    <row r="20" spans="1:21" ht="21.75" customHeight="1">
      <c r="A20" s="12"/>
      <c r="B20" s="95" t="s">
        <v>290</v>
      </c>
      <c r="C20" s="99"/>
      <c r="D20" s="99"/>
      <c r="E20" s="99"/>
      <c r="F20" s="99"/>
      <c r="G20" s="99"/>
      <c r="H20" s="99"/>
      <c r="I20" s="99"/>
      <c r="J20" s="99"/>
      <c r="K20" s="99"/>
      <c r="L20" s="95"/>
      <c r="M20" s="95" t="s">
        <v>291</v>
      </c>
      <c r="N20" s="99"/>
      <c r="O20" s="99"/>
      <c r="P20" s="99"/>
      <c r="Q20" s="99"/>
      <c r="R20" s="99"/>
      <c r="S20" s="99"/>
      <c r="T20" s="99"/>
      <c r="U20" s="99"/>
    </row>
    <row r="21" spans="1:21" ht="21.75" customHeight="1">
      <c r="A21" s="12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5"/>
      <c r="M21" s="95"/>
      <c r="N21" s="99"/>
      <c r="O21" s="99"/>
      <c r="P21" s="99"/>
      <c r="Q21" s="99"/>
      <c r="R21" s="99"/>
      <c r="S21" s="99"/>
      <c r="T21" s="99"/>
      <c r="U21" s="99"/>
    </row>
    <row r="22" spans="1:21" ht="21.75" customHeight="1">
      <c r="A22" s="12">
        <v>19</v>
      </c>
      <c r="B22" s="95" t="s">
        <v>292</v>
      </c>
      <c r="C22" s="99">
        <v>90</v>
      </c>
      <c r="D22" s="99">
        <f>+C22</f>
        <v>90</v>
      </c>
      <c r="E22" s="99">
        <f t="shared" ref="E22:J22" si="2">+D22</f>
        <v>90</v>
      </c>
      <c r="F22" s="99">
        <f t="shared" si="2"/>
        <v>90</v>
      </c>
      <c r="G22" s="99">
        <f t="shared" si="2"/>
        <v>90</v>
      </c>
      <c r="H22" s="99">
        <f t="shared" si="2"/>
        <v>90</v>
      </c>
      <c r="I22" s="99">
        <f t="shared" si="2"/>
        <v>90</v>
      </c>
      <c r="J22" s="99">
        <f t="shared" si="2"/>
        <v>90</v>
      </c>
      <c r="K22" s="99"/>
      <c r="L22" s="95"/>
      <c r="M22" s="95" t="s">
        <v>293</v>
      </c>
      <c r="N22" s="99" t="s">
        <v>242</v>
      </c>
      <c r="O22" s="99" t="s">
        <v>242</v>
      </c>
      <c r="P22" s="99" t="s">
        <v>242</v>
      </c>
      <c r="Q22" s="99"/>
      <c r="R22" s="99"/>
      <c r="S22" s="99" t="s">
        <v>242</v>
      </c>
      <c r="T22" s="99" t="s">
        <v>242</v>
      </c>
      <c r="U22" s="99" t="s">
        <v>242</v>
      </c>
    </row>
    <row r="23" spans="1:21" ht="21.75" customHeight="1" thickBot="1">
      <c r="A23" s="12"/>
      <c r="B23" s="95" t="s">
        <v>294</v>
      </c>
      <c r="C23" s="99"/>
      <c r="D23" s="99"/>
      <c r="E23" s="99"/>
      <c r="F23" s="99"/>
      <c r="G23" s="99"/>
      <c r="H23" s="99"/>
      <c r="I23" s="99"/>
      <c r="J23" s="99"/>
      <c r="K23" s="99"/>
      <c r="L23" s="95"/>
      <c r="M23" s="95" t="s">
        <v>295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</row>
    <row r="24" spans="1:21" ht="21.75" customHeight="1">
      <c r="A24" s="13">
        <v>20</v>
      </c>
      <c r="B24" s="95" t="s">
        <v>296</v>
      </c>
      <c r="C24" s="97"/>
      <c r="D24" s="97"/>
      <c r="E24" s="97"/>
      <c r="F24" s="97"/>
      <c r="G24" s="97"/>
      <c r="H24" s="97"/>
      <c r="I24" s="97"/>
      <c r="J24" s="97"/>
      <c r="K24" s="97"/>
      <c r="L24" s="95"/>
      <c r="M24" s="95" t="s">
        <v>297</v>
      </c>
      <c r="N24" s="99"/>
      <c r="O24" s="99"/>
      <c r="P24" s="99"/>
      <c r="Q24" s="99"/>
      <c r="R24" s="99"/>
      <c r="S24" s="99"/>
      <c r="T24" s="99"/>
      <c r="U24" s="99"/>
    </row>
    <row r="25" spans="1:21" ht="21.75" customHeight="1" thickBot="1">
      <c r="A25" s="10"/>
      <c r="B25" s="95" t="s">
        <v>290</v>
      </c>
      <c r="C25" s="97">
        <f t="shared" ref="C25:H25" si="3">SUM(C6:C24)</f>
        <v>884.52</v>
      </c>
      <c r="D25" s="97">
        <f t="shared" si="3"/>
        <v>750.23</v>
      </c>
      <c r="E25" s="97">
        <f t="shared" si="3"/>
        <v>615.94000000000005</v>
      </c>
      <c r="F25" s="97">
        <f t="shared" si="3"/>
        <v>481.65</v>
      </c>
      <c r="G25" s="97">
        <f t="shared" si="3"/>
        <v>347.36</v>
      </c>
      <c r="H25" s="97">
        <f t="shared" si="3"/>
        <v>213.07</v>
      </c>
      <c r="I25" s="97">
        <f>SUM(I6:I24)</f>
        <v>90</v>
      </c>
      <c r="J25" s="97">
        <f>SUM(J6:J24)</f>
        <v>90</v>
      </c>
      <c r="K25" s="97"/>
      <c r="L25" s="95"/>
      <c r="M25" s="95" t="s">
        <v>242</v>
      </c>
      <c r="N25" s="99"/>
      <c r="O25" s="99"/>
      <c r="P25" s="99"/>
      <c r="Q25" s="99"/>
      <c r="R25" s="99"/>
      <c r="S25" s="99"/>
      <c r="T25" s="99"/>
      <c r="U25" s="99"/>
    </row>
    <row r="26" spans="1:21" ht="21.75" customHeight="1" thickBot="1">
      <c r="A26" s="12"/>
      <c r="B26" s="95"/>
      <c r="C26" s="97"/>
      <c r="D26" s="97"/>
      <c r="E26" s="97"/>
      <c r="F26" s="97"/>
      <c r="G26" s="97"/>
      <c r="H26" s="97"/>
      <c r="I26" s="97"/>
      <c r="J26" s="97"/>
      <c r="K26" s="97"/>
      <c r="L26" s="95"/>
      <c r="M26" s="95" t="s">
        <v>298</v>
      </c>
      <c r="N26" s="99" t="s">
        <v>242</v>
      </c>
      <c r="O26" s="99" t="s">
        <v>242</v>
      </c>
      <c r="P26" s="99" t="s">
        <v>242</v>
      </c>
      <c r="Q26" s="99"/>
      <c r="R26" s="99"/>
      <c r="S26" s="99" t="s">
        <v>242</v>
      </c>
      <c r="T26" s="99" t="s">
        <v>242</v>
      </c>
      <c r="U26" s="99" t="s">
        <v>242</v>
      </c>
    </row>
    <row r="27" spans="1:21" ht="21.75" customHeight="1">
      <c r="A27" s="13">
        <v>21</v>
      </c>
      <c r="B27" s="95" t="s">
        <v>299</v>
      </c>
      <c r="C27" s="97"/>
      <c r="D27" s="97"/>
      <c r="E27" s="97"/>
      <c r="F27" s="97"/>
      <c r="G27" s="97"/>
      <c r="H27" s="97"/>
      <c r="I27" s="97"/>
      <c r="J27" s="97"/>
      <c r="K27" s="97"/>
      <c r="L27" s="95"/>
      <c r="M27" s="95" t="s">
        <v>300</v>
      </c>
      <c r="N27" s="99">
        <v>0</v>
      </c>
      <c r="O27" s="99">
        <v>0</v>
      </c>
      <c r="P27" s="99">
        <v>0</v>
      </c>
      <c r="Q27" s="99">
        <v>0</v>
      </c>
      <c r="R27" s="99">
        <v>0</v>
      </c>
      <c r="S27" s="99">
        <v>0</v>
      </c>
      <c r="T27" s="99">
        <v>0</v>
      </c>
      <c r="U27" s="99">
        <v>0</v>
      </c>
    </row>
    <row r="28" spans="1:21" ht="21.75" customHeight="1" thickBot="1">
      <c r="A28" s="10"/>
      <c r="B28" s="95" t="s">
        <v>290</v>
      </c>
      <c r="C28" s="97">
        <f>C25+'Balance Sheet'!C51</f>
        <v>1078.8499999999999</v>
      </c>
      <c r="D28" s="97">
        <f>D25+'Balance Sheet'!D51</f>
        <v>945.2</v>
      </c>
      <c r="E28" s="97">
        <f>E25+'Balance Sheet'!E51</f>
        <v>811.33</v>
      </c>
      <c r="F28" s="97">
        <f>F25+'Balance Sheet'!F51</f>
        <v>677.22</v>
      </c>
      <c r="G28" s="97">
        <f>G25+'Balance Sheet'!G51</f>
        <v>543.14</v>
      </c>
      <c r="H28" s="97">
        <f>H25+'Balance Sheet'!H51</f>
        <v>409.04999999999995</v>
      </c>
      <c r="I28" s="97">
        <f>I25+'Balance Sheet'!I51</f>
        <v>274.95999999999998</v>
      </c>
      <c r="J28" s="97">
        <f>J25+'Balance Sheet'!J51</f>
        <v>152.09</v>
      </c>
      <c r="K28" s="97"/>
      <c r="L28" s="95"/>
      <c r="M28" s="95"/>
      <c r="N28" s="99"/>
      <c r="O28" s="99"/>
      <c r="P28" s="99"/>
      <c r="Q28" s="99"/>
      <c r="R28" s="99"/>
      <c r="S28" s="99"/>
      <c r="T28" s="99"/>
      <c r="U28" s="99"/>
    </row>
    <row r="29" spans="1:21" ht="15.75" customHeight="1">
      <c r="A29" s="12"/>
      <c r="B29" s="95"/>
      <c r="C29" s="97"/>
      <c r="D29" s="97"/>
      <c r="E29" s="97"/>
      <c r="F29" s="97"/>
      <c r="G29" s="97"/>
      <c r="H29" s="97"/>
      <c r="I29" s="97"/>
      <c r="J29" s="97"/>
      <c r="K29" s="97"/>
      <c r="L29" s="95"/>
      <c r="M29" s="95" t="s">
        <v>242</v>
      </c>
      <c r="N29" s="99"/>
      <c r="O29" s="99"/>
      <c r="P29" s="99"/>
      <c r="Q29" s="99"/>
      <c r="R29" s="99"/>
      <c r="S29" s="99"/>
      <c r="T29" s="99"/>
      <c r="U29" s="99"/>
    </row>
    <row r="30" spans="1:21" ht="21.75" customHeight="1">
      <c r="A30" s="12"/>
      <c r="B30" s="95" t="s">
        <v>301</v>
      </c>
      <c r="C30" s="97"/>
      <c r="D30" s="97"/>
      <c r="E30" s="97"/>
      <c r="F30" s="97"/>
      <c r="G30" s="97"/>
      <c r="H30" s="97"/>
      <c r="I30" s="97"/>
      <c r="J30" s="97"/>
      <c r="K30" s="97"/>
      <c r="L30" s="95"/>
      <c r="M30" s="95" t="s">
        <v>302</v>
      </c>
      <c r="N30" s="99"/>
      <c r="O30" s="99"/>
      <c r="P30" s="99"/>
      <c r="Q30" s="99"/>
      <c r="R30" s="99"/>
      <c r="S30" s="99"/>
      <c r="T30" s="99"/>
      <c r="U30" s="99"/>
    </row>
    <row r="31" spans="1:21" ht="21.75" customHeight="1">
      <c r="A31" s="12"/>
      <c r="B31" s="95" t="s">
        <v>242</v>
      </c>
      <c r="C31" s="97"/>
      <c r="D31" s="97" t="s">
        <v>242</v>
      </c>
      <c r="E31" s="97" t="s">
        <v>242</v>
      </c>
      <c r="F31" s="97"/>
      <c r="G31" s="97"/>
      <c r="H31" s="97" t="s">
        <v>242</v>
      </c>
      <c r="I31" s="97" t="s">
        <v>242</v>
      </c>
      <c r="J31" s="97" t="s">
        <v>242</v>
      </c>
      <c r="K31" s="97"/>
      <c r="L31" s="95"/>
      <c r="M31" s="95" t="s">
        <v>303</v>
      </c>
      <c r="N31" s="99">
        <v>0</v>
      </c>
      <c r="O31" s="99">
        <v>0</v>
      </c>
      <c r="P31" s="99">
        <v>0</v>
      </c>
      <c r="Q31" s="99">
        <v>0</v>
      </c>
      <c r="R31" s="99">
        <v>0</v>
      </c>
      <c r="S31" s="99">
        <v>0</v>
      </c>
      <c r="T31" s="99">
        <v>0</v>
      </c>
      <c r="U31" s="99">
        <v>0</v>
      </c>
    </row>
    <row r="32" spans="1:21" ht="21.75" customHeight="1">
      <c r="A32" s="12">
        <v>22</v>
      </c>
      <c r="B32" s="95" t="s">
        <v>304</v>
      </c>
      <c r="C32" s="99">
        <v>355</v>
      </c>
      <c r="D32" s="99">
        <f>+C32</f>
        <v>355</v>
      </c>
      <c r="E32" s="99">
        <f t="shared" ref="E32:J32" si="4">+D32</f>
        <v>355</v>
      </c>
      <c r="F32" s="99">
        <f t="shared" si="4"/>
        <v>355</v>
      </c>
      <c r="G32" s="99">
        <f t="shared" si="4"/>
        <v>355</v>
      </c>
      <c r="H32" s="99">
        <f t="shared" si="4"/>
        <v>355</v>
      </c>
      <c r="I32" s="99">
        <f t="shared" si="4"/>
        <v>355</v>
      </c>
      <c r="J32" s="99">
        <f t="shared" si="4"/>
        <v>355</v>
      </c>
      <c r="K32" s="97"/>
      <c r="L32" s="95"/>
      <c r="M32" s="95"/>
      <c r="N32" s="99"/>
      <c r="O32" s="99"/>
      <c r="P32" s="99"/>
      <c r="Q32" s="99"/>
      <c r="R32" s="99"/>
      <c r="S32" s="99"/>
      <c r="T32" s="99"/>
      <c r="U32" s="99"/>
    </row>
    <row r="33" spans="1:21" ht="21.75" customHeight="1">
      <c r="A33" s="12"/>
      <c r="B33" s="95"/>
      <c r="C33" s="99"/>
      <c r="D33" s="99"/>
      <c r="E33" s="99"/>
      <c r="F33" s="99"/>
      <c r="G33" s="99"/>
      <c r="H33" s="99"/>
      <c r="I33" s="99"/>
      <c r="J33" s="99"/>
      <c r="K33" s="99"/>
      <c r="L33" s="95"/>
      <c r="M33" s="95" t="s">
        <v>305</v>
      </c>
      <c r="N33" s="99">
        <v>0</v>
      </c>
      <c r="O33" s="99">
        <v>0</v>
      </c>
      <c r="P33" s="99">
        <v>0</v>
      </c>
      <c r="Q33" s="99">
        <v>0</v>
      </c>
      <c r="R33" s="99">
        <v>0</v>
      </c>
      <c r="S33" s="99">
        <v>0</v>
      </c>
      <c r="T33" s="99">
        <v>0</v>
      </c>
      <c r="U33" s="99">
        <v>0</v>
      </c>
    </row>
    <row r="34" spans="1:21" ht="21.75" customHeight="1">
      <c r="A34" s="12">
        <v>23</v>
      </c>
      <c r="B34" s="95" t="s">
        <v>306</v>
      </c>
      <c r="C34" s="99">
        <v>0</v>
      </c>
      <c r="D34" s="99">
        <v>0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0</v>
      </c>
      <c r="K34" s="99"/>
      <c r="L34" s="95"/>
      <c r="M34" s="95" t="s">
        <v>307</v>
      </c>
      <c r="N34" s="99"/>
      <c r="O34" s="99"/>
      <c r="P34" s="99"/>
      <c r="Q34" s="99"/>
      <c r="R34" s="99"/>
      <c r="S34" s="99"/>
      <c r="T34" s="99"/>
      <c r="U34" s="99"/>
    </row>
    <row r="35" spans="1:21" ht="21.75" customHeight="1">
      <c r="A35" s="12"/>
      <c r="B35" s="95" t="s">
        <v>308</v>
      </c>
      <c r="C35" s="99"/>
      <c r="D35" s="99"/>
      <c r="E35" s="99"/>
      <c r="F35" s="99"/>
      <c r="G35" s="99"/>
      <c r="H35" s="99"/>
      <c r="I35" s="99"/>
      <c r="J35" s="99"/>
      <c r="K35" s="99"/>
      <c r="L35" s="95">
        <v>43</v>
      </c>
      <c r="M35" s="95" t="s">
        <v>309</v>
      </c>
      <c r="N35" s="99">
        <v>0</v>
      </c>
      <c r="O35" s="99">
        <v>0</v>
      </c>
      <c r="P35" s="99">
        <v>0</v>
      </c>
      <c r="Q35" s="99">
        <v>0</v>
      </c>
      <c r="R35" s="99">
        <v>0</v>
      </c>
      <c r="S35" s="99">
        <v>0</v>
      </c>
      <c r="T35" s="99">
        <v>0</v>
      </c>
      <c r="U35" s="99">
        <v>0</v>
      </c>
    </row>
    <row r="36" spans="1:21" ht="21.75" customHeight="1">
      <c r="A36" s="12"/>
      <c r="B36" s="95" t="s">
        <v>242</v>
      </c>
      <c r="C36" s="99" t="s">
        <v>242</v>
      </c>
      <c r="D36" s="99" t="s">
        <v>242</v>
      </c>
      <c r="E36" s="99" t="s">
        <v>242</v>
      </c>
      <c r="F36" s="99"/>
      <c r="G36" s="99"/>
      <c r="H36" s="99" t="s">
        <v>242</v>
      </c>
      <c r="I36" s="99" t="s">
        <v>242</v>
      </c>
      <c r="J36" s="99" t="s">
        <v>242</v>
      </c>
      <c r="K36" s="99"/>
      <c r="L36" s="95"/>
      <c r="M36" s="95" t="s">
        <v>310</v>
      </c>
      <c r="N36" s="99"/>
      <c r="O36" s="99"/>
      <c r="P36" s="99"/>
      <c r="Q36" s="99"/>
      <c r="R36" s="99"/>
      <c r="S36" s="99"/>
      <c r="T36" s="99"/>
      <c r="U36" s="99"/>
    </row>
    <row r="37" spans="1:21" ht="21.75" customHeight="1">
      <c r="A37" s="12">
        <v>24</v>
      </c>
      <c r="B37" s="95" t="s">
        <v>311</v>
      </c>
      <c r="C37" s="99">
        <v>0</v>
      </c>
      <c r="D37" s="99">
        <v>0</v>
      </c>
      <c r="E37" s="99">
        <v>0</v>
      </c>
      <c r="F37" s="99">
        <v>0</v>
      </c>
      <c r="G37" s="99">
        <v>0</v>
      </c>
      <c r="H37" s="99">
        <v>0</v>
      </c>
      <c r="I37" s="99">
        <v>0</v>
      </c>
      <c r="J37" s="99">
        <v>0</v>
      </c>
      <c r="K37" s="99"/>
      <c r="L37" s="95"/>
      <c r="M37" s="95" t="s">
        <v>242</v>
      </c>
      <c r="N37" s="99" t="s">
        <v>242</v>
      </c>
      <c r="O37" s="99" t="s">
        <v>242</v>
      </c>
      <c r="P37" s="99" t="s">
        <v>242</v>
      </c>
      <c r="Q37" s="99"/>
      <c r="R37" s="99"/>
      <c r="S37" s="99" t="s">
        <v>242</v>
      </c>
      <c r="T37" s="99" t="s">
        <v>242</v>
      </c>
      <c r="U37" s="99" t="s">
        <v>242</v>
      </c>
    </row>
    <row r="38" spans="1:21" ht="21.75" customHeight="1">
      <c r="A38" s="12"/>
      <c r="B38" s="95" t="s">
        <v>242</v>
      </c>
      <c r="C38" s="99" t="s">
        <v>242</v>
      </c>
      <c r="D38" s="99" t="s">
        <v>242</v>
      </c>
      <c r="E38" s="99" t="s">
        <v>242</v>
      </c>
      <c r="F38" s="99"/>
      <c r="G38" s="99"/>
      <c r="H38" s="99" t="s">
        <v>242</v>
      </c>
      <c r="I38" s="99" t="s">
        <v>242</v>
      </c>
      <c r="J38" s="99" t="s">
        <v>242</v>
      </c>
      <c r="K38" s="99"/>
      <c r="L38" s="95">
        <v>44</v>
      </c>
      <c r="M38" s="95" t="s">
        <v>312</v>
      </c>
      <c r="N38" s="99"/>
      <c r="O38" s="99"/>
      <c r="P38" s="99"/>
      <c r="Q38" s="99"/>
      <c r="R38" s="99"/>
      <c r="S38" s="99"/>
      <c r="T38" s="99"/>
      <c r="U38" s="99"/>
    </row>
    <row r="39" spans="1:21" ht="21.75" customHeight="1">
      <c r="A39" s="12"/>
      <c r="B39" s="95" t="s">
        <v>242</v>
      </c>
      <c r="C39" s="99"/>
      <c r="D39" s="99"/>
      <c r="E39" s="99"/>
      <c r="F39" s="99"/>
      <c r="G39" s="99"/>
      <c r="H39" s="99"/>
      <c r="I39" s="99"/>
      <c r="J39" s="99"/>
      <c r="K39" s="99"/>
      <c r="L39" s="95"/>
      <c r="M39" s="95" t="s">
        <v>313</v>
      </c>
      <c r="N39" s="99">
        <v>0</v>
      </c>
      <c r="O39" s="99">
        <v>0</v>
      </c>
      <c r="P39" s="99">
        <v>0</v>
      </c>
      <c r="Q39" s="99">
        <v>0</v>
      </c>
      <c r="R39" s="99">
        <v>0</v>
      </c>
      <c r="S39" s="99">
        <v>0</v>
      </c>
      <c r="T39" s="99">
        <v>0</v>
      </c>
      <c r="U39" s="99">
        <v>0</v>
      </c>
    </row>
    <row r="40" spans="1:21" ht="21.75" customHeight="1">
      <c r="A40" s="12">
        <v>25</v>
      </c>
      <c r="B40" s="95" t="s">
        <v>314</v>
      </c>
      <c r="C40" s="99">
        <v>0</v>
      </c>
      <c r="D40" s="99">
        <f>+C46</f>
        <v>25.589999999999939</v>
      </c>
      <c r="E40" s="99">
        <f t="shared" ref="E40:J40" si="5">+D40+D46</f>
        <v>111.52999999999986</v>
      </c>
      <c r="F40" s="99">
        <f t="shared" si="5"/>
        <v>225.90999999999974</v>
      </c>
      <c r="G40" s="99">
        <f t="shared" si="5"/>
        <v>378.06999999999971</v>
      </c>
      <c r="H40" s="99">
        <f t="shared" si="5"/>
        <v>565.71999999999991</v>
      </c>
      <c r="I40" s="99">
        <f t="shared" si="5"/>
        <v>791.16999999999985</v>
      </c>
      <c r="J40" s="99">
        <f t="shared" si="5"/>
        <v>1051.5900000000001</v>
      </c>
      <c r="K40" s="99"/>
      <c r="L40" s="95"/>
      <c r="M40" s="95" t="s">
        <v>315</v>
      </c>
      <c r="N40" s="99" t="s">
        <v>242</v>
      </c>
      <c r="O40" s="99" t="s">
        <v>242</v>
      </c>
      <c r="P40" s="99" t="s">
        <v>242</v>
      </c>
      <c r="Q40" s="99"/>
      <c r="R40" s="99"/>
      <c r="S40" s="99" t="s">
        <v>242</v>
      </c>
      <c r="T40" s="99" t="s">
        <v>242</v>
      </c>
      <c r="U40" s="99" t="s">
        <v>242</v>
      </c>
    </row>
    <row r="41" spans="1:21" ht="21.75" customHeight="1">
      <c r="A41" s="12"/>
      <c r="B41" s="95" t="s">
        <v>242</v>
      </c>
      <c r="C41" s="99"/>
      <c r="D41" s="99"/>
      <c r="E41" s="99"/>
      <c r="F41" s="99"/>
      <c r="G41" s="99"/>
      <c r="H41" s="99"/>
      <c r="I41" s="99"/>
      <c r="J41" s="99"/>
      <c r="K41" s="99"/>
      <c r="L41" s="95"/>
      <c r="M41" s="95" t="s">
        <v>316</v>
      </c>
      <c r="N41" s="97"/>
      <c r="O41" s="97"/>
      <c r="P41" s="97"/>
      <c r="Q41" s="97"/>
      <c r="R41" s="97"/>
      <c r="S41" s="97"/>
      <c r="T41" s="97"/>
      <c r="U41" s="97"/>
    </row>
    <row r="42" spans="1:21" ht="21.75" customHeight="1">
      <c r="A42" s="12"/>
      <c r="B42" s="95" t="s">
        <v>242</v>
      </c>
      <c r="C42" s="99" t="s">
        <v>242</v>
      </c>
      <c r="D42" s="99" t="s">
        <v>242</v>
      </c>
      <c r="E42" s="99" t="s">
        <v>242</v>
      </c>
      <c r="F42" s="99"/>
      <c r="G42" s="99"/>
      <c r="H42" s="99" t="s">
        <v>242</v>
      </c>
      <c r="I42" s="99" t="s">
        <v>242</v>
      </c>
      <c r="J42" s="99" t="s">
        <v>242</v>
      </c>
      <c r="K42" s="99"/>
      <c r="L42" s="95">
        <v>45</v>
      </c>
      <c r="M42" s="95" t="s">
        <v>317</v>
      </c>
      <c r="N42" s="97"/>
      <c r="O42" s="97"/>
      <c r="P42" s="97"/>
      <c r="Q42" s="97"/>
      <c r="R42" s="97"/>
      <c r="S42" s="97"/>
      <c r="T42" s="97"/>
      <c r="U42" s="97"/>
    </row>
    <row r="43" spans="1:21" ht="21.75" customHeight="1">
      <c r="A43" s="12">
        <v>26</v>
      </c>
      <c r="B43" s="95" t="s">
        <v>318</v>
      </c>
      <c r="C43" s="99">
        <v>0</v>
      </c>
      <c r="D43" s="99">
        <v>0</v>
      </c>
      <c r="E43" s="99">
        <v>0</v>
      </c>
      <c r="F43" s="99">
        <v>0</v>
      </c>
      <c r="G43" s="99">
        <v>0</v>
      </c>
      <c r="H43" s="99">
        <v>0</v>
      </c>
      <c r="I43" s="99">
        <v>0</v>
      </c>
      <c r="J43" s="99">
        <v>0</v>
      </c>
      <c r="K43" s="99"/>
      <c r="L43" s="95"/>
      <c r="M43" s="95" t="s">
        <v>211</v>
      </c>
      <c r="N43" s="97">
        <f t="shared" ref="N43:S43" si="6">SUM(N18:N41)</f>
        <v>0</v>
      </c>
      <c r="O43" s="97">
        <f t="shared" si="6"/>
        <v>0</v>
      </c>
      <c r="P43" s="97">
        <f t="shared" si="6"/>
        <v>0</v>
      </c>
      <c r="Q43" s="97">
        <f t="shared" si="6"/>
        <v>0</v>
      </c>
      <c r="R43" s="97">
        <f t="shared" si="6"/>
        <v>0</v>
      </c>
      <c r="S43" s="97">
        <f t="shared" si="6"/>
        <v>0</v>
      </c>
      <c r="T43" s="97">
        <f>SUM(T18:T41)</f>
        <v>0</v>
      </c>
      <c r="U43" s="97">
        <f>SUM(U18:U41)</f>
        <v>0</v>
      </c>
    </row>
    <row r="44" spans="1:21" ht="17.25" customHeight="1">
      <c r="A44" s="12"/>
      <c r="B44" s="95"/>
      <c r="C44" s="99"/>
      <c r="D44" s="99"/>
      <c r="E44" s="99"/>
      <c r="F44" s="99"/>
      <c r="G44" s="99"/>
      <c r="H44" s="99"/>
      <c r="I44" s="99"/>
      <c r="J44" s="99"/>
      <c r="K44" s="99"/>
      <c r="L44" s="95"/>
      <c r="M44" s="95" t="s">
        <v>242</v>
      </c>
      <c r="N44" s="97"/>
      <c r="O44" s="97"/>
      <c r="P44" s="97"/>
      <c r="Q44" s="97"/>
      <c r="R44" s="97"/>
      <c r="S44" s="97"/>
      <c r="T44" s="97"/>
      <c r="U44" s="97"/>
    </row>
    <row r="45" spans="1:21" ht="21.75" customHeight="1">
      <c r="A45" s="12">
        <v>27</v>
      </c>
      <c r="B45" s="95" t="s">
        <v>319</v>
      </c>
      <c r="C45" s="99"/>
      <c r="D45" s="99"/>
      <c r="E45" s="99"/>
      <c r="F45" s="99"/>
      <c r="G45" s="99"/>
      <c r="H45" s="99"/>
      <c r="I45" s="99"/>
      <c r="J45" s="99"/>
      <c r="K45" s="99"/>
      <c r="L45" s="95">
        <v>46</v>
      </c>
      <c r="M45" s="95" t="s">
        <v>320</v>
      </c>
      <c r="N45" s="99">
        <v>35.33</v>
      </c>
      <c r="O45" s="99">
        <v>27.33</v>
      </c>
      <c r="P45" s="99">
        <v>19.329999999999998</v>
      </c>
      <c r="Q45" s="99">
        <v>11.33</v>
      </c>
      <c r="R45" s="99">
        <v>3.33</v>
      </c>
      <c r="S45" s="99">
        <v>0</v>
      </c>
      <c r="T45" s="99">
        <v>0</v>
      </c>
      <c r="U45" s="99">
        <v>0</v>
      </c>
    </row>
    <row r="46" spans="1:21" ht="21.75" customHeight="1">
      <c r="A46" s="12"/>
      <c r="B46" s="95" t="s">
        <v>321</v>
      </c>
      <c r="C46" s="99">
        <f>+'Profit &amp; Loss Statement'!D58</f>
        <v>25.589999999999939</v>
      </c>
      <c r="D46" s="99">
        <f>+'Profit &amp; Loss Statement'!E58</f>
        <v>85.939999999999927</v>
      </c>
      <c r="E46" s="99">
        <f>+'Profit &amp; Loss Statement'!F58</f>
        <v>114.3799999999999</v>
      </c>
      <c r="F46" s="99">
        <f>+'Profit &amp; Loss Statement'!G58</f>
        <v>152.15999999999997</v>
      </c>
      <c r="G46" s="99">
        <f>+'Profit &amp; Loss Statement'!H58</f>
        <v>187.65000000000018</v>
      </c>
      <c r="H46" s="99">
        <f>+'Profit &amp; Loss Statement'!I58</f>
        <v>225.45</v>
      </c>
      <c r="I46" s="99">
        <f>+'Profit &amp; Loss Statement'!J58</f>
        <v>260.42000000000019</v>
      </c>
      <c r="J46" s="99">
        <f>+'Profit &amp; Loss Statement'!K58</f>
        <v>291.98000000000013</v>
      </c>
      <c r="K46" s="99"/>
      <c r="L46" s="95"/>
      <c r="M46" s="95"/>
      <c r="N46" s="97"/>
      <c r="O46" s="97"/>
      <c r="P46" s="97"/>
      <c r="Q46" s="97"/>
      <c r="R46" s="97"/>
      <c r="S46" s="97"/>
      <c r="T46" s="97"/>
      <c r="U46" s="97"/>
    </row>
    <row r="47" spans="1:21" ht="21.75" customHeight="1">
      <c r="A47" s="12"/>
      <c r="B47" s="95" t="s">
        <v>322</v>
      </c>
      <c r="C47" s="99"/>
      <c r="D47" s="99"/>
      <c r="E47" s="99"/>
      <c r="F47" s="99"/>
      <c r="G47" s="99"/>
      <c r="H47" s="99"/>
      <c r="I47" s="99"/>
      <c r="J47" s="99"/>
      <c r="K47" s="99"/>
      <c r="L47" s="95">
        <v>47</v>
      </c>
      <c r="M47" s="95" t="s">
        <v>323</v>
      </c>
      <c r="N47" s="97">
        <f>+N45+N43+N13+'Balance Sheet'!N51</f>
        <v>1459.4399999999998</v>
      </c>
      <c r="O47" s="97">
        <f>+O45+O43+O13+'Balance Sheet'!O51</f>
        <v>1411.73</v>
      </c>
      <c r="P47" s="97">
        <f>+P45+P43+P13+'Balance Sheet'!P51</f>
        <v>1392.2400000000002</v>
      </c>
      <c r="Q47" s="97">
        <f>+Q45+Q43+Q13+'Balance Sheet'!Q51</f>
        <v>1410.29</v>
      </c>
      <c r="R47" s="97">
        <f>+R45+R43+R13+'Balance Sheet'!R51</f>
        <v>1463.8600000000001</v>
      </c>
      <c r="S47" s="97">
        <f>+S45+S43+S13+'Balance Sheet'!S51</f>
        <v>1555.2199999999998</v>
      </c>
      <c r="T47" s="97">
        <f>+T45+T43+T13+'Balance Sheet'!T51</f>
        <v>1681.55</v>
      </c>
      <c r="U47" s="97">
        <f>+U45+U43+U13+'Balance Sheet'!U51</f>
        <v>1850.66</v>
      </c>
    </row>
    <row r="48" spans="1:21" ht="17.25" customHeight="1" thickBot="1">
      <c r="A48" s="12"/>
      <c r="B48" s="95"/>
      <c r="C48" s="97"/>
      <c r="D48" s="97"/>
      <c r="E48" s="97"/>
      <c r="F48" s="97"/>
      <c r="G48" s="97"/>
      <c r="H48" s="97"/>
      <c r="I48" s="97"/>
      <c r="J48" s="97"/>
      <c r="K48" s="97"/>
      <c r="L48" s="95"/>
      <c r="M48" s="95"/>
      <c r="N48" s="97"/>
      <c r="O48" s="97"/>
      <c r="P48" s="97"/>
      <c r="Q48" s="97"/>
      <c r="R48" s="97"/>
      <c r="S48" s="97"/>
      <c r="T48" s="97"/>
      <c r="U48" s="97"/>
    </row>
    <row r="49" spans="1:21" ht="21.75" customHeight="1" thickBot="1">
      <c r="A49" s="16">
        <v>28</v>
      </c>
      <c r="B49" s="95" t="s">
        <v>324</v>
      </c>
      <c r="C49" s="97">
        <f t="shared" ref="C49:H49" si="7">SUM(C29:C48)</f>
        <v>380.58999999999992</v>
      </c>
      <c r="D49" s="97">
        <f t="shared" si="7"/>
        <v>466.52999999999986</v>
      </c>
      <c r="E49" s="97">
        <f t="shared" si="7"/>
        <v>580.90999999999974</v>
      </c>
      <c r="F49" s="97">
        <f t="shared" si="7"/>
        <v>733.06999999999971</v>
      </c>
      <c r="G49" s="97">
        <f t="shared" si="7"/>
        <v>920.71999999999991</v>
      </c>
      <c r="H49" s="97">
        <f t="shared" si="7"/>
        <v>1146.1699999999998</v>
      </c>
      <c r="I49" s="97">
        <f>SUM(I29:I48)</f>
        <v>1406.5900000000001</v>
      </c>
      <c r="J49" s="97">
        <f>SUM(J29:J48)</f>
        <v>1698.5700000000002</v>
      </c>
      <c r="K49" s="97"/>
      <c r="L49" s="95">
        <v>48</v>
      </c>
      <c r="M49" s="95" t="s">
        <v>325</v>
      </c>
      <c r="N49" s="97">
        <f t="shared" ref="N49:U49" si="8">C49-N45</f>
        <v>345.25999999999993</v>
      </c>
      <c r="O49" s="97">
        <f t="shared" si="8"/>
        <v>439.19999999999987</v>
      </c>
      <c r="P49" s="97">
        <f t="shared" si="8"/>
        <v>561.5799999999997</v>
      </c>
      <c r="Q49" s="97">
        <f t="shared" si="8"/>
        <v>721.73999999999967</v>
      </c>
      <c r="R49" s="97">
        <f t="shared" si="8"/>
        <v>917.38999999999987</v>
      </c>
      <c r="S49" s="97">
        <f t="shared" si="8"/>
        <v>1146.1699999999998</v>
      </c>
      <c r="T49" s="97">
        <f t="shared" si="8"/>
        <v>1406.5900000000001</v>
      </c>
      <c r="U49" s="97">
        <f t="shared" si="8"/>
        <v>1698.5700000000002</v>
      </c>
    </row>
    <row r="50" spans="1:21" ht="21.75" customHeight="1" thickBot="1">
      <c r="A50" s="12"/>
      <c r="B50" s="95"/>
      <c r="C50" s="97"/>
      <c r="D50" s="97"/>
      <c r="E50" s="97"/>
      <c r="F50" s="97"/>
      <c r="G50" s="97"/>
      <c r="H50" s="97"/>
      <c r="I50" s="97"/>
      <c r="J50" s="97"/>
      <c r="K50" s="97"/>
      <c r="L50" s="95"/>
      <c r="M50" s="95"/>
      <c r="N50" s="97"/>
      <c r="O50" s="97"/>
      <c r="P50" s="97"/>
      <c r="Q50" s="97"/>
      <c r="R50" s="97"/>
      <c r="S50" s="97"/>
      <c r="T50" s="97"/>
      <c r="U50" s="97"/>
    </row>
    <row r="51" spans="1:21" ht="21.75" customHeight="1" thickBot="1">
      <c r="A51" s="16">
        <v>29</v>
      </c>
      <c r="B51" s="95" t="s">
        <v>326</v>
      </c>
      <c r="C51" s="97">
        <f t="shared" ref="C51:H51" si="9">C49+C28</f>
        <v>1459.4399999999998</v>
      </c>
      <c r="D51" s="97">
        <f t="shared" si="9"/>
        <v>1411.73</v>
      </c>
      <c r="E51" s="97">
        <f t="shared" si="9"/>
        <v>1392.2399999999998</v>
      </c>
      <c r="F51" s="97">
        <f t="shared" si="9"/>
        <v>1410.2899999999997</v>
      </c>
      <c r="G51" s="97">
        <f t="shared" si="9"/>
        <v>1463.86</v>
      </c>
      <c r="H51" s="97">
        <f t="shared" si="9"/>
        <v>1555.2199999999998</v>
      </c>
      <c r="I51" s="97">
        <f>I49+I28</f>
        <v>1681.5500000000002</v>
      </c>
      <c r="J51" s="97">
        <f>J49+J28</f>
        <v>1850.66</v>
      </c>
      <c r="K51" s="97"/>
      <c r="L51" s="95">
        <v>49</v>
      </c>
      <c r="M51" s="95" t="s">
        <v>327</v>
      </c>
      <c r="N51" s="97">
        <f t="shared" ref="N51:U51" si="10">(C25+C49)-(N13+N43+N45)</f>
        <v>63.460000000000036</v>
      </c>
      <c r="O51" s="97">
        <f t="shared" si="10"/>
        <v>185.33999999999969</v>
      </c>
      <c r="P51" s="97">
        <f t="shared" si="10"/>
        <v>313.0999999999998</v>
      </c>
      <c r="Q51" s="97">
        <f t="shared" si="10"/>
        <v>459.2099999999997</v>
      </c>
      <c r="R51" s="97">
        <f t="shared" si="10"/>
        <v>624.07999999999993</v>
      </c>
      <c r="S51" s="97">
        <f t="shared" si="10"/>
        <v>807.68999999999983</v>
      </c>
      <c r="T51" s="97">
        <f t="shared" si="10"/>
        <v>1021.7600000000002</v>
      </c>
      <c r="U51" s="97">
        <f t="shared" si="10"/>
        <v>1379.7900000000002</v>
      </c>
    </row>
    <row r="52" spans="1:21" ht="21.75" customHeight="1">
      <c r="A52" s="5"/>
      <c r="B52" s="5" t="s">
        <v>328</v>
      </c>
      <c r="C52" s="24">
        <f t="shared" ref="C52:J52" si="11">C51-N47</f>
        <v>0</v>
      </c>
      <c r="D52" s="24">
        <f t="shared" si="11"/>
        <v>0</v>
      </c>
      <c r="E52" s="24">
        <f t="shared" si="11"/>
        <v>0</v>
      </c>
      <c r="F52" s="24">
        <f t="shared" si="11"/>
        <v>0</v>
      </c>
      <c r="G52" s="24">
        <f t="shared" si="11"/>
        <v>0</v>
      </c>
      <c r="H52" s="24">
        <f t="shared" si="11"/>
        <v>0</v>
      </c>
      <c r="I52" s="24">
        <f t="shared" si="11"/>
        <v>0</v>
      </c>
      <c r="J52" s="24">
        <f t="shared" si="11"/>
        <v>0</v>
      </c>
      <c r="K52" s="2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21.75" customHeight="1">
      <c r="A53" s="5"/>
      <c r="L53" s="5"/>
      <c r="M53" s="5"/>
      <c r="N53" s="5"/>
      <c r="O53" s="5"/>
      <c r="P53" s="5"/>
      <c r="Q53" s="5"/>
      <c r="R53" s="5"/>
      <c r="S53" s="26"/>
      <c r="T53" s="26"/>
      <c r="U53" s="26" t="s">
        <v>329</v>
      </c>
    </row>
    <row r="54" spans="1:21" ht="21.75" customHeight="1">
      <c r="A54" s="5"/>
      <c r="B54" s="4" t="s">
        <v>330</v>
      </c>
      <c r="C54" s="42">
        <f>+'Balance Sheet'!C53</f>
        <v>0</v>
      </c>
      <c r="D54" s="24"/>
      <c r="E54" s="24"/>
      <c r="F54" s="24"/>
      <c r="G54" s="24"/>
      <c r="H54" s="24"/>
      <c r="I54" s="24"/>
      <c r="J54" s="24"/>
      <c r="K54" s="24"/>
      <c r="L54" s="5"/>
      <c r="M54" s="5"/>
      <c r="N54" s="5"/>
      <c r="O54" s="5"/>
      <c r="P54" s="5"/>
      <c r="Q54" s="5"/>
      <c r="R54" s="5"/>
    </row>
    <row r="55" spans="1:21" ht="18">
      <c r="A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>
      <c r="A58" s="5"/>
      <c r="B58" s="5"/>
      <c r="C58" s="5" t="s">
        <v>242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</sheetData>
  <mergeCells count="2">
    <mergeCell ref="N2:U2"/>
    <mergeCell ref="C2:J2"/>
  </mergeCells>
  <phoneticPr fontId="0" type="noConversion"/>
  <printOptions gridLines="1"/>
  <pageMargins left="0.46" right="0.25" top="0.5" bottom="0.53" header="0.5" footer="0.5"/>
  <pageSetup scale="58" orientation="portrait" blackAndWhite="1" horizontalDpi="300" verticalDpi="300"/>
  <headerFooter alignWithMargins="0"/>
  <ignoredErrors>
    <ignoredError sqref="C46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9A4B-5BAE-490E-A54F-AEA8B1C24CC8}">
  <dimension ref="A1:J47"/>
  <sheetViews>
    <sheetView zoomScale="80" zoomScaleNormal="80" zoomScaleSheetLayoutView="70" zoomScalePageLayoutView="60" workbookViewId="0">
      <selection activeCell="D6" sqref="D6"/>
    </sheetView>
  </sheetViews>
  <sheetFormatPr defaultRowHeight="18"/>
  <cols>
    <col min="1" max="1" width="3.109375" style="5" bestFit="1" customWidth="1"/>
    <col min="2" max="2" width="37.33203125" style="5" customWidth="1"/>
    <col min="3" max="3" width="0.33203125" style="5" customWidth="1"/>
    <col min="4" max="4" width="10.5546875" style="5" customWidth="1"/>
    <col min="5" max="5" width="11.33203125" style="5" customWidth="1"/>
    <col min="6" max="7" width="11.6640625" style="5" customWidth="1"/>
    <col min="8" max="10" width="11.33203125" style="5" customWidth="1"/>
    <col min="11" max="16384" width="8.88671875" style="5"/>
  </cols>
  <sheetData>
    <row r="1" spans="1:10">
      <c r="F1" s="5" t="s">
        <v>155</v>
      </c>
    </row>
    <row r="2" spans="1:10">
      <c r="B2" s="5" t="s">
        <v>331</v>
      </c>
      <c r="F2" s="5" t="s">
        <v>332</v>
      </c>
    </row>
    <row r="3" spans="1:10" ht="18.75" thickBot="1"/>
    <row r="4" spans="1:10" ht="18.75" thickBot="1">
      <c r="A4" s="13"/>
      <c r="B4" s="2"/>
      <c r="C4" s="2"/>
      <c r="D4" s="164" t="s">
        <v>333</v>
      </c>
      <c r="E4" s="166"/>
      <c r="F4" s="166"/>
      <c r="G4" s="166"/>
      <c r="H4" s="166"/>
      <c r="I4" s="166"/>
      <c r="J4" s="165"/>
    </row>
    <row r="5" spans="1:10">
      <c r="A5" s="12"/>
      <c r="B5" s="5" t="s">
        <v>334</v>
      </c>
      <c r="D5" s="121" t="str">
        <f>'Profit &amp; Loss Statement'!E4</f>
        <v>31.03.2023</v>
      </c>
      <c r="E5" s="118">
        <f>'Profit &amp; Loss Statement'!F4</f>
        <v>45382</v>
      </c>
      <c r="F5" s="118">
        <f>'Profit &amp; Loss Statement'!G4</f>
        <v>45747</v>
      </c>
      <c r="G5" s="118">
        <f>'Profit &amp; Loss Statement'!H4</f>
        <v>46112</v>
      </c>
      <c r="H5" s="118">
        <f>'Profit &amp; Loss Statement'!I4</f>
        <v>46477</v>
      </c>
      <c r="I5" s="118" t="str">
        <f>'Profit &amp; Loss Statement'!J4</f>
        <v>31.03.2028</v>
      </c>
      <c r="J5" s="122" t="str">
        <f>'Profit &amp; Loss Statement'!K4</f>
        <v>31.03.2029</v>
      </c>
    </row>
    <row r="6" spans="1:10" ht="18.75" thickBot="1">
      <c r="A6" s="10"/>
      <c r="B6" s="7"/>
      <c r="C6" s="7"/>
      <c r="D6" s="123" t="str">
        <f>'Profit &amp; Loss Statement'!E5</f>
        <v>Actuals</v>
      </c>
      <c r="E6" s="124" t="str">
        <f>'Profit &amp; Loss Statement'!F5</f>
        <v>Actuals</v>
      </c>
      <c r="F6" s="124" t="str">
        <f>'Profit &amp; Loss Statement'!G5</f>
        <v>Estimated</v>
      </c>
      <c r="G6" s="124" t="str">
        <f>'Profit &amp; Loss Statement'!H5</f>
        <v>Projected</v>
      </c>
      <c r="H6" s="124" t="str">
        <f>'Profit &amp; Loss Statement'!I5</f>
        <v>Projected</v>
      </c>
      <c r="I6" s="124" t="str">
        <f>'Profit &amp; Loss Statement'!J5</f>
        <v>Projected</v>
      </c>
      <c r="J6" s="125" t="str">
        <f>'Profit &amp; Loss Statement'!K5</f>
        <v>Projected</v>
      </c>
    </row>
    <row r="7" spans="1:10">
      <c r="A7" s="12"/>
      <c r="D7" s="119"/>
      <c r="E7" s="119"/>
      <c r="F7" s="119"/>
      <c r="G7" s="120"/>
      <c r="H7" s="120"/>
      <c r="I7" s="120"/>
      <c r="J7" s="126"/>
    </row>
    <row r="8" spans="1:10">
      <c r="A8" s="12"/>
      <c r="B8" s="5" t="s">
        <v>335</v>
      </c>
      <c r="D8" s="97">
        <f>IF(+'Profit &amp; Loss Statement'!E54&lt;0,0,+'Profit &amp; Loss Statement'!E54)</f>
        <v>95.159999999999926</v>
      </c>
      <c r="E8" s="97">
        <f>IF(+'Profit &amp; Loss Statement'!F54&lt;0,0,+'Profit &amp; Loss Statement'!F54)</f>
        <v>168.0199999999999</v>
      </c>
      <c r="F8" s="97">
        <f>IF(+'Profit &amp; Loss Statement'!G54&lt;0,0,+'Profit &amp; Loss Statement'!G54)</f>
        <v>223.10999999999999</v>
      </c>
      <c r="G8" s="97">
        <f>IF(+'Profit &amp; Loss Statement'!H54&lt;0,0,+'Profit &amp; Loss Statement'!H54)</f>
        <v>274.74000000000018</v>
      </c>
      <c r="H8" s="97">
        <f>IF(+'Profit &amp; Loss Statement'!I54&lt;0,0,+'Profit &amp; Loss Statement'!I54)</f>
        <v>328.81</v>
      </c>
      <c r="I8" s="97">
        <f>IF(+'Profit &amp; Loss Statement'!J54&lt;0,0,+'Profit &amp; Loss Statement'!J54)</f>
        <v>379.48000000000019</v>
      </c>
      <c r="J8" s="127">
        <f>IF(+'Profit &amp; Loss Statement'!K54&lt;0,0,+'Profit &amp; Loss Statement'!K54)</f>
        <v>425.13000000000011</v>
      </c>
    </row>
    <row r="9" spans="1:10">
      <c r="A9" s="12"/>
      <c r="D9" s="97"/>
      <c r="E9" s="97"/>
      <c r="F9" s="97"/>
      <c r="G9" s="97"/>
      <c r="H9" s="97"/>
      <c r="I9" s="97"/>
      <c r="J9" s="127"/>
    </row>
    <row r="10" spans="1:10">
      <c r="A10" s="12"/>
      <c r="B10" s="5" t="s">
        <v>336</v>
      </c>
      <c r="D10" s="97">
        <f>'Profit &amp; Loss Statement'!E29</f>
        <v>162.22999999999999</v>
      </c>
      <c r="E10" s="97">
        <f>'Profit &amp; Loss Statement'!F29</f>
        <v>139.66999999999999</v>
      </c>
      <c r="F10" s="97">
        <f>'Profit &amp; Loss Statement'!G29</f>
        <v>120.24</v>
      </c>
      <c r="G10" s="97">
        <f>'Profit &amp; Loss Statement'!H29</f>
        <v>103.51</v>
      </c>
      <c r="H10" s="97">
        <f>'Profit &amp; Loss Statement'!I29</f>
        <v>89.12</v>
      </c>
      <c r="I10" s="97">
        <f>'Profit &amp; Loss Statement'!J29</f>
        <v>76.72</v>
      </c>
      <c r="J10" s="127">
        <f>'Profit &amp; Loss Statement'!K29</f>
        <v>66.05</v>
      </c>
    </row>
    <row r="11" spans="1:10">
      <c r="A11" s="12"/>
      <c r="D11" s="97"/>
      <c r="E11" s="97"/>
      <c r="F11" s="97"/>
      <c r="G11" s="97"/>
      <c r="H11" s="97"/>
      <c r="I11" s="97"/>
      <c r="J11" s="127"/>
    </row>
    <row r="12" spans="1:10">
      <c r="A12" s="12"/>
      <c r="B12" s="5" t="s">
        <v>337</v>
      </c>
      <c r="D12" s="97">
        <f t="shared" ref="D12:J12" si="0">+D8+D10</f>
        <v>257.38999999999993</v>
      </c>
      <c r="E12" s="97">
        <f t="shared" si="0"/>
        <v>307.68999999999988</v>
      </c>
      <c r="F12" s="97">
        <f t="shared" si="0"/>
        <v>343.34999999999997</v>
      </c>
      <c r="G12" s="97">
        <f t="shared" si="0"/>
        <v>378.25000000000017</v>
      </c>
      <c r="H12" s="97">
        <f t="shared" si="0"/>
        <v>417.93</v>
      </c>
      <c r="I12" s="97">
        <f t="shared" si="0"/>
        <v>456.20000000000016</v>
      </c>
      <c r="J12" s="127">
        <f t="shared" si="0"/>
        <v>491.18000000000012</v>
      </c>
    </row>
    <row r="13" spans="1:10">
      <c r="A13" s="12"/>
      <c r="D13" s="97"/>
      <c r="E13" s="97"/>
      <c r="F13" s="97"/>
      <c r="G13" s="97"/>
      <c r="H13" s="97"/>
      <c r="I13" s="97"/>
      <c r="J13" s="127"/>
    </row>
    <row r="14" spans="1:10">
      <c r="A14" s="12"/>
      <c r="B14" s="5" t="s">
        <v>338</v>
      </c>
      <c r="D14" s="97">
        <f>'Profit &amp; Loss Statement'!E56</f>
        <v>9.2200000000000006</v>
      </c>
      <c r="E14" s="97">
        <f>'Profit &amp; Loss Statement'!F56</f>
        <v>53.64</v>
      </c>
      <c r="F14" s="97">
        <f>'Profit &amp; Loss Statement'!G56</f>
        <v>70.95</v>
      </c>
      <c r="G14" s="97">
        <f>'Profit &amp; Loss Statement'!H56</f>
        <v>87.09</v>
      </c>
      <c r="H14" s="97">
        <f>'Profit &amp; Loss Statement'!I56</f>
        <v>103.36</v>
      </c>
      <c r="I14" s="97">
        <f>'Profit &amp; Loss Statement'!J56</f>
        <v>119.06</v>
      </c>
      <c r="J14" s="127">
        <f>'Profit &amp; Loss Statement'!K56</f>
        <v>133.15</v>
      </c>
    </row>
    <row r="15" spans="1:10">
      <c r="A15" s="12"/>
      <c r="D15" s="97"/>
      <c r="E15" s="97"/>
      <c r="F15" s="97"/>
      <c r="G15" s="97"/>
      <c r="H15" s="97"/>
      <c r="I15" s="97"/>
      <c r="J15" s="127"/>
    </row>
    <row r="16" spans="1:10">
      <c r="A16" s="12"/>
      <c r="B16" s="5" t="s">
        <v>339</v>
      </c>
      <c r="D16" s="97">
        <f>'Profit &amp; Loss Statement'!E59</f>
        <v>0</v>
      </c>
      <c r="E16" s="97">
        <f>'Profit &amp; Loss Statement'!F59</f>
        <v>0</v>
      </c>
      <c r="F16" s="97">
        <f>'Profit &amp; Loss Statement'!G59</f>
        <v>0</v>
      </c>
      <c r="G16" s="97">
        <f>'Profit &amp; Loss Statement'!H59</f>
        <v>0</v>
      </c>
      <c r="H16" s="97">
        <f>'Profit &amp; Loss Statement'!I59</f>
        <v>0</v>
      </c>
      <c r="I16" s="97">
        <f>'Profit &amp; Loss Statement'!J59</f>
        <v>0</v>
      </c>
      <c r="J16" s="127">
        <f>'Profit &amp; Loss Statement'!K59</f>
        <v>0</v>
      </c>
    </row>
    <row r="17" spans="1:10" ht="18.75" thickBot="1">
      <c r="A17" s="12"/>
      <c r="D17" s="97"/>
      <c r="E17" s="97"/>
      <c r="F17" s="97"/>
      <c r="G17" s="97"/>
      <c r="H17" s="97"/>
      <c r="I17" s="97"/>
      <c r="J17" s="127"/>
    </row>
    <row r="18" spans="1:10" ht="18.75" thickBot="1">
      <c r="A18" s="16" t="s">
        <v>340</v>
      </c>
      <c r="B18" s="17" t="s">
        <v>341</v>
      </c>
      <c r="C18" s="17"/>
      <c r="D18" s="97">
        <f t="shared" ref="D18:J18" si="1">D12-D14-D16</f>
        <v>248.16999999999993</v>
      </c>
      <c r="E18" s="97">
        <f t="shared" si="1"/>
        <v>254.0499999999999</v>
      </c>
      <c r="F18" s="97">
        <f t="shared" si="1"/>
        <v>272.39999999999998</v>
      </c>
      <c r="G18" s="97">
        <f t="shared" si="1"/>
        <v>291.1600000000002</v>
      </c>
      <c r="H18" s="97">
        <f t="shared" si="1"/>
        <v>314.57</v>
      </c>
      <c r="I18" s="97">
        <f t="shared" si="1"/>
        <v>337.14000000000016</v>
      </c>
      <c r="J18" s="127">
        <f t="shared" si="1"/>
        <v>358.03000000000009</v>
      </c>
    </row>
    <row r="19" spans="1:10">
      <c r="A19" s="12"/>
      <c r="D19" s="97"/>
      <c r="E19" s="97"/>
      <c r="F19" s="97"/>
      <c r="G19" s="97"/>
      <c r="H19" s="97"/>
      <c r="I19" s="97"/>
      <c r="J19" s="127"/>
    </row>
    <row r="20" spans="1:10">
      <c r="A20" s="12"/>
      <c r="B20" s="5" t="s">
        <v>342</v>
      </c>
      <c r="D20" s="97">
        <f>'Balance Sheet2'!D32+'Balance Sheet2'!D34-'Balance Sheet2'!C32-'Balance Sheet2'!C34</f>
        <v>0</v>
      </c>
      <c r="E20" s="97">
        <f>'Balance Sheet2'!E32+'Balance Sheet2'!E34-'Balance Sheet2'!D32-'Balance Sheet2'!D34</f>
        <v>0</v>
      </c>
      <c r="F20" s="97">
        <f>'Balance Sheet2'!F32+'Balance Sheet2'!F34-'Balance Sheet2'!E32-'Balance Sheet2'!E34</f>
        <v>0</v>
      </c>
      <c r="G20" s="97">
        <f>'Balance Sheet2'!G32+'Balance Sheet2'!G34-'Balance Sheet2'!F32-'Balance Sheet2'!F34</f>
        <v>0</v>
      </c>
      <c r="H20" s="97">
        <f>'Balance Sheet2'!H32+'Balance Sheet2'!H34-'Balance Sheet2'!G32-'Balance Sheet2'!G34</f>
        <v>0</v>
      </c>
      <c r="I20" s="97">
        <f>'Balance Sheet2'!I32+'Balance Sheet2'!I34-'Balance Sheet2'!H32-'Balance Sheet2'!H34</f>
        <v>0</v>
      </c>
      <c r="J20" s="127">
        <f>'Balance Sheet2'!J32+'Balance Sheet2'!J34-'Balance Sheet2'!I32-'Balance Sheet2'!I34</f>
        <v>0</v>
      </c>
    </row>
    <row r="21" spans="1:10">
      <c r="A21" s="12"/>
      <c r="D21" s="97"/>
      <c r="E21" s="97"/>
      <c r="F21" s="97"/>
      <c r="G21" s="97"/>
      <c r="H21" s="97"/>
      <c r="I21" s="97"/>
      <c r="J21" s="127"/>
    </row>
    <row r="22" spans="1:10">
      <c r="A22" s="12"/>
      <c r="B22" s="5" t="s">
        <v>343</v>
      </c>
      <c r="D22" s="97">
        <f>IF(SUM('Balance Sheet2'!D6:D19)-SUM('Balance Sheet2'!C6:C19)&lt;0,0,SUM('Balance Sheet2'!D6:D19)-SUM('Balance Sheet2'!C6:C19))</f>
        <v>0</v>
      </c>
      <c r="E22" s="97">
        <f>IF(SUM('Balance Sheet2'!E6:E19)-SUM('Balance Sheet2'!D6:D19)&lt;0,0,SUM('Balance Sheet2'!E6:E19)-SUM('Balance Sheet2'!D6:D19))</f>
        <v>0</v>
      </c>
      <c r="F22" s="97">
        <f>IF(SUM('Balance Sheet2'!F6:F19)-SUM('Balance Sheet2'!E6:E19)&lt;0,0,SUM('Balance Sheet2'!F6:F19)-SUM('Balance Sheet2'!E6:E19))</f>
        <v>0</v>
      </c>
      <c r="G22" s="97">
        <f>IF(SUM('Balance Sheet2'!G6:G19)-SUM('Balance Sheet2'!F6:F19)&lt;0,0,SUM('Balance Sheet2'!G6:G19)-SUM('Balance Sheet2'!F6:F19))</f>
        <v>0</v>
      </c>
      <c r="H22" s="97">
        <f>IF(SUM('Balance Sheet2'!H6:H19)-SUM('Balance Sheet2'!G6:G19)&lt;0,0,SUM('Balance Sheet2'!H6:H19)-SUM('Balance Sheet2'!G6:G19))</f>
        <v>0</v>
      </c>
      <c r="I22" s="97">
        <f>IF(SUM('Balance Sheet2'!I6:I19)-SUM('Balance Sheet2'!H6:H19)&lt;0,0,SUM('Balance Sheet2'!I6:I19)-SUM('Balance Sheet2'!H6:H19))</f>
        <v>0</v>
      </c>
      <c r="J22" s="127">
        <f>IF(SUM('Balance Sheet2'!J6:J19)-SUM('Balance Sheet2'!I6:I19)&lt;0,0,SUM('Balance Sheet2'!J6:J19)-SUM('Balance Sheet2'!I6:I19))</f>
        <v>0</v>
      </c>
    </row>
    <row r="23" spans="1:10">
      <c r="A23" s="12"/>
      <c r="D23" s="97"/>
      <c r="E23" s="97"/>
      <c r="F23" s="97"/>
      <c r="G23" s="97"/>
      <c r="H23" s="97"/>
      <c r="I23" s="97"/>
      <c r="J23" s="127"/>
    </row>
    <row r="24" spans="1:10">
      <c r="A24" s="12"/>
      <c r="B24" s="5" t="s">
        <v>344</v>
      </c>
      <c r="D24" s="97">
        <f>IF('Balance Sheet2'!D22-'Balance Sheet2'!C22&lt;0,0,+'Balance Sheet2'!D22-'Balance Sheet2'!C22)</f>
        <v>0</v>
      </c>
      <c r="E24" s="97">
        <f>IF('Balance Sheet2'!E22-'Balance Sheet2'!D22&lt;0,0,+'Balance Sheet2'!E22-'Balance Sheet2'!D22)</f>
        <v>0</v>
      </c>
      <c r="F24" s="97">
        <f>IF('Balance Sheet2'!F22-'Balance Sheet2'!E22&lt;0,0,+'Balance Sheet2'!F22-'Balance Sheet2'!E22)</f>
        <v>0</v>
      </c>
      <c r="G24" s="97">
        <f>IF('Balance Sheet2'!G22-'Balance Sheet2'!F22&lt;0,0,+'Balance Sheet2'!G22-'Balance Sheet2'!F22)</f>
        <v>0</v>
      </c>
      <c r="H24" s="97">
        <f>IF('Balance Sheet2'!H22-'Balance Sheet2'!G22&lt;0,0,+'Balance Sheet2'!H22-'Balance Sheet2'!G22)</f>
        <v>0</v>
      </c>
      <c r="I24" s="97">
        <f>IF('Balance Sheet2'!I22-'Balance Sheet2'!H22&lt;0,0,+'Balance Sheet2'!I22-'Balance Sheet2'!H22)</f>
        <v>0</v>
      </c>
      <c r="J24" s="127">
        <f>IF('Balance Sheet2'!J22-'Balance Sheet2'!I22&lt;0,0,+'Balance Sheet2'!J22-'Balance Sheet2'!I22)</f>
        <v>0</v>
      </c>
    </row>
    <row r="25" spans="1:10">
      <c r="A25" s="12"/>
      <c r="D25" s="97"/>
      <c r="E25" s="97"/>
      <c r="F25" s="97"/>
      <c r="G25" s="97"/>
      <c r="H25" s="97"/>
      <c r="I25" s="97"/>
      <c r="J25" s="127"/>
    </row>
    <row r="26" spans="1:10">
      <c r="A26" s="12"/>
      <c r="B26" s="5" t="s">
        <v>345</v>
      </c>
      <c r="D26" s="97">
        <f>IF(+'Balance Sheet2'!N8-'Balance Sheet2'!O8&lt;0,0,'Balance Sheet2'!N8-'Balance Sheet2'!O8)</f>
        <v>0</v>
      </c>
      <c r="E26" s="97">
        <f>IF(+'Balance Sheet2'!O8-'Balance Sheet2'!P8&lt;0,0,'Balance Sheet2'!O8-'Balance Sheet2'!P8)</f>
        <v>0</v>
      </c>
      <c r="F26" s="97">
        <f>IF(+'Balance Sheet2'!P8-'Balance Sheet2'!Q8&lt;0,0,'Balance Sheet2'!P8-'Balance Sheet2'!Q8)</f>
        <v>0</v>
      </c>
      <c r="G26" s="97">
        <f>IF(+'Balance Sheet2'!Q8-'Balance Sheet2'!R8&lt;0,0,'Balance Sheet2'!Q8-'Balance Sheet2'!R8)</f>
        <v>0</v>
      </c>
      <c r="H26" s="97">
        <f>IF(+'Balance Sheet2'!R8-'Balance Sheet2'!S8&lt;0,0,'Balance Sheet2'!R8-'Balance Sheet2'!S8)</f>
        <v>0</v>
      </c>
      <c r="I26" s="97">
        <f>IF(+'Balance Sheet2'!S8-'Balance Sheet2'!T8&lt;0,0,'Balance Sheet2'!S8-'Balance Sheet2'!T8)</f>
        <v>0</v>
      </c>
      <c r="J26" s="127">
        <f>IF(+'Balance Sheet2'!T8-'Balance Sheet2'!U8&lt;0,0,'Balance Sheet2'!T8-'Balance Sheet2'!U8)</f>
        <v>0</v>
      </c>
    </row>
    <row r="27" spans="1:10">
      <c r="A27" s="12"/>
      <c r="D27" s="97"/>
      <c r="E27" s="97"/>
      <c r="F27" s="97"/>
      <c r="G27" s="97"/>
      <c r="H27" s="97"/>
      <c r="I27" s="97"/>
      <c r="J27" s="127"/>
    </row>
    <row r="28" spans="1:10">
      <c r="A28" s="12"/>
      <c r="B28" s="5" t="s">
        <v>346</v>
      </c>
      <c r="D28" s="97">
        <f>IF(+'Profit &amp; Loss Statement'!E74&lt;0,0,+'Profit &amp; Loss Statement'!E74)</f>
        <v>0</v>
      </c>
      <c r="E28" s="97">
        <f>IF(+'Profit &amp; Loss Statement'!F74&lt;0,0,+'Profit &amp; Loss Statement'!F74)</f>
        <v>0</v>
      </c>
      <c r="F28" s="97">
        <f>IF(+'Profit &amp; Loss Statement'!G74&lt;0,0,+'Profit &amp; Loss Statement'!G74)</f>
        <v>0</v>
      </c>
      <c r="G28" s="97">
        <f>IF(+'Profit &amp; Loss Statement'!H74&lt;0,0,+'Profit &amp; Loss Statement'!H74)</f>
        <v>0</v>
      </c>
      <c r="H28" s="97">
        <f>IF(+'Profit &amp; Loss Statement'!I74&lt;0,0,+'Profit &amp; Loss Statement'!I74)</f>
        <v>0</v>
      </c>
      <c r="I28" s="97">
        <f>IF(+'Profit &amp; Loss Statement'!J74&lt;0,0,+'Profit &amp; Loss Statement'!J74)</f>
        <v>0</v>
      </c>
      <c r="J28" s="127">
        <f>IF(+'Profit &amp; Loss Statement'!K74&lt;0,0,+'Profit &amp; Loss Statement'!K74)</f>
        <v>0</v>
      </c>
    </row>
    <row r="29" spans="1:10">
      <c r="A29" s="12"/>
      <c r="D29" s="97"/>
      <c r="E29" s="97"/>
      <c r="F29" s="97"/>
      <c r="G29" s="97"/>
      <c r="H29" s="97"/>
      <c r="I29" s="97"/>
      <c r="J29" s="127"/>
    </row>
    <row r="30" spans="1:10">
      <c r="A30" s="12"/>
      <c r="B30" s="5" t="s">
        <v>347</v>
      </c>
      <c r="D30" s="97">
        <f>IF(+'Profit &amp; Loss Statement'!E76&lt;0,0,+'Profit &amp; Loss Statement'!E76)</f>
        <v>0</v>
      </c>
      <c r="E30" s="97">
        <f>IF(+'Profit &amp; Loss Statement'!F76&lt;0,0,+'Profit &amp; Loss Statement'!F76)</f>
        <v>0</v>
      </c>
      <c r="F30" s="97">
        <f>IF(+'Profit &amp; Loss Statement'!G76&lt;0,0,+'Profit &amp; Loss Statement'!G76)</f>
        <v>0</v>
      </c>
      <c r="G30" s="97">
        <f>IF(+'Profit &amp; Loss Statement'!H76&lt;0,0,+'Profit &amp; Loss Statement'!H76)</f>
        <v>0</v>
      </c>
      <c r="H30" s="97">
        <f>IF(+'Profit &amp; Loss Statement'!I76&lt;0,0,+'Profit &amp; Loss Statement'!I76)</f>
        <v>0</v>
      </c>
      <c r="I30" s="97">
        <f>IF(+'Profit &amp; Loss Statement'!J76&lt;0,0,+'Profit &amp; Loss Statement'!J76)</f>
        <v>0</v>
      </c>
      <c r="J30" s="127">
        <f>IF(+'Profit &amp; Loss Statement'!K76&lt;0,0,+'Profit &amp; Loss Statement'!K76)</f>
        <v>0</v>
      </c>
    </row>
    <row r="31" spans="1:10" ht="18.75" thickBot="1">
      <c r="A31" s="12"/>
      <c r="D31" s="97"/>
      <c r="E31" s="97"/>
      <c r="F31" s="97"/>
      <c r="G31" s="97"/>
      <c r="H31" s="97"/>
      <c r="I31" s="97"/>
      <c r="J31" s="127"/>
    </row>
    <row r="32" spans="1:10" ht="18.75" thickBot="1">
      <c r="A32" s="16" t="s">
        <v>348</v>
      </c>
      <c r="B32" s="17" t="s">
        <v>349</v>
      </c>
      <c r="C32" s="17"/>
      <c r="D32" s="97">
        <f t="shared" ref="D32:J32" si="2">SUM(D19:D31)</f>
        <v>0</v>
      </c>
      <c r="E32" s="97">
        <f t="shared" si="2"/>
        <v>0</v>
      </c>
      <c r="F32" s="97">
        <f t="shared" si="2"/>
        <v>0</v>
      </c>
      <c r="G32" s="97">
        <f t="shared" si="2"/>
        <v>0</v>
      </c>
      <c r="H32" s="97">
        <f t="shared" si="2"/>
        <v>0</v>
      </c>
      <c r="I32" s="97">
        <f t="shared" si="2"/>
        <v>0</v>
      </c>
      <c r="J32" s="127">
        <f t="shared" si="2"/>
        <v>0</v>
      </c>
    </row>
    <row r="33" spans="1:10">
      <c r="A33" s="12"/>
      <c r="D33" s="97"/>
      <c r="E33" s="97"/>
      <c r="F33" s="97"/>
      <c r="G33" s="97"/>
      <c r="H33" s="97"/>
      <c r="I33" s="97"/>
      <c r="J33" s="127"/>
    </row>
    <row r="34" spans="1:10">
      <c r="A34" s="12"/>
      <c r="B34" s="5" t="s">
        <v>350</v>
      </c>
      <c r="D34" s="97">
        <f>IF(+'Balance Sheet'!D14-'Balance Sheet'!C14&lt;0,0,+'Balance Sheet'!D14-'Balance Sheet'!C14)</f>
        <v>0</v>
      </c>
      <c r="E34" s="97">
        <f>IF(+'Balance Sheet'!E14-'Balance Sheet'!D14&lt;0,0,+'Balance Sheet'!E14-'Balance Sheet'!D14)</f>
        <v>0</v>
      </c>
      <c r="F34" s="97">
        <f>IF(+'Balance Sheet'!F14-'Balance Sheet'!E14&lt;0,0,+'Balance Sheet'!F14-'Balance Sheet'!E14)</f>
        <v>0</v>
      </c>
      <c r="G34" s="97">
        <f>IF(+'Balance Sheet'!G14-'Balance Sheet'!F14&lt;0,0,+'Balance Sheet'!G14-'Balance Sheet'!F14)</f>
        <v>0</v>
      </c>
      <c r="H34" s="97">
        <f>IF(+'Balance Sheet'!H14-'Balance Sheet'!G14&lt;0,0,+'Balance Sheet'!H14-'Balance Sheet'!G14)</f>
        <v>0</v>
      </c>
      <c r="I34" s="97">
        <f>IF(+'Balance Sheet'!I14-'Balance Sheet'!H14&lt;0,0,+'Balance Sheet'!I14-'Balance Sheet'!H14)</f>
        <v>0</v>
      </c>
      <c r="J34" s="127">
        <f>IF(+'Balance Sheet'!J14-'Balance Sheet'!I14&lt;0,0,+'Balance Sheet'!J14-'Balance Sheet'!I14)</f>
        <v>0</v>
      </c>
    </row>
    <row r="35" spans="1:10">
      <c r="A35" s="12"/>
      <c r="D35" s="97"/>
      <c r="E35" s="97"/>
      <c r="F35" s="97"/>
      <c r="G35" s="97"/>
      <c r="H35" s="97"/>
      <c r="I35" s="97"/>
      <c r="J35" s="127"/>
    </row>
    <row r="36" spans="1:10">
      <c r="A36" s="12"/>
      <c r="B36" s="5" t="s">
        <v>351</v>
      </c>
      <c r="D36" s="97">
        <f>IF(+'Balance Sheet'!D49-'Balance Sheet'!C49&lt;0,0,+'Balance Sheet'!D49-'Balance Sheet'!C49)</f>
        <v>0.64000000000001478</v>
      </c>
      <c r="E36" s="97">
        <f>IF(+'Balance Sheet'!E49-'Balance Sheet'!D49&lt;0,0,+'Balance Sheet'!E49-'Balance Sheet'!D49)</f>
        <v>0.41999999999998749</v>
      </c>
      <c r="F36" s="97">
        <f>IF(+'Balance Sheet'!F49-'Balance Sheet'!E49&lt;0,0,+'Balance Sheet'!F49-'Balance Sheet'!E49)</f>
        <v>0.18000000000000682</v>
      </c>
      <c r="G36" s="97">
        <f>IF(+'Balance Sheet'!G49-'Balance Sheet'!F49&lt;0,0,+'Balance Sheet'!G49-'Balance Sheet'!F49)</f>
        <v>0.21000000000000796</v>
      </c>
      <c r="H36" s="97">
        <f>IF(+'Balance Sheet'!H49-'Balance Sheet'!G49&lt;0,0,+'Balance Sheet'!H49-'Balance Sheet'!G49)</f>
        <v>0.19999999999998863</v>
      </c>
      <c r="I36" s="97">
        <f>IF(+'Balance Sheet'!I49-'Balance Sheet'!H49&lt;0,0,+'Balance Sheet'!I49-'Balance Sheet'!H49)</f>
        <v>0</v>
      </c>
      <c r="J36" s="127">
        <f>IF(+'Balance Sheet'!J49-'Balance Sheet'!I49&lt;0,0,+'Balance Sheet'!J49-'Balance Sheet'!I49)</f>
        <v>0</v>
      </c>
    </row>
    <row r="37" spans="1:10">
      <c r="A37" s="12"/>
      <c r="D37" s="97"/>
      <c r="E37" s="97"/>
      <c r="F37" s="97"/>
      <c r="G37" s="97"/>
      <c r="H37" s="97"/>
      <c r="I37" s="97"/>
      <c r="J37" s="127"/>
    </row>
    <row r="38" spans="1:10">
      <c r="A38" s="12"/>
      <c r="B38" s="5" t="s">
        <v>352</v>
      </c>
      <c r="D38" s="97">
        <f>IF(SUM('Balance Sheet'!O29:O37)-SUM('Balance Sheet'!N29:N37)&gt;0,0,SUM('Balance Sheet'!N29:N37)-SUM('Balance Sheet'!O29:O37))</f>
        <v>0</v>
      </c>
      <c r="E38" s="97">
        <f>IF(SUM('Balance Sheet'!P29:P37)-SUM('Balance Sheet'!O29:O37)&gt;0,0,SUM('Balance Sheet'!O29:O37)-SUM('Balance Sheet'!P29:P37))</f>
        <v>0</v>
      </c>
      <c r="F38" s="97">
        <f>IF(SUM('Balance Sheet'!Q29:Q37)-SUM('Balance Sheet'!P29:P37)&gt;0,0,SUM('Balance Sheet'!P29:P37)-SUM('Balance Sheet'!Q29:Q37))</f>
        <v>0</v>
      </c>
      <c r="G38" s="97">
        <f>IF(SUM('Balance Sheet'!R29:R37)-SUM('Balance Sheet'!Q29:Q37)&gt;0,0,SUM('Balance Sheet'!Q29:Q37)-SUM('Balance Sheet'!R29:R37))</f>
        <v>0</v>
      </c>
      <c r="H38" s="97">
        <f>IF(SUM('Balance Sheet'!S29:S37)-SUM('Balance Sheet'!R29:R37)&gt;0,0,SUM('Balance Sheet'!R29:R37)-SUM('Balance Sheet'!S29:S37))</f>
        <v>0</v>
      </c>
      <c r="I38" s="97">
        <f>IF(SUM('Balance Sheet'!T29:T37)-SUM('Balance Sheet'!S29:S37)&gt;0,0,SUM('Balance Sheet'!S29:S37)-SUM('Balance Sheet'!T29:T37))</f>
        <v>0</v>
      </c>
      <c r="J38" s="127">
        <f>IF(SUM('Balance Sheet'!U29:U37)-SUM('Balance Sheet'!T29:T37)&gt;0,0,SUM('Balance Sheet'!T29:T37)-SUM('Balance Sheet'!U29:U37))</f>
        <v>0</v>
      </c>
    </row>
    <row r="39" spans="1:10">
      <c r="A39" s="12"/>
      <c r="D39" s="97"/>
      <c r="E39" s="97"/>
      <c r="F39" s="97"/>
      <c r="G39" s="97"/>
      <c r="H39" s="97"/>
      <c r="I39" s="97"/>
      <c r="J39" s="127"/>
    </row>
    <row r="40" spans="1:10">
      <c r="A40" s="12"/>
      <c r="B40" s="5" t="s">
        <v>353</v>
      </c>
      <c r="D40" s="97">
        <f>IF(+'Balance Sheet'!O18+'Balance Sheet'!O22+'Balance Sheet'!O25-'Balance Sheet'!N18-'Balance Sheet'!N22-'Balance Sheet'!N25&gt;0,0,+'Balance Sheet'!N18+'Balance Sheet'!N22+'Balance Sheet'!N25-'Balance Sheet'!O18-'Balance Sheet'!O22-'Balance Sheet'!O25)</f>
        <v>0</v>
      </c>
      <c r="E40" s="97">
        <f>IF(+'Balance Sheet'!P18+'Balance Sheet'!P22+'Balance Sheet'!P25-'Balance Sheet'!O18-'Balance Sheet'!O22-'Balance Sheet'!O25&gt;0,0,+'Balance Sheet'!O18+'Balance Sheet'!O22+'Balance Sheet'!O25-'Balance Sheet'!P18-'Balance Sheet'!P22-'Balance Sheet'!P25)</f>
        <v>0</v>
      </c>
      <c r="F40" s="97">
        <f>IF(+'Balance Sheet'!Q18+'Balance Sheet'!Q22+'Balance Sheet'!Q25-'Balance Sheet'!P18-'Balance Sheet'!P22-'Balance Sheet'!P25&gt;0,0,+'Balance Sheet'!P18+'Balance Sheet'!P22+'Balance Sheet'!P25-'Balance Sheet'!Q18-'Balance Sheet'!Q22-'Balance Sheet'!Q25)</f>
        <v>0</v>
      </c>
      <c r="G40" s="97">
        <f>IF(+'Balance Sheet'!R18+'Balance Sheet'!R22+'Balance Sheet'!R25-'Balance Sheet'!Q18-'Balance Sheet'!Q22-'Balance Sheet'!Q25&gt;0,0,+'Balance Sheet'!Q18+'Balance Sheet'!Q22+'Balance Sheet'!Q25-'Balance Sheet'!R18-'Balance Sheet'!R22-'Balance Sheet'!R25)</f>
        <v>0</v>
      </c>
      <c r="H40" s="97">
        <f>IF(+'Balance Sheet'!S18+'Balance Sheet'!S22+'Balance Sheet'!S25-'Balance Sheet'!R18-'Balance Sheet'!R22-'Balance Sheet'!R25&gt;0,0,+'Balance Sheet'!R18+'Balance Sheet'!R22+'Balance Sheet'!R25-'Balance Sheet'!S18-'Balance Sheet'!S22-'Balance Sheet'!S25)</f>
        <v>0</v>
      </c>
      <c r="I40" s="97">
        <f>IF(+'Balance Sheet'!T18+'Balance Sheet'!T22+'Balance Sheet'!T25-'Balance Sheet'!S18-'Balance Sheet'!S22-'Balance Sheet'!S25&gt;0,0,+'Balance Sheet'!S18+'Balance Sheet'!S22+'Balance Sheet'!S25-'Balance Sheet'!T18-'Balance Sheet'!T22-'Balance Sheet'!T25)</f>
        <v>0</v>
      </c>
      <c r="J40" s="127">
        <f>IF(+'Balance Sheet'!U18+'Balance Sheet'!U22+'Balance Sheet'!U25-'Balance Sheet'!T18-'Balance Sheet'!T22-'Balance Sheet'!T25&gt;0,0,+'Balance Sheet'!T18+'Balance Sheet'!T22+'Balance Sheet'!T25-'Balance Sheet'!U18-'Balance Sheet'!U22-'Balance Sheet'!U25)</f>
        <v>0</v>
      </c>
    </row>
    <row r="41" spans="1:10">
      <c r="A41" s="12"/>
      <c r="D41" s="97"/>
      <c r="E41" s="97"/>
      <c r="F41" s="97"/>
      <c r="G41" s="97"/>
      <c r="H41" s="97"/>
      <c r="I41" s="97"/>
      <c r="J41" s="127"/>
    </row>
    <row r="42" spans="1:10">
      <c r="A42" s="12"/>
      <c r="B42" s="5" t="s">
        <v>354</v>
      </c>
      <c r="D42" s="97">
        <f>IF(SUM('Balance Sheet'!O39:O48)-SUM('Balance Sheet'!N39:N48)+SUM('Balance Sheet'!O7:O16)-SUM('Balance Sheet'!N7:N16)&gt;0,0,SUM('Balance Sheet'!N7:N16)-SUM('Balance Sheet'!O7:O16)+SUM('Balance Sheet'!N39:N48)-SUM('Balance Sheet'!O39:O48))</f>
        <v>0</v>
      </c>
      <c r="E42" s="97">
        <f>IF(SUM('Balance Sheet'!P39:P48)-SUM('Balance Sheet'!O39:O48)+SUM('Balance Sheet'!P7:P16)-SUM('Balance Sheet'!O7:O16)&gt;0,0,SUM('Balance Sheet'!O7:O16)-SUM('Balance Sheet'!P7:P16)+SUM('Balance Sheet'!O39:O48)-SUM('Balance Sheet'!P39:P48))</f>
        <v>0</v>
      </c>
      <c r="F42" s="97">
        <f>IF(SUM('Balance Sheet'!Q39:Q48)-SUM('Balance Sheet'!P39:P48)+SUM('Balance Sheet'!Q7:Q16)-SUM('Balance Sheet'!P7:P16)&gt;0,0,SUM('Balance Sheet'!P7:P16)-SUM('Balance Sheet'!Q7:Q16)+SUM('Balance Sheet'!P39:P48)-SUM('Balance Sheet'!Q39:Q48))</f>
        <v>0</v>
      </c>
      <c r="G42" s="97">
        <f>IF(SUM('Balance Sheet'!R39:R48)-SUM('Balance Sheet'!Q39:Q48)+SUM('Balance Sheet'!R7:R16)-SUM('Balance Sheet'!Q7:Q16)&gt;0,0,SUM('Balance Sheet'!Q7:Q16)-SUM('Balance Sheet'!R7:R16)+SUM('Balance Sheet'!Q39:Q48)-SUM('Balance Sheet'!R39:R48))</f>
        <v>0</v>
      </c>
      <c r="H42" s="97">
        <f>IF(SUM('Balance Sheet'!S39:S48)-SUM('Balance Sheet'!R39:R48)+SUM('Balance Sheet'!S7:S16)-SUM('Balance Sheet'!R7:R16)&gt;0,0,SUM('Balance Sheet'!R7:R16)-SUM('Balance Sheet'!S7:S16)+SUM('Balance Sheet'!R39:R48)-SUM('Balance Sheet'!S39:S48))</f>
        <v>0</v>
      </c>
      <c r="I42" s="97">
        <f>IF(SUM('Balance Sheet'!T39:T48)-SUM('Balance Sheet'!S39:S48)+SUM('Balance Sheet'!T7:T16)-SUM('Balance Sheet'!S7:S16)&gt;0,0,SUM('Balance Sheet'!S7:S16)-SUM('Balance Sheet'!T7:T16)+SUM('Balance Sheet'!S39:S48)-SUM('Balance Sheet'!T39:T48))</f>
        <v>0</v>
      </c>
      <c r="J42" s="127">
        <f>IF(SUM('Balance Sheet'!U39:U48)-SUM('Balance Sheet'!T39:T48)+SUM('Balance Sheet'!U7:U16)-SUM('Balance Sheet'!T7:T16)&gt;0,0,SUM('Balance Sheet'!T7:T16)-SUM('Balance Sheet'!U7:U16)+SUM('Balance Sheet'!T39:T48)-SUM('Balance Sheet'!U39:U48))</f>
        <v>0</v>
      </c>
    </row>
    <row r="43" spans="1:10" ht="18.75" thickBot="1">
      <c r="A43" s="12"/>
      <c r="D43" s="97"/>
      <c r="E43" s="97"/>
      <c r="F43" s="97"/>
      <c r="G43" s="97"/>
      <c r="H43" s="97"/>
      <c r="I43" s="97"/>
      <c r="J43" s="127"/>
    </row>
    <row r="44" spans="1:10" ht="18.75" thickBot="1">
      <c r="A44" s="16" t="s">
        <v>355</v>
      </c>
      <c r="B44" s="17" t="s">
        <v>349</v>
      </c>
      <c r="C44" s="17"/>
      <c r="D44" s="97">
        <f t="shared" ref="D44:J44" si="3">SUM(D34:D42)</f>
        <v>0.64000000000001478</v>
      </c>
      <c r="E44" s="97">
        <f t="shared" si="3"/>
        <v>0.41999999999998749</v>
      </c>
      <c r="F44" s="97">
        <f t="shared" si="3"/>
        <v>0.18000000000000682</v>
      </c>
      <c r="G44" s="97">
        <f t="shared" si="3"/>
        <v>0.21000000000000796</v>
      </c>
      <c r="H44" s="97">
        <f t="shared" si="3"/>
        <v>0.19999999999998863</v>
      </c>
      <c r="I44" s="97">
        <f t="shared" si="3"/>
        <v>0</v>
      </c>
      <c r="J44" s="127">
        <f t="shared" si="3"/>
        <v>0</v>
      </c>
    </row>
    <row r="45" spans="1:10" ht="18.75" thickBot="1">
      <c r="A45" s="16"/>
      <c r="B45" s="17" t="s">
        <v>356</v>
      </c>
      <c r="C45" s="17"/>
      <c r="D45" s="128">
        <f t="shared" ref="D45:J45" si="4">+D44+D32+D18</f>
        <v>248.80999999999995</v>
      </c>
      <c r="E45" s="128">
        <f t="shared" si="4"/>
        <v>254.46999999999989</v>
      </c>
      <c r="F45" s="128">
        <f t="shared" si="4"/>
        <v>272.58</v>
      </c>
      <c r="G45" s="128">
        <f t="shared" si="4"/>
        <v>291.37000000000023</v>
      </c>
      <c r="H45" s="128">
        <f t="shared" si="4"/>
        <v>314.77</v>
      </c>
      <c r="I45" s="128">
        <f t="shared" si="4"/>
        <v>337.14000000000016</v>
      </c>
      <c r="J45" s="129">
        <f t="shared" si="4"/>
        <v>358.03000000000009</v>
      </c>
    </row>
    <row r="46" spans="1:10">
      <c r="B46" s="4" t="s">
        <v>357</v>
      </c>
      <c r="D46" s="5">
        <f>'Financial Indicator &amp; Ratios'!B59</f>
        <v>0</v>
      </c>
    </row>
    <row r="47" spans="1:10">
      <c r="C47" s="87"/>
      <c r="F47" s="85"/>
    </row>
  </sheetData>
  <mergeCells count="1">
    <mergeCell ref="D4:J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0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6B15-FEF6-402A-B0FF-E74742D742A6}">
  <dimension ref="A1:I69"/>
  <sheetViews>
    <sheetView zoomScale="75" zoomScaleNormal="100" workbookViewId="0">
      <selection activeCell="C6" sqref="C6"/>
    </sheetView>
  </sheetViews>
  <sheetFormatPr defaultColWidth="8.6640625" defaultRowHeight="15"/>
  <cols>
    <col min="1" max="1" width="2.6640625" customWidth="1"/>
    <col min="2" max="2" width="34.33203125" customWidth="1"/>
    <col min="3" max="3" width="11" customWidth="1"/>
    <col min="4" max="4" width="13.6640625" customWidth="1"/>
    <col min="5" max="9" width="12.6640625" customWidth="1"/>
  </cols>
  <sheetData>
    <row r="1" spans="1:9" ht="18">
      <c r="A1" s="5"/>
      <c r="B1" s="5"/>
      <c r="C1" s="5"/>
      <c r="D1" s="5"/>
      <c r="E1" s="5" t="s">
        <v>155</v>
      </c>
    </row>
    <row r="2" spans="1:9" ht="18">
      <c r="A2" s="5"/>
      <c r="B2" s="5" t="s">
        <v>331</v>
      </c>
      <c r="C2" s="5" t="s">
        <v>358</v>
      </c>
      <c r="D2" s="5"/>
      <c r="E2" s="4" t="s">
        <v>332</v>
      </c>
    </row>
    <row r="3" spans="1:9" ht="18.75" thickBot="1">
      <c r="A3" s="5"/>
      <c r="B3" s="5"/>
      <c r="C3" s="5"/>
      <c r="D3" s="5"/>
      <c r="E3" s="5"/>
    </row>
    <row r="4" spans="1:9" ht="18.75" thickBot="1">
      <c r="A4" s="13"/>
      <c r="B4" s="2"/>
      <c r="C4" s="164" t="s">
        <v>333</v>
      </c>
      <c r="D4" s="166"/>
      <c r="E4" s="166"/>
      <c r="F4" s="166"/>
      <c r="G4" s="166"/>
      <c r="H4" s="166"/>
      <c r="I4" s="165"/>
    </row>
    <row r="5" spans="1:9" ht="18">
      <c r="A5" s="12"/>
      <c r="B5" s="5" t="s">
        <v>359</v>
      </c>
      <c r="C5" s="121" t="str">
        <f>'Fund Flow'!D5</f>
        <v>31.03.2023</v>
      </c>
      <c r="D5" s="118">
        <f>'Fund Flow'!E5</f>
        <v>45382</v>
      </c>
      <c r="E5" s="118">
        <f>'Fund Flow'!F5</f>
        <v>45747</v>
      </c>
      <c r="F5" s="118">
        <f>'Fund Flow'!G5</f>
        <v>46112</v>
      </c>
      <c r="G5" s="118">
        <f>'Fund Flow'!H5</f>
        <v>46477</v>
      </c>
      <c r="H5" s="118" t="str">
        <f>'Fund Flow'!I5</f>
        <v>31.03.2028</v>
      </c>
      <c r="I5" s="122" t="str">
        <f>'Fund Flow'!J5</f>
        <v>31.03.2029</v>
      </c>
    </row>
    <row r="6" spans="1:9" ht="18.75" thickBot="1">
      <c r="A6" s="10"/>
      <c r="B6" s="7"/>
      <c r="C6" s="131" t="str">
        <f>'Fund Flow'!D6</f>
        <v>Actuals</v>
      </c>
      <c r="D6" s="132" t="str">
        <f>'Fund Flow'!E6</f>
        <v>Actuals</v>
      </c>
      <c r="E6" s="132" t="str">
        <f>'Fund Flow'!F6</f>
        <v>Estimated</v>
      </c>
      <c r="F6" s="132" t="str">
        <f>'Fund Flow'!G6</f>
        <v>Projected</v>
      </c>
      <c r="G6" s="132" t="str">
        <f>'Fund Flow'!H6</f>
        <v>Projected</v>
      </c>
      <c r="H6" s="132" t="str">
        <f>'Fund Flow'!I6</f>
        <v>Projected</v>
      </c>
      <c r="I6" s="133" t="str">
        <f>'Fund Flow'!J6</f>
        <v>Projected</v>
      </c>
    </row>
    <row r="7" spans="1:9" ht="18">
      <c r="A7" s="12"/>
      <c r="B7" s="5"/>
      <c r="C7" s="120"/>
      <c r="D7" s="120"/>
      <c r="E7" s="120"/>
      <c r="F7" s="130"/>
      <c r="G7" s="130"/>
      <c r="H7" s="130"/>
      <c r="I7" s="134"/>
    </row>
    <row r="8" spans="1:9" ht="18">
      <c r="A8" s="12"/>
      <c r="B8" s="5" t="s">
        <v>360</v>
      </c>
      <c r="C8" s="97">
        <f>IF(+'Balance Sheet2'!O8-'Balance Sheet2'!N8&lt;0,0,+'Balance Sheet2'!O8-'Balance Sheet2'!N8)</f>
        <v>0</v>
      </c>
      <c r="D8" s="97">
        <f>IF(+'Balance Sheet2'!P8-'Balance Sheet2'!O8&lt;0,0,+'Balance Sheet2'!P8-'Balance Sheet2'!O8)</f>
        <v>0</v>
      </c>
      <c r="E8" s="97">
        <f>IF(+'Balance Sheet2'!Q8-'Balance Sheet2'!P8&lt;0,0,+'Balance Sheet2'!Q8-'Balance Sheet2'!P8)</f>
        <v>0</v>
      </c>
      <c r="F8" s="97">
        <f>IF(+'Balance Sheet2'!R8-'Balance Sheet2'!Q8&lt;0,0,+'Balance Sheet2'!R8-'Balance Sheet2'!Q8)</f>
        <v>0</v>
      </c>
      <c r="G8" s="97">
        <f>IF(+'Balance Sheet2'!S8-'Balance Sheet2'!R8&lt;0,0,+'Balance Sheet2'!S8-'Balance Sheet2'!R8)</f>
        <v>0</v>
      </c>
      <c r="H8" s="97">
        <f>IF(+'Balance Sheet2'!T8-'Balance Sheet2'!S8&lt;0,0,+'Balance Sheet2'!T8-'Balance Sheet2'!S8)</f>
        <v>0</v>
      </c>
      <c r="I8" s="127">
        <f>IF(+'Balance Sheet2'!U8-'Balance Sheet2'!T8&lt;0,0,+'Balance Sheet2'!U8-'Balance Sheet2'!T8)</f>
        <v>0</v>
      </c>
    </row>
    <row r="9" spans="1:9" ht="18">
      <c r="A9" s="12"/>
      <c r="B9" s="5"/>
      <c r="C9" s="97"/>
      <c r="D9" s="97"/>
      <c r="E9" s="97"/>
      <c r="F9" s="97"/>
      <c r="G9" s="97"/>
      <c r="H9" s="97"/>
      <c r="I9" s="127"/>
    </row>
    <row r="10" spans="1:9" ht="18">
      <c r="A10" s="12"/>
      <c r="B10" s="5" t="s">
        <v>361</v>
      </c>
      <c r="C10" s="97">
        <f>IF(SUM('Balance Sheet2'!C9:C20)-SUM('Balance Sheet2'!D8:D20)&lt;0,0,SUM('Balance Sheet2'!C8:C20)-SUM('Balance Sheet2'!D8:D20))</f>
        <v>134.28999999999996</v>
      </c>
      <c r="D10" s="97">
        <f>IF(SUM('Balance Sheet2'!D9:D20)-SUM('Balance Sheet2'!E8:E20)&lt;0,0,SUM('Balance Sheet2'!D8:D20)-SUM('Balance Sheet2'!E8:E20))</f>
        <v>134.28999999999996</v>
      </c>
      <c r="E10" s="97">
        <f>IF(SUM('Balance Sheet2'!E9:E20)-SUM('Balance Sheet2'!F8:F20)&lt;0,0,SUM('Balance Sheet2'!E8:E20)-SUM('Balance Sheet2'!F8:F20))</f>
        <v>134.29000000000008</v>
      </c>
      <c r="F10" s="97">
        <f>IF(SUM('Balance Sheet2'!F9:F20)-SUM('Balance Sheet2'!G8:G20)&lt;0,0,SUM('Balance Sheet2'!F8:F20)-SUM('Balance Sheet2'!G8:G20))</f>
        <v>134.28999999999996</v>
      </c>
      <c r="G10" s="97">
        <f>IF(SUM('Balance Sheet2'!G9:G20)-SUM('Balance Sheet2'!H8:H20)&lt;0,0,SUM('Balance Sheet2'!G8:G20)-SUM('Balance Sheet2'!H8:H20))</f>
        <v>134.29000000000002</v>
      </c>
      <c r="H10" s="97">
        <f>IF(SUM('Balance Sheet2'!H9:H20)-SUM('Balance Sheet2'!I8:I20)&lt;0,0,SUM('Balance Sheet2'!H8:H20)-SUM('Balance Sheet2'!I8:I20))</f>
        <v>123.07</v>
      </c>
      <c r="I10" s="127">
        <f>IF(SUM('Balance Sheet2'!I9:I20)-SUM('Balance Sheet2'!J8:J20)&lt;0,0,SUM('Balance Sheet2'!I8:I20)-SUM('Balance Sheet2'!J8:J20))</f>
        <v>0</v>
      </c>
    </row>
    <row r="11" spans="1:9" ht="18">
      <c r="A11" s="12"/>
      <c r="B11" s="5"/>
      <c r="C11" s="97"/>
      <c r="D11" s="97"/>
      <c r="E11" s="97"/>
      <c r="F11" s="97"/>
      <c r="G11" s="97"/>
      <c r="H11" s="97"/>
      <c r="I11" s="127"/>
    </row>
    <row r="12" spans="1:9" ht="18">
      <c r="A12" s="12"/>
      <c r="B12" s="5" t="s">
        <v>362</v>
      </c>
      <c r="C12" s="97">
        <f>IF(+'Balance Sheet2'!C22-'Balance Sheet2'!D22&lt;0,0,+'Balance Sheet2'!C22-'Balance Sheet2'!D22)</f>
        <v>0</v>
      </c>
      <c r="D12" s="97">
        <f>IF(+'Balance Sheet2'!D22-'Balance Sheet2'!E22&lt;0,0,+'Balance Sheet2'!D22-'Balance Sheet2'!E22)</f>
        <v>0</v>
      </c>
      <c r="E12" s="97">
        <f>IF(+'Balance Sheet2'!E22-'Balance Sheet2'!F22&lt;0,0,+'Balance Sheet2'!E22-'Balance Sheet2'!F22)</f>
        <v>0</v>
      </c>
      <c r="F12" s="97">
        <f>IF(+'Balance Sheet2'!F22-'Balance Sheet2'!G22&lt;0,0,+'Balance Sheet2'!F22-'Balance Sheet2'!G22)</f>
        <v>0</v>
      </c>
      <c r="G12" s="97">
        <f>IF(+'Balance Sheet2'!G22-'Balance Sheet2'!H22&lt;0,0,+'Balance Sheet2'!G22-'Balance Sheet2'!H22)</f>
        <v>0</v>
      </c>
      <c r="H12" s="97">
        <f>IF(+'Balance Sheet2'!H22-'Balance Sheet2'!I22&lt;0,0,+'Balance Sheet2'!H22-'Balance Sheet2'!I22)</f>
        <v>0</v>
      </c>
      <c r="I12" s="127">
        <f>IF(+'Balance Sheet2'!I22-'Balance Sheet2'!J22&lt;0,0,+'Balance Sheet2'!I22-'Balance Sheet2'!J22)</f>
        <v>0</v>
      </c>
    </row>
    <row r="13" spans="1:9" ht="18">
      <c r="A13" s="12"/>
      <c r="B13" s="5"/>
      <c r="C13" s="97"/>
      <c r="D13" s="97"/>
      <c r="E13" s="97"/>
      <c r="F13" s="97"/>
      <c r="G13" s="97"/>
      <c r="H13" s="97"/>
      <c r="I13" s="127"/>
    </row>
    <row r="14" spans="1:9" ht="18">
      <c r="A14" s="12"/>
      <c r="B14" s="5" t="s">
        <v>363</v>
      </c>
      <c r="C14" s="97">
        <f>IF(+'Balance Sheet2'!O23-'Balance Sheet2'!N23&lt;0,0,'Balance Sheet2'!O23-'Balance Sheet2'!N23)</f>
        <v>0</v>
      </c>
      <c r="D14" s="97">
        <f>IF(+'Balance Sheet2'!P23-'Balance Sheet2'!O23&lt;0,0,'Balance Sheet2'!P23-'Balance Sheet2'!O23)</f>
        <v>0</v>
      </c>
      <c r="E14" s="97">
        <f>IF(+'Balance Sheet2'!Q23-'Balance Sheet2'!P23&lt;0,0,'Balance Sheet2'!Q23-'Balance Sheet2'!P23)</f>
        <v>0</v>
      </c>
      <c r="F14" s="97">
        <f>IF(+'Balance Sheet2'!R23-'Balance Sheet2'!Q23&lt;0,0,'Balance Sheet2'!R23-'Balance Sheet2'!Q23)</f>
        <v>0</v>
      </c>
      <c r="G14" s="97">
        <f>IF(+'Balance Sheet2'!S23-'Balance Sheet2'!R23&lt;0,0,'Balance Sheet2'!S23-'Balance Sheet2'!R23)</f>
        <v>0</v>
      </c>
      <c r="H14" s="97">
        <f>IF(+'Balance Sheet2'!T23-'Balance Sheet2'!S23&lt;0,0,'Balance Sheet2'!T23-'Balance Sheet2'!S23)</f>
        <v>0</v>
      </c>
      <c r="I14" s="127">
        <f>IF(+'Balance Sheet2'!U23-'Balance Sheet2'!T23&lt;0,0,'Balance Sheet2'!U23-'Balance Sheet2'!T23)</f>
        <v>0</v>
      </c>
    </row>
    <row r="15" spans="1:9" ht="18">
      <c r="A15" s="12"/>
      <c r="B15" s="5"/>
      <c r="C15" s="97"/>
      <c r="D15" s="97"/>
      <c r="E15" s="97"/>
      <c r="F15" s="97"/>
      <c r="G15" s="97"/>
      <c r="H15" s="97"/>
      <c r="I15" s="127"/>
    </row>
    <row r="16" spans="1:9" ht="18">
      <c r="A16" s="12"/>
      <c r="B16" s="5" t="s">
        <v>364</v>
      </c>
      <c r="C16" s="97">
        <f>IF(SUM('Balance Sheet2'!N26:N40)-SUM('Balance Sheet2'!O26:O40)+'Balance Sheet2'!N45-'Balance Sheet2'!O45&gt;0,0,SUM('Balance Sheet2'!O26:O40)-SUM('Balance Sheet2'!N26:N40)+'Balance Sheet2'!O45-'Balance Sheet2'!N45)</f>
        <v>0</v>
      </c>
      <c r="D16" s="97">
        <f>IF(SUM('Balance Sheet2'!O26:O40)-SUM('Balance Sheet2'!P26:P40)+'Balance Sheet2'!O45-'Balance Sheet2'!P45&gt;0,0,SUM('Balance Sheet2'!P26:P40)-SUM('Balance Sheet2'!O26:O40)+'Balance Sheet2'!P45-'Balance Sheet2'!O45)</f>
        <v>0</v>
      </c>
      <c r="E16" s="97">
        <f>IF(SUM('Balance Sheet2'!P26:P40)-SUM('Balance Sheet2'!Q26:Q40)+'Balance Sheet2'!P45-'Balance Sheet2'!Q45&gt;0,0,SUM('Balance Sheet2'!Q26:Q40)-SUM('Balance Sheet2'!P26:P40)+'Balance Sheet2'!Q45-'Balance Sheet2'!P45)</f>
        <v>0</v>
      </c>
      <c r="F16" s="97">
        <f>IF(SUM('Balance Sheet2'!Q26:Q40)-SUM('Balance Sheet2'!R26:R40)+'Balance Sheet2'!Q45-'Balance Sheet2'!R45&gt;0,0,SUM('Balance Sheet2'!R26:R40)-SUM('Balance Sheet2'!Q26:Q40)+'Balance Sheet2'!R45-'Balance Sheet2'!Q45)</f>
        <v>0</v>
      </c>
      <c r="G16" s="97">
        <f>IF(SUM('Balance Sheet2'!R26:R40)-SUM('Balance Sheet2'!S26:S40)+'Balance Sheet2'!R45-'Balance Sheet2'!S45&gt;0,0,SUM('Balance Sheet2'!S26:S40)-SUM('Balance Sheet2'!R26:R40)+'Balance Sheet2'!S45-'Balance Sheet2'!R45)</f>
        <v>0</v>
      </c>
      <c r="H16" s="97">
        <f>IF(SUM('Balance Sheet2'!S26:S40)-SUM('Balance Sheet2'!T26:T40)+'Balance Sheet2'!S45-'Balance Sheet2'!T45&gt;0,0,SUM('Balance Sheet2'!T26:T40)-SUM('Balance Sheet2'!S26:S40)+'Balance Sheet2'!T45-'Balance Sheet2'!S45)</f>
        <v>0</v>
      </c>
      <c r="I16" s="127">
        <f>IF(SUM('Balance Sheet2'!T26:T40)-SUM('Balance Sheet2'!U26:U40)+'Balance Sheet2'!T45-'Balance Sheet2'!U45&gt;0,0,SUM('Balance Sheet2'!U26:U40)-SUM('Balance Sheet2'!T26:T40)+'Balance Sheet2'!U45-'Balance Sheet2'!T45)</f>
        <v>0</v>
      </c>
    </row>
    <row r="17" spans="1:9" ht="18.75" thickBot="1">
      <c r="A17" s="12"/>
      <c r="B17" s="5"/>
      <c r="C17" s="97"/>
      <c r="D17" s="97"/>
      <c r="E17" s="97"/>
      <c r="F17" s="97"/>
      <c r="G17" s="97"/>
      <c r="H17" s="97"/>
      <c r="I17" s="127"/>
    </row>
    <row r="18" spans="1:9" ht="18.75" thickBot="1">
      <c r="A18" s="16" t="s">
        <v>365</v>
      </c>
      <c r="B18" s="17" t="s">
        <v>349</v>
      </c>
      <c r="C18" s="97">
        <f t="shared" ref="C18:I18" si="0">SUM(C7:C17)</f>
        <v>134.28999999999996</v>
      </c>
      <c r="D18" s="97">
        <f t="shared" si="0"/>
        <v>134.28999999999996</v>
      </c>
      <c r="E18" s="97">
        <f t="shared" si="0"/>
        <v>134.29000000000008</v>
      </c>
      <c r="F18" s="97">
        <f t="shared" si="0"/>
        <v>134.28999999999996</v>
      </c>
      <c r="G18" s="97">
        <f t="shared" si="0"/>
        <v>134.29000000000002</v>
      </c>
      <c r="H18" s="97">
        <f t="shared" si="0"/>
        <v>123.07</v>
      </c>
      <c r="I18" s="127">
        <f t="shared" si="0"/>
        <v>0</v>
      </c>
    </row>
    <row r="19" spans="1:9" ht="18">
      <c r="A19" s="12"/>
      <c r="B19" s="5"/>
      <c r="C19" s="97"/>
      <c r="D19" s="97"/>
      <c r="E19" s="97"/>
      <c r="F19" s="96"/>
      <c r="G19" s="96"/>
      <c r="H19" s="96"/>
      <c r="I19" s="135"/>
    </row>
    <row r="20" spans="1:9" ht="18">
      <c r="A20" s="12"/>
      <c r="B20" s="5" t="s">
        <v>366</v>
      </c>
      <c r="C20" s="97">
        <f>IF(+'Balance Sheet'!C14-'Balance Sheet'!D14&lt;0,0,'Balance Sheet'!C14-'Balance Sheet'!D14)</f>
        <v>0</v>
      </c>
      <c r="D20" s="97">
        <f>IF(+'Balance Sheet'!D14-'Balance Sheet'!E14&lt;0,0,'Balance Sheet'!D14-'Balance Sheet'!E14)</f>
        <v>0</v>
      </c>
      <c r="E20" s="97">
        <f>IF(+'Balance Sheet'!E14-'Balance Sheet'!F14&lt;0,0,'Balance Sheet'!E14-'Balance Sheet'!F14)</f>
        <v>0</v>
      </c>
      <c r="F20" s="97">
        <f>IF(+'Balance Sheet'!F14-'Balance Sheet'!G14&lt;0,0,'Balance Sheet'!F14-'Balance Sheet'!G14)</f>
        <v>0</v>
      </c>
      <c r="G20" s="97">
        <f>IF(+'Balance Sheet'!G14-'Balance Sheet'!H14&lt;0,0,'Balance Sheet'!G14-'Balance Sheet'!H14)</f>
        <v>0</v>
      </c>
      <c r="H20" s="97">
        <f>IF(+'Balance Sheet'!H14-'Balance Sheet'!I14&lt;0,0,'Balance Sheet'!H14-'Balance Sheet'!I14)</f>
        <v>0</v>
      </c>
      <c r="I20" s="127">
        <f>IF(+'Balance Sheet'!I14-'Balance Sheet'!J14&lt;0,0,'Balance Sheet'!I14-'Balance Sheet'!J14)</f>
        <v>0</v>
      </c>
    </row>
    <row r="21" spans="1:9" ht="18">
      <c r="A21" s="12"/>
      <c r="B21" s="5"/>
      <c r="C21" s="97"/>
      <c r="D21" s="97"/>
      <c r="E21" s="97"/>
      <c r="F21" s="97"/>
      <c r="G21" s="97"/>
      <c r="H21" s="97"/>
      <c r="I21" s="127"/>
    </row>
    <row r="22" spans="1:9" ht="18">
      <c r="A22" s="12"/>
      <c r="B22" s="5" t="s">
        <v>367</v>
      </c>
      <c r="C22" s="97">
        <f>IF('Balance Sheet'!C49-'Balance Sheet'!D49&lt;0,0,'Balance Sheet'!C49-'Balance Sheet'!D49)</f>
        <v>0</v>
      </c>
      <c r="D22" s="97">
        <f>IF('Balance Sheet'!D49-'Balance Sheet'!E49&lt;0,0,'Balance Sheet'!D49-'Balance Sheet'!E49)</f>
        <v>0</v>
      </c>
      <c r="E22" s="97">
        <f>IF('Balance Sheet'!E49-'Balance Sheet'!F49&lt;0,0,'Balance Sheet'!E49-'Balance Sheet'!F49)</f>
        <v>0</v>
      </c>
      <c r="F22" s="97">
        <f>IF('Balance Sheet'!F49-'Balance Sheet'!G49&lt;0,0,'Balance Sheet'!F49-'Balance Sheet'!G49)</f>
        <v>0</v>
      </c>
      <c r="G22" s="97">
        <f>IF('Balance Sheet'!G49-'Balance Sheet'!H49&lt;0,0,'Balance Sheet'!G49-'Balance Sheet'!H49)</f>
        <v>0</v>
      </c>
      <c r="H22" s="97">
        <f>IF('Balance Sheet'!H49-'Balance Sheet'!I49&lt;0,0,'Balance Sheet'!H49-'Balance Sheet'!I49)</f>
        <v>11.02000000000001</v>
      </c>
      <c r="I22" s="127">
        <f>IF('Balance Sheet'!I49-'Balance Sheet'!J49&lt;0,0,'Balance Sheet'!I49-'Balance Sheet'!J49)</f>
        <v>122.86999999999998</v>
      </c>
    </row>
    <row r="23" spans="1:9" ht="18">
      <c r="A23" s="12"/>
      <c r="B23" s="5"/>
      <c r="C23" s="97"/>
      <c r="D23" s="97"/>
      <c r="E23" s="97"/>
      <c r="F23" s="97"/>
      <c r="G23" s="97"/>
      <c r="H23" s="97"/>
      <c r="I23" s="127"/>
    </row>
    <row r="24" spans="1:9" ht="18">
      <c r="A24" s="12"/>
      <c r="B24" s="5" t="s">
        <v>368</v>
      </c>
      <c r="C24" s="97">
        <f>IF(SUM('Balance Sheet'!O28:O38)-SUM('Balance Sheet'!N28:N38)&lt;0,0,SUM('Balance Sheet'!O28:O38)-SUM('Balance Sheet'!N28:N38))</f>
        <v>5.3199999999999932</v>
      </c>
      <c r="D24" s="97">
        <f>IF(SUM('Balance Sheet'!P28:P38)-SUM('Balance Sheet'!O28:O38)&lt;0,0,SUM('Balance Sheet'!P28:P38)-SUM('Balance Sheet'!O28:O38))</f>
        <v>8.1899999999999977</v>
      </c>
      <c r="E24" s="97">
        <f>IF(SUM('Balance Sheet'!Q28:Q38)-SUM('Balance Sheet'!P28:P38)&lt;0,0,SUM('Balance Sheet'!Q28:Q38)-SUM('Balance Sheet'!P28:P38))</f>
        <v>4.1800000000000068</v>
      </c>
      <c r="F24" s="97">
        <f>IF(SUM('Balance Sheet'!R28:R38)-SUM('Balance Sheet'!Q28:Q38)&lt;0,0,SUM('Balance Sheet'!R28:R38)-SUM('Balance Sheet'!Q28:Q38))</f>
        <v>4.1800000000000068</v>
      </c>
      <c r="G24" s="97">
        <f>IF(SUM('Balance Sheet'!S28:S38)-SUM('Balance Sheet'!R28:R38)&lt;0,0,SUM('Balance Sheet'!S28:S38)-SUM('Balance Sheet'!R28:R38))</f>
        <v>4.1999999999999886</v>
      </c>
      <c r="H24" s="97">
        <f>IF(SUM('Balance Sheet'!T28:T38)-SUM('Balance Sheet'!S28:S38)&lt;0,0,SUM('Balance Sheet'!T28:T38)-SUM('Balance Sheet'!S28:S38))</f>
        <v>4.1899999999999977</v>
      </c>
      <c r="I24" s="127">
        <f>IF(SUM('Balance Sheet'!U28:U38)-SUM('Balance Sheet'!T28:T38)&lt;0,0,SUM('Balance Sheet'!U28:U38)-SUM('Balance Sheet'!T28:T38))</f>
        <v>4.2000000000000171</v>
      </c>
    </row>
    <row r="25" spans="1:9" ht="18">
      <c r="A25" s="12"/>
      <c r="B25" s="5"/>
      <c r="C25" s="97"/>
      <c r="D25" s="97"/>
      <c r="E25" s="97"/>
      <c r="F25" s="97"/>
      <c r="G25" s="97"/>
      <c r="H25" s="97"/>
      <c r="I25" s="127"/>
    </row>
    <row r="26" spans="1:9" ht="18">
      <c r="A26" s="12"/>
      <c r="B26" s="5" t="s">
        <v>369</v>
      </c>
      <c r="C26" s="97">
        <f>IF(+'Balance Sheet'!O18+'Balance Sheet'!O22+'Balance Sheet'!O25-'Balance Sheet'!N18-'Balance Sheet'!N22-'Balance Sheet'!N25&lt;0,0,'Balance Sheet'!O18+'Balance Sheet'!O22+'Balance Sheet'!O25-'Balance Sheet'!N18-'Balance Sheet'!N22-'Balance Sheet'!N25)</f>
        <v>89.85</v>
      </c>
      <c r="D26" s="97">
        <f>IF(+'Balance Sheet'!P18+'Balance Sheet'!P22+'Balance Sheet'!P25-'Balance Sheet'!O18-'Balance Sheet'!O22-'Balance Sheet'!O25&lt;0,0,'Balance Sheet'!P18+'Balance Sheet'!P22+'Balance Sheet'!P25-'Balance Sheet'!O18-'Balance Sheet'!O22-'Balance Sheet'!O25)</f>
        <v>16.310000000000002</v>
      </c>
      <c r="E26" s="97">
        <f>IF(+'Balance Sheet'!Q18+'Balance Sheet'!Q22+'Balance Sheet'!Q25-'Balance Sheet'!P18-'Balance Sheet'!P22-'Balance Sheet'!P25&lt;0,0,'Balance Sheet'!Q18+'Balance Sheet'!Q22+'Balance Sheet'!Q25-'Balance Sheet'!P18-'Balance Sheet'!P22-'Balance Sheet'!P25)</f>
        <v>8.4899999999999807</v>
      </c>
      <c r="F26" s="97">
        <f>IF(+'Balance Sheet'!R18+'Balance Sheet'!R22+'Balance Sheet'!R25-'Balance Sheet'!Q18-'Balance Sheet'!Q22-'Balance Sheet'!Q25&lt;0,0,'Balance Sheet'!R18+'Balance Sheet'!R22+'Balance Sheet'!R25-'Balance Sheet'!Q18-'Balance Sheet'!Q22-'Balance Sheet'!Q25)</f>
        <v>8.160000000000025</v>
      </c>
      <c r="G26" s="97">
        <f>IF(+'Balance Sheet'!S18+'Balance Sheet'!S22+'Balance Sheet'!S25-'Balance Sheet'!R18-'Balance Sheet'!R22-'Balance Sheet'!R25&lt;0,0,'Balance Sheet'!S18+'Balance Sheet'!S22+'Balance Sheet'!S25-'Balance Sheet'!R18-'Balance Sheet'!R22-'Balance Sheet'!R25)</f>
        <v>8.1599999999999682</v>
      </c>
      <c r="H26" s="97">
        <f>IF(+'Balance Sheet'!T18+'Balance Sheet'!T22+'Balance Sheet'!T25-'Balance Sheet'!S18-'Balance Sheet'!S22-'Balance Sheet'!S25&lt;0,0,'Balance Sheet'!T18+'Balance Sheet'!T22+'Balance Sheet'!T25-'Balance Sheet'!S18-'Balance Sheet'!S22-'Balance Sheet'!S25)</f>
        <v>8.1500000000000341</v>
      </c>
      <c r="I26" s="127">
        <f>IF(+'Balance Sheet'!U18+'Balance Sheet'!U22+'Balance Sheet'!U25-'Balance Sheet'!T18-'Balance Sheet'!T22-'Balance Sheet'!T25&lt;0,0,'Balance Sheet'!U18+'Balance Sheet'!U22+'Balance Sheet'!U25-'Balance Sheet'!T18-'Balance Sheet'!T22-'Balance Sheet'!T25)</f>
        <v>8.1599999999999682</v>
      </c>
    </row>
    <row r="27" spans="1:9" ht="18">
      <c r="A27" s="12"/>
      <c r="B27" s="5"/>
      <c r="C27" s="97"/>
      <c r="D27" s="97"/>
      <c r="E27" s="97"/>
      <c r="F27" s="97"/>
      <c r="G27" s="97"/>
      <c r="H27" s="97"/>
      <c r="I27" s="127"/>
    </row>
    <row r="28" spans="1:9" ht="18">
      <c r="A28" s="12"/>
      <c r="B28" s="5" t="s">
        <v>370</v>
      </c>
      <c r="C28" s="97">
        <f>IF(SUM('Balance Sheet'!O7:O16)-SUM('Balance Sheet'!N7:N16)+SUM('Balance Sheet'!O39:O48)-SUM('Balance Sheet'!N39:N48)&lt;0,0,SUM('Balance Sheet'!O39:O48)-SUM('Balance Sheet'!N39:N48)+SUM('Balance Sheet'!O7:O16)-SUM('Balance Sheet'!N7:N16))</f>
        <v>27.349999999999998</v>
      </c>
      <c r="D28" s="97">
        <f>IF(SUM('Balance Sheet'!P7:P16)-SUM('Balance Sheet'!O7:O16)+SUM('Balance Sheet'!P39:P48)-SUM('Balance Sheet'!O39:O48)&lt;0,0,SUM('Balance Sheet'!P39:P48)-SUM('Balance Sheet'!O39:O48)+SUM('Balance Sheet'!P7:P16)-SUM('Balance Sheet'!O7:O16))</f>
        <v>103.67999999999999</v>
      </c>
      <c r="E28" s="97">
        <f>IF(SUM('Balance Sheet'!Q7:Q16)-SUM('Balance Sheet'!P7:P16)+SUM('Balance Sheet'!Q39:Q48)-SUM('Balance Sheet'!P39:P48)&lt;0,0,SUM('Balance Sheet'!Q39:Q48)-SUM('Balance Sheet'!P39:P48)+SUM('Balance Sheet'!Q7:Q16)-SUM('Balance Sheet'!P7:P16))</f>
        <v>133.61999999999998</v>
      </c>
      <c r="F28" s="97">
        <f>IF(SUM('Balance Sheet'!R7:R16)-SUM('Balance Sheet'!Q7:Q16)+SUM('Balance Sheet'!R39:R48)-SUM('Balance Sheet'!Q39:Q48)&lt;0,0,SUM('Balance Sheet'!R39:R48)-SUM('Balance Sheet'!Q39:Q48)+SUM('Balance Sheet'!R7:R16)-SUM('Balance Sheet'!Q7:Q16))</f>
        <v>152.74</v>
      </c>
      <c r="G28" s="97">
        <f>IF(SUM('Balance Sheet'!S7:S16)-SUM('Balance Sheet'!R7:R16)+SUM('Balance Sheet'!S39:S48)-SUM('Balance Sheet'!R39:R48)&lt;0,0,SUM('Balance Sheet'!S39:S48)-SUM('Balance Sheet'!R39:R48)+SUM('Balance Sheet'!S7:S16)-SUM('Balance Sheet'!R7:R16))</f>
        <v>171.45</v>
      </c>
      <c r="H28" s="97">
        <f>IF(SUM('Balance Sheet'!T7:T16)-SUM('Balance Sheet'!S7:S16)+SUM('Balance Sheet'!T39:T48)-SUM('Balance Sheet'!S39:S48)&lt;0,0,SUM('Balance Sheet'!T39:T48)-SUM('Balance Sheet'!S39:S48)+SUM('Balance Sheet'!T7:T16)-SUM('Balance Sheet'!S7:S16))</f>
        <v>190.70999999999998</v>
      </c>
      <c r="I28" s="127">
        <f>IF(SUM('Balance Sheet'!U7:U16)-SUM('Balance Sheet'!T7:T16)+SUM('Balance Sheet'!U39:U48)-SUM('Balance Sheet'!T39:T48)&lt;0,0,SUM('Balance Sheet'!U39:U48)-SUM('Balance Sheet'!T39:T48)+SUM('Balance Sheet'!U7:U16)-SUM('Balance Sheet'!T7:T16))</f>
        <v>222.8</v>
      </c>
    </row>
    <row r="29" spans="1:9" ht="18.75" thickBot="1">
      <c r="A29" s="12"/>
      <c r="B29" s="5"/>
      <c r="C29" s="97"/>
      <c r="D29" s="97"/>
      <c r="E29" s="97"/>
      <c r="F29" s="97"/>
      <c r="G29" s="97"/>
      <c r="H29" s="97"/>
      <c r="I29" s="127"/>
    </row>
    <row r="30" spans="1:9" ht="18.75" thickBot="1">
      <c r="A30" s="16" t="s">
        <v>371</v>
      </c>
      <c r="B30" s="17" t="s">
        <v>349</v>
      </c>
      <c r="C30" s="97">
        <f t="shared" ref="C30:I30" si="1">SUM(C19:C29)</f>
        <v>122.51999999999998</v>
      </c>
      <c r="D30" s="97">
        <f t="shared" si="1"/>
        <v>128.18</v>
      </c>
      <c r="E30" s="97">
        <f t="shared" si="1"/>
        <v>146.28999999999996</v>
      </c>
      <c r="F30" s="97">
        <f t="shared" si="1"/>
        <v>165.08000000000004</v>
      </c>
      <c r="G30" s="97">
        <f t="shared" si="1"/>
        <v>183.80999999999995</v>
      </c>
      <c r="H30" s="97">
        <f t="shared" si="1"/>
        <v>214.07000000000002</v>
      </c>
      <c r="I30" s="127">
        <f t="shared" si="1"/>
        <v>358.03</v>
      </c>
    </row>
    <row r="31" spans="1:9" ht="18">
      <c r="A31" s="12"/>
      <c r="B31" s="5"/>
      <c r="C31" s="97"/>
      <c r="D31" s="97"/>
      <c r="E31" s="97"/>
      <c r="F31" s="97"/>
      <c r="G31" s="97"/>
      <c r="H31" s="97"/>
      <c r="I31" s="127"/>
    </row>
    <row r="32" spans="1:9" ht="18">
      <c r="A32" s="12"/>
      <c r="B32" s="5" t="s">
        <v>372</v>
      </c>
      <c r="C32" s="97">
        <f>IF('Profit &amp; Loss Statement'!E54&gt;0,0,-'Profit &amp; Loss Statement'!E54)</f>
        <v>0</v>
      </c>
      <c r="D32" s="97">
        <f>IF('Profit &amp; Loss Statement'!F54&gt;0,0,-'Profit &amp; Loss Statement'!F54)</f>
        <v>0</v>
      </c>
      <c r="E32" s="97">
        <f>IF('Profit &amp; Loss Statement'!G54&gt;0,0,-'Profit &amp; Loss Statement'!G54)</f>
        <v>0</v>
      </c>
      <c r="F32" s="97">
        <f>IF('Profit &amp; Loss Statement'!H54&gt;0,0,-'Profit &amp; Loss Statement'!H54)</f>
        <v>0</v>
      </c>
      <c r="G32" s="97">
        <f>IF('Profit &amp; Loss Statement'!I54&gt;0,0,-'Profit &amp; Loss Statement'!I54)</f>
        <v>0</v>
      </c>
      <c r="H32" s="97">
        <f>IF('Profit &amp; Loss Statement'!J54&gt;0,0,-'Profit &amp; Loss Statement'!J54)</f>
        <v>0</v>
      </c>
      <c r="I32" s="127">
        <f>IF('Profit &amp; Loss Statement'!K54&gt;0,0,-'Profit &amp; Loss Statement'!K54)</f>
        <v>0</v>
      </c>
    </row>
    <row r="33" spans="1:9" ht="18">
      <c r="A33" s="12"/>
      <c r="B33" s="5"/>
      <c r="C33" s="97"/>
      <c r="D33" s="97"/>
      <c r="E33" s="97"/>
      <c r="F33" s="97"/>
      <c r="G33" s="97"/>
      <c r="H33" s="97"/>
      <c r="I33" s="127"/>
    </row>
    <row r="34" spans="1:9" ht="18">
      <c r="A34" s="12"/>
      <c r="B34" s="5" t="s">
        <v>373</v>
      </c>
      <c r="C34" s="97">
        <f>IF(C32=0,0,+'Profit &amp; Loss Statement'!E29)</f>
        <v>0</v>
      </c>
      <c r="D34" s="97">
        <f>IF(D32=0,0,+'Profit &amp; Loss Statement'!F29)</f>
        <v>0</v>
      </c>
      <c r="E34" s="97">
        <f>IF(E32=0,0,+'Profit &amp; Loss Statement'!G29)</f>
        <v>0</v>
      </c>
      <c r="F34" s="97">
        <f>IF(F32=0,0,+'Profit &amp; Loss Statement'!H29)</f>
        <v>0</v>
      </c>
      <c r="G34" s="97">
        <f>IF(G32=0,0,+'Profit &amp; Loss Statement'!I29)</f>
        <v>0</v>
      </c>
      <c r="H34" s="97">
        <f>IF(H32=0,0,+'Profit &amp; Loss Statement'!J29)</f>
        <v>0</v>
      </c>
      <c r="I34" s="127">
        <f>IF(I32=0,0,+'Profit &amp; Loss Statement'!K29)</f>
        <v>0</v>
      </c>
    </row>
    <row r="35" spans="1:9" ht="18">
      <c r="A35" s="12"/>
      <c r="B35" s="5"/>
      <c r="C35" s="97"/>
      <c r="D35" s="97"/>
      <c r="E35" s="97"/>
      <c r="F35" s="97"/>
      <c r="G35" s="97"/>
      <c r="H35" s="97"/>
      <c r="I35" s="127"/>
    </row>
    <row r="36" spans="1:9" ht="18">
      <c r="A36" s="12"/>
      <c r="B36" s="5" t="s">
        <v>374</v>
      </c>
      <c r="C36" s="97"/>
      <c r="D36" s="97"/>
      <c r="E36" s="97"/>
      <c r="F36" s="97"/>
      <c r="G36" s="97"/>
      <c r="H36" s="97"/>
      <c r="I36" s="127"/>
    </row>
    <row r="37" spans="1:9" ht="18">
      <c r="A37" s="12"/>
      <c r="B37" s="5" t="s">
        <v>375</v>
      </c>
      <c r="C37" s="97">
        <f t="shared" ref="C37:I37" si="2">+C32-C34</f>
        <v>0</v>
      </c>
      <c r="D37" s="97">
        <f t="shared" si="2"/>
        <v>0</v>
      </c>
      <c r="E37" s="97">
        <f t="shared" si="2"/>
        <v>0</v>
      </c>
      <c r="F37" s="97">
        <f t="shared" si="2"/>
        <v>0</v>
      </c>
      <c r="G37" s="97">
        <f t="shared" si="2"/>
        <v>0</v>
      </c>
      <c r="H37" s="97">
        <f t="shared" si="2"/>
        <v>0</v>
      </c>
      <c r="I37" s="127">
        <f t="shared" si="2"/>
        <v>0</v>
      </c>
    </row>
    <row r="38" spans="1:9" ht="18">
      <c r="A38" s="12"/>
      <c r="B38" s="5" t="s">
        <v>376</v>
      </c>
      <c r="C38" s="97">
        <f>IF(C32=0,0,+'Profit &amp; Loss Statement'!E56)</f>
        <v>0</v>
      </c>
      <c r="D38" s="97">
        <f>IF(D32=0,0,+'Profit &amp; Loss Statement'!F56)</f>
        <v>0</v>
      </c>
      <c r="E38" s="97">
        <f>IF(E32=0,0,+'Profit &amp; Loss Statement'!G56)</f>
        <v>0</v>
      </c>
      <c r="F38" s="97">
        <f>IF(F32=0,0,+'Profit &amp; Loss Statement'!H56)</f>
        <v>0</v>
      </c>
      <c r="G38" s="97">
        <f>IF(G32=0,0,+'Profit &amp; Loss Statement'!I56)</f>
        <v>0</v>
      </c>
      <c r="H38" s="97">
        <f>IF(H32=0,0,+'Profit &amp; Loss Statement'!J56)</f>
        <v>0</v>
      </c>
      <c r="I38" s="127">
        <f>IF(I32=0,0,+'Profit &amp; Loss Statement'!K56)</f>
        <v>0</v>
      </c>
    </row>
    <row r="39" spans="1:9" ht="18">
      <c r="A39" s="12"/>
      <c r="B39" s="5" t="s">
        <v>377</v>
      </c>
      <c r="C39" s="97">
        <f>IF(C32=0,0,'Profit &amp; Loss Statement'!E54)</f>
        <v>0</v>
      </c>
      <c r="D39" s="97">
        <f>IF(D32=0,0,'Profit &amp; Loss Statement'!F54)</f>
        <v>0</v>
      </c>
      <c r="E39" s="97">
        <f>IF(E32=0,0,'Profit &amp; Loss Statement'!G54)</f>
        <v>0</v>
      </c>
      <c r="F39" s="97">
        <f>IF(F32=0,0,'Profit &amp; Loss Statement'!H54)</f>
        <v>0</v>
      </c>
      <c r="G39" s="97">
        <f>IF(G32=0,0,'Profit &amp; Loss Statement'!I54)</f>
        <v>0</v>
      </c>
      <c r="H39" s="97">
        <f>IF(H32=0,0,'Profit &amp; Loss Statement'!J54)</f>
        <v>0</v>
      </c>
      <c r="I39" s="127">
        <f>IF(I32=0,0,'Profit &amp; Loss Statement'!K54)</f>
        <v>0</v>
      </c>
    </row>
    <row r="40" spans="1:9" ht="18.75" thickBot="1">
      <c r="A40" s="12"/>
      <c r="B40" s="5"/>
      <c r="C40" s="97"/>
      <c r="D40" s="97"/>
      <c r="E40" s="97"/>
      <c r="F40" s="97"/>
      <c r="G40" s="97"/>
      <c r="H40" s="97"/>
      <c r="I40" s="127"/>
    </row>
    <row r="41" spans="1:9" ht="18.75" thickBot="1">
      <c r="A41" s="16" t="s">
        <v>378</v>
      </c>
      <c r="B41" s="17" t="s">
        <v>379</v>
      </c>
      <c r="C41" s="97">
        <f t="shared" ref="C41:I41" si="3">+C37+C38+C39</f>
        <v>0</v>
      </c>
      <c r="D41" s="97">
        <f t="shared" si="3"/>
        <v>0</v>
      </c>
      <c r="E41" s="97">
        <f t="shared" si="3"/>
        <v>0</v>
      </c>
      <c r="F41" s="97">
        <f t="shared" si="3"/>
        <v>0</v>
      </c>
      <c r="G41" s="97">
        <f t="shared" si="3"/>
        <v>0</v>
      </c>
      <c r="H41" s="97">
        <f t="shared" si="3"/>
        <v>0</v>
      </c>
      <c r="I41" s="127">
        <f t="shared" si="3"/>
        <v>0</v>
      </c>
    </row>
    <row r="42" spans="1:9" ht="18.75" thickBot="1">
      <c r="A42" s="12"/>
      <c r="B42" s="5"/>
      <c r="C42" s="97"/>
      <c r="D42" s="97"/>
      <c r="E42" s="97"/>
      <c r="F42" s="97"/>
      <c r="G42" s="97"/>
      <c r="H42" s="97"/>
      <c r="I42" s="127"/>
    </row>
    <row r="43" spans="1:9" ht="18.75" thickBot="1">
      <c r="A43" s="16"/>
      <c r="B43" s="17" t="s">
        <v>380</v>
      </c>
      <c r="C43" s="97">
        <f t="shared" ref="C43:I43" si="4">+C41+C30+C18</f>
        <v>256.80999999999995</v>
      </c>
      <c r="D43" s="97">
        <f t="shared" si="4"/>
        <v>262.46999999999997</v>
      </c>
      <c r="E43" s="97">
        <f t="shared" si="4"/>
        <v>280.58000000000004</v>
      </c>
      <c r="F43" s="97">
        <f t="shared" si="4"/>
        <v>299.37</v>
      </c>
      <c r="G43" s="97">
        <f t="shared" si="4"/>
        <v>318.09999999999997</v>
      </c>
      <c r="H43" s="97">
        <f t="shared" si="4"/>
        <v>337.14</v>
      </c>
      <c r="I43" s="127">
        <f t="shared" si="4"/>
        <v>358.03</v>
      </c>
    </row>
    <row r="44" spans="1:9" ht="18">
      <c r="A44" s="12"/>
      <c r="B44" s="5"/>
      <c r="C44" s="97"/>
      <c r="D44" s="97"/>
      <c r="E44" s="97"/>
      <c r="F44" s="97"/>
      <c r="G44" s="97"/>
      <c r="H44" s="97"/>
      <c r="I44" s="127"/>
    </row>
    <row r="45" spans="1:9" ht="18">
      <c r="A45" s="12"/>
      <c r="B45" s="5" t="s">
        <v>381</v>
      </c>
      <c r="C45" s="97"/>
      <c r="D45" s="97"/>
      <c r="E45" s="97"/>
      <c r="F45" s="97"/>
      <c r="G45" s="97"/>
      <c r="H45" s="97"/>
      <c r="I45" s="127"/>
    </row>
    <row r="46" spans="1:9" ht="18">
      <c r="A46" s="12"/>
      <c r="B46" s="5"/>
      <c r="C46" s="97"/>
      <c r="D46" s="97"/>
      <c r="E46" s="97"/>
      <c r="F46" s="97"/>
      <c r="G46" s="97"/>
      <c r="H46" s="97"/>
      <c r="I46" s="127"/>
    </row>
    <row r="47" spans="1:9" ht="18">
      <c r="A47" s="12"/>
      <c r="B47" s="5" t="s">
        <v>382</v>
      </c>
      <c r="C47" s="97">
        <f>+'Fund Flow'!D18+'Fund Flow'!D32</f>
        <v>248.16999999999993</v>
      </c>
      <c r="D47" s="97">
        <f>+'Fund Flow'!E18+'Fund Flow'!E32</f>
        <v>254.0499999999999</v>
      </c>
      <c r="E47" s="97">
        <f>+'Fund Flow'!F18+'Fund Flow'!F32</f>
        <v>272.39999999999998</v>
      </c>
      <c r="F47" s="97">
        <f>+'Fund Flow'!G18+'Fund Flow'!G32</f>
        <v>291.1600000000002</v>
      </c>
      <c r="G47" s="97">
        <f>+'Fund Flow'!H18+'Fund Flow'!H32</f>
        <v>314.57</v>
      </c>
      <c r="H47" s="97">
        <f>+'Fund Flow'!I18+'Fund Flow'!I32</f>
        <v>337.14000000000016</v>
      </c>
      <c r="I47" s="127">
        <f>+'Fund Flow'!J18+'Fund Flow'!J32</f>
        <v>358.03000000000009</v>
      </c>
    </row>
    <row r="48" spans="1:9" ht="18">
      <c r="A48" s="12"/>
      <c r="B48" s="5"/>
      <c r="C48" s="97"/>
      <c r="D48" s="97"/>
      <c r="E48" s="97"/>
      <c r="F48" s="97"/>
      <c r="G48" s="97"/>
      <c r="H48" s="97"/>
      <c r="I48" s="127"/>
    </row>
    <row r="49" spans="1:9" ht="18">
      <c r="A49" s="12"/>
      <c r="B49" s="5" t="s">
        <v>383</v>
      </c>
      <c r="C49" s="97">
        <f t="shared" ref="C49:I49" si="5">+C18+C41</f>
        <v>134.28999999999996</v>
      </c>
      <c r="D49" s="97">
        <f t="shared" si="5"/>
        <v>134.28999999999996</v>
      </c>
      <c r="E49" s="97">
        <f t="shared" si="5"/>
        <v>134.29000000000008</v>
      </c>
      <c r="F49" s="97">
        <f t="shared" si="5"/>
        <v>134.28999999999996</v>
      </c>
      <c r="G49" s="97">
        <f t="shared" si="5"/>
        <v>134.29000000000002</v>
      </c>
      <c r="H49" s="97">
        <f t="shared" si="5"/>
        <v>123.07</v>
      </c>
      <c r="I49" s="127">
        <f t="shared" si="5"/>
        <v>0</v>
      </c>
    </row>
    <row r="50" spans="1:9" ht="18.75" thickBot="1">
      <c r="A50" s="12"/>
      <c r="B50" s="5"/>
      <c r="C50" s="97"/>
      <c r="D50" s="97"/>
      <c r="E50" s="97"/>
      <c r="F50" s="97"/>
      <c r="G50" s="97"/>
      <c r="H50" s="97"/>
      <c r="I50" s="127"/>
    </row>
    <row r="51" spans="1:9" ht="18.75" thickBot="1">
      <c r="A51" s="16"/>
      <c r="B51" s="17" t="s">
        <v>384</v>
      </c>
      <c r="C51" s="98">
        <f t="shared" ref="C51:I51" si="6">+C47-C49</f>
        <v>113.87999999999997</v>
      </c>
      <c r="D51" s="98">
        <f t="shared" si="6"/>
        <v>119.75999999999993</v>
      </c>
      <c r="E51" s="98">
        <f t="shared" si="6"/>
        <v>138.1099999999999</v>
      </c>
      <c r="F51" s="98">
        <f t="shared" si="6"/>
        <v>156.87000000000023</v>
      </c>
      <c r="G51" s="98">
        <f t="shared" si="6"/>
        <v>180.27999999999997</v>
      </c>
      <c r="H51" s="98">
        <f t="shared" si="6"/>
        <v>214.07000000000016</v>
      </c>
      <c r="I51" s="136">
        <f t="shared" si="6"/>
        <v>358.03000000000009</v>
      </c>
    </row>
    <row r="52" spans="1:9" ht="18">
      <c r="A52" s="12"/>
      <c r="B52" s="5"/>
      <c r="C52" s="97"/>
      <c r="D52" s="97"/>
      <c r="E52" s="97"/>
      <c r="F52" s="97"/>
      <c r="G52" s="97"/>
      <c r="H52" s="97"/>
      <c r="I52" s="127"/>
    </row>
    <row r="53" spans="1:9" ht="18">
      <c r="A53" s="12"/>
      <c r="B53" s="5" t="s">
        <v>385</v>
      </c>
      <c r="C53" s="97">
        <f>'Fund Flow'!D44</f>
        <v>0.64000000000001478</v>
      </c>
      <c r="D53" s="97">
        <f>'Fund Flow'!E44</f>
        <v>0.41999999999998749</v>
      </c>
      <c r="E53" s="97">
        <f>'Fund Flow'!F44</f>
        <v>0.18000000000000682</v>
      </c>
      <c r="F53" s="97">
        <f>'Fund Flow'!G44</f>
        <v>0.21000000000000796</v>
      </c>
      <c r="G53" s="97">
        <f>'Fund Flow'!H44</f>
        <v>0.19999999999998863</v>
      </c>
      <c r="H53" s="97">
        <f>'Fund Flow'!I44</f>
        <v>0</v>
      </c>
      <c r="I53" s="127">
        <f>'Fund Flow'!J44</f>
        <v>0</v>
      </c>
    </row>
    <row r="54" spans="1:9" ht="18">
      <c r="A54" s="12"/>
      <c r="B54" s="5"/>
      <c r="C54" s="97"/>
      <c r="D54" s="97"/>
      <c r="E54" s="97"/>
      <c r="F54" s="97"/>
      <c r="G54" s="97"/>
      <c r="H54" s="97"/>
      <c r="I54" s="127"/>
    </row>
    <row r="55" spans="1:9" ht="18">
      <c r="A55" s="12"/>
      <c r="B55" s="5" t="s">
        <v>386</v>
      </c>
      <c r="C55" s="97">
        <f t="shared" ref="C55:I55" si="7">+C30</f>
        <v>122.51999999999998</v>
      </c>
      <c r="D55" s="97">
        <f t="shared" si="7"/>
        <v>128.18</v>
      </c>
      <c r="E55" s="97">
        <f t="shared" si="7"/>
        <v>146.28999999999996</v>
      </c>
      <c r="F55" s="97">
        <f t="shared" si="7"/>
        <v>165.08000000000004</v>
      </c>
      <c r="G55" s="97">
        <f t="shared" si="7"/>
        <v>183.80999999999995</v>
      </c>
      <c r="H55" s="97">
        <f t="shared" si="7"/>
        <v>214.07000000000002</v>
      </c>
      <c r="I55" s="127">
        <f t="shared" si="7"/>
        <v>358.03</v>
      </c>
    </row>
    <row r="56" spans="1:9" ht="18.75" thickBot="1">
      <c r="A56" s="12"/>
      <c r="B56" s="5"/>
      <c r="C56" s="97"/>
      <c r="D56" s="97"/>
      <c r="E56" s="97"/>
      <c r="F56" s="97"/>
      <c r="G56" s="97"/>
      <c r="H56" s="97"/>
      <c r="I56" s="127"/>
    </row>
    <row r="57" spans="1:9" ht="18.75" thickBot="1">
      <c r="A57" s="16"/>
      <c r="B57" s="17" t="s">
        <v>384</v>
      </c>
      <c r="C57" s="137">
        <f t="shared" ref="C57:I57" si="8">+C53-C55</f>
        <v>-121.87999999999997</v>
      </c>
      <c r="D57" s="137">
        <f t="shared" si="8"/>
        <v>-127.76000000000002</v>
      </c>
      <c r="E57" s="137">
        <f t="shared" si="8"/>
        <v>-146.10999999999996</v>
      </c>
      <c r="F57" s="137">
        <f t="shared" si="8"/>
        <v>-164.87000000000003</v>
      </c>
      <c r="G57" s="137">
        <f t="shared" si="8"/>
        <v>-183.60999999999996</v>
      </c>
      <c r="H57" s="137">
        <f t="shared" si="8"/>
        <v>-214.07000000000002</v>
      </c>
      <c r="I57" s="138">
        <f t="shared" si="8"/>
        <v>-358.03</v>
      </c>
    </row>
    <row r="58" spans="1:9" ht="18">
      <c r="A58" s="5"/>
      <c r="B58" s="5"/>
      <c r="C58" s="24"/>
      <c r="D58" s="24"/>
      <c r="E58" s="24"/>
      <c r="F58" s="24"/>
      <c r="G58" s="24"/>
      <c r="H58" s="24"/>
      <c r="I58" s="24"/>
    </row>
    <row r="59" spans="1:9" ht="18">
      <c r="A59" s="5"/>
      <c r="B59" s="4" t="s">
        <v>387</v>
      </c>
      <c r="C59" s="5">
        <f>'Financial Indicator &amp; Ratios'!B59</f>
        <v>0</v>
      </c>
      <c r="D59" s="5"/>
      <c r="E59" s="26"/>
      <c r="F59" s="93"/>
      <c r="G59" s="93"/>
      <c r="H59" s="93"/>
      <c r="I59" s="93"/>
    </row>
    <row r="60" spans="1:9" ht="18">
      <c r="A60" s="5"/>
      <c r="B60" s="5"/>
      <c r="C60" s="5"/>
      <c r="D60" s="5"/>
      <c r="E60" s="5"/>
    </row>
    <row r="61" spans="1:9" ht="18">
      <c r="A61" s="5"/>
      <c r="B61" s="5"/>
      <c r="C61" s="5"/>
      <c r="D61" s="5"/>
      <c r="E61" s="5"/>
    </row>
    <row r="62" spans="1:9" ht="18">
      <c r="A62" s="5"/>
      <c r="B62" s="5"/>
      <c r="C62" s="5"/>
      <c r="D62" s="5"/>
      <c r="E62" s="5"/>
    </row>
    <row r="63" spans="1:9" ht="18">
      <c r="A63" s="5"/>
      <c r="B63" s="5"/>
      <c r="C63" s="5"/>
      <c r="D63" s="5"/>
      <c r="E63" s="5"/>
    </row>
    <row r="64" spans="1:9" ht="18">
      <c r="A64" s="5"/>
      <c r="B64" s="5"/>
      <c r="C64" s="5"/>
      <c r="D64" s="5"/>
      <c r="E64" s="5"/>
    </row>
    <row r="65" spans="1:5" ht="18">
      <c r="A65" s="5"/>
      <c r="B65" s="5"/>
      <c r="C65" s="5"/>
      <c r="D65" s="5"/>
      <c r="E65" s="5"/>
    </row>
    <row r="66" spans="1:5" ht="18">
      <c r="A66" s="5"/>
      <c r="B66" s="5"/>
      <c r="C66" s="5"/>
      <c r="D66" s="5"/>
      <c r="E66" s="5"/>
    </row>
    <row r="67" spans="1:5" ht="18">
      <c r="A67" s="5"/>
      <c r="B67" s="5"/>
      <c r="C67" s="5"/>
      <c r="D67" s="5"/>
      <c r="E67" s="5"/>
    </row>
    <row r="68" spans="1:5" ht="18">
      <c r="A68" s="5"/>
      <c r="B68" s="5"/>
      <c r="C68" s="5"/>
      <c r="D68" s="5"/>
      <c r="E68" s="5"/>
    </row>
    <row r="69" spans="1:5" ht="18">
      <c r="A69" s="5"/>
      <c r="B69" s="5"/>
      <c r="C69" s="5"/>
      <c r="D69" s="5"/>
      <c r="E69" s="5"/>
    </row>
  </sheetData>
  <mergeCells count="1">
    <mergeCell ref="C4:I4"/>
  </mergeCells>
  <phoneticPr fontId="0" type="noConversion"/>
  <pageMargins left="0.75" right="0.75" top="1" bottom="1" header="0.5" footer="0.5"/>
  <pageSetup scale="6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769D854BE4F439D68AC2978AF692E" ma:contentTypeVersion="4" ma:contentTypeDescription="Create a new document." ma:contentTypeScope="" ma:versionID="63807cdfca4ec3bb2d5495b8c292cf1b">
  <xsd:schema xmlns:xsd="http://www.w3.org/2001/XMLSchema" xmlns:xs="http://www.w3.org/2001/XMLSchema" xmlns:p="http://schemas.microsoft.com/office/2006/metadata/properties" xmlns:ns2="24496d61-6bf3-482f-87d0-57a5c34f819c" targetNamespace="http://schemas.microsoft.com/office/2006/metadata/properties" ma:root="true" ma:fieldsID="0e86be910dc0e83078509e1eb09c9b82" ns2:_="">
    <xsd:import namespace="24496d61-6bf3-482f-87d0-57a5c34f81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96d61-6bf3-482f-87d0-57a5c34f81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5EE50-4114-4F52-908E-ED206BFB96C8}"/>
</file>

<file path=customXml/itemProps2.xml><?xml version="1.0" encoding="utf-8"?>
<ds:datastoreItem xmlns:ds="http://schemas.openxmlformats.org/officeDocument/2006/customXml" ds:itemID="{6237F21B-A109-4582-8ADB-F93C1F71B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Vamsy Krishna</dc:creator>
  <cp:keywords/>
  <dc:description/>
  <cp:lastModifiedBy>X</cp:lastModifiedBy>
  <cp:revision/>
  <dcterms:created xsi:type="dcterms:W3CDTF">1999-07-09T13:23:49Z</dcterms:created>
  <dcterms:modified xsi:type="dcterms:W3CDTF">2025-03-07T10:59:08Z</dcterms:modified>
  <cp:category/>
  <cp:contentStatus/>
</cp:coreProperties>
</file>